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drawings/drawing4.xml" ContentType="application/vnd.openxmlformats-officedocument.drawing+xml"/>
  <Override PartName="/xl/customProperty8.bin" ContentType="application/vnd.openxmlformats-officedocument.spreadsheetml.customProperty"/>
  <Override PartName="/xl/drawings/drawing5.xml" ContentType="application/vnd.openxmlformats-officedocument.drawing+xml"/>
  <Override PartName="/xl/customProperty9.bin" ContentType="application/vnd.openxmlformats-officedocument.spreadsheetml.customProperty"/>
  <Override PartName="/xl/drawings/drawing6.xml" ContentType="application/vnd.openxmlformats-officedocument.drawing+xml"/>
  <Override PartName="/xl/customProperty10.bin" ContentType="application/vnd.openxmlformats-officedocument.spreadsheetml.customProperty"/>
  <Override PartName="/xl/drawings/drawing7.xml" ContentType="application/vnd.openxmlformats-officedocument.drawing+xml"/>
  <Override PartName="/xl/customProperty11.bin" ContentType="application/vnd.openxmlformats-officedocument.spreadsheetml.customProperty"/>
  <Override PartName="/xl/drawings/drawing8.xml" ContentType="application/vnd.openxmlformats-officedocument.drawing+xml"/>
  <Override PartName="/xl/customProperty12.bin" ContentType="application/vnd.openxmlformats-officedocument.spreadsheetml.customProperty"/>
  <Override PartName="/xl/drawings/drawing9.xml" ContentType="application/vnd.openxmlformats-officedocument.drawing+xml"/>
  <Override PartName="/xl/customProperty13.bin" ContentType="application/vnd.openxmlformats-officedocument.spreadsheetml.customProperty"/>
  <Override PartName="/xl/drawings/drawing10.xml" ContentType="application/vnd.openxmlformats-officedocument.drawing+xml"/>
  <Override PartName="/xl/customProperty14.bin" ContentType="application/vnd.openxmlformats-officedocument.spreadsheetml.customProperty"/>
  <Override PartName="/xl/drawings/drawing11.xml" ContentType="application/vnd.openxmlformats-officedocument.drawing+xml"/>
  <Override PartName="/xl/customProperty15.bin" ContentType="application/vnd.openxmlformats-officedocument.spreadsheetml.customProperty"/>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Shonalee.Maurya\Downloads\"/>
    </mc:Choice>
  </mc:AlternateContent>
  <xr:revisionPtr revIDLastSave="0" documentId="13_ncr:1_{B6FEFD70-5C11-4A81-903E-2D95B975E92D}" xr6:coauthVersionLast="47" xr6:coauthVersionMax="47" xr10:uidLastSave="{00000000-0000-0000-0000-000000000000}"/>
  <bookViews>
    <workbookView xWindow="-98" yWindow="-98" windowWidth="20715" windowHeight="13276" tabRatio="827" firstSheet="2" activeTab="8" xr2:uid="{00000000-000D-0000-FFFF-FFFF00000000}"/>
  </bookViews>
  <sheets>
    <sheet name="RFPR cover" sheetId="13" r:id="rId1"/>
    <sheet name="Data" sheetId="28" r:id="rId2"/>
    <sheet name="Content &amp; Version Control" sheetId="21" r:id="rId3"/>
    <sheet name="Change log" sheetId="14" r:id="rId4"/>
    <sheet name="R1 - RoRE" sheetId="1" r:id="rId5"/>
    <sheet name="R2 - Rec to Revenue and Profit" sheetId="4" r:id="rId6"/>
    <sheet name="R3 - Totex - Reconciliation" sheetId="2" r:id="rId7"/>
    <sheet name="R4 - Incentives and Other Rev" sheetId="5" r:id="rId8"/>
    <sheet name="R5 - Financing" sheetId="17" r:id="rId9"/>
    <sheet name="R6 - Net Debt" sheetId="27" r:id="rId10"/>
    <sheet name="R7 - RAV" sheetId="10" r:id="rId11"/>
    <sheet name="R8 - Tax" sheetId="29" r:id="rId12"/>
    <sheet name="R8a - Tax Reconciliation" sheetId="35" r:id="rId13"/>
    <sheet name="R9 - Corporate Governance" sheetId="11" r:id="rId14"/>
    <sheet name="R10 - Pensions &amp; Oth Activities" sheetId="19"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2" hidden="1">'R8a - Tax Reconciliation'!$A$9:$N$100</definedName>
    <definedName name="_Order2" hidden="1">0</definedName>
    <definedName name="Adjusted_regulated_tax_liability">'R8 - Tax'!$E$34:$I$34</definedName>
    <definedName name="Adjusted_regulated_tax_liability__Reporting_Year">'R8 - Tax'!$E$34:$I$34</definedName>
    <definedName name="ARCMt">'[1]R4 Licence Condition Values'!$G$32:$N$32</definedName>
    <definedName name="ARtDR5" comment="Allowed distribution netwrok reveue in 2014/15">'[1]R5 Input Page'!$E$48:$F$48</definedName>
    <definedName name="AUM">'[1]R5 Input Page'!$G$133:$N$133</definedName>
    <definedName name="BMt_2">'[1]R5 Input Page'!$E$65:$F$65</definedName>
    <definedName name="BPC">'[1]R5 Input Page'!$G$123:$N$123</definedName>
    <definedName name="Business_Plan_Incentive" localSheetId="12">'[2]R1 - RoRE'!$D$60:$H$60</definedName>
    <definedName name="Business_Plan_Incentive">'R1 - RoRE'!$D$67:$H$67</definedName>
    <definedName name="calendar_year" localSheetId="12">[2]Data!$E$25:$L$25</definedName>
    <definedName name="calendar_year">Data!$E$25:$L$25</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M">'[1]R5 Input Page'!$G$71:$N$71</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ombined_real_to_nominal_prices_conversion_factor__financial_year_end">Data!$E$28:$K$28</definedName>
    <definedName name="Corporate_Tax" localSheetId="12">[2]Data!$C$18:$N$18</definedName>
    <definedName name="Corporate_Tax">Data!$C$18:$N$18</definedName>
    <definedName name="Cost_of_Equity" localSheetId="12">[2]Data!$C$6</definedName>
    <definedName name="Cost_of_Equity">Data!$C$6</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ADt">'[1]R4 Licence Condition Values'!$G$25:$N$25</definedName>
    <definedName name="CSAUt">'[1]R4 Licence Condition Values'!$G$19:$N$19</definedName>
    <definedName name="CSBDt">'[1]R4 Licence Condition Values'!$G$28:$N$28</definedName>
    <definedName name="CSBUt">'[1]R4 Licence Condition Values'!$G$21:$N$21</definedName>
    <definedName name="CSCDt">'[1]R4 Licence Condition Values'!$G$30:$N$30</definedName>
    <definedName name="CSCUt">'[1]R4 Licence Condition Values'!$G$23:$N$23</definedName>
    <definedName name="CT">'[1]R5 Input Page'!$G$35:$N$35</definedName>
    <definedName name="Debt_performance___at_notional_gearing" localSheetId="12">'[2]R1 - RoRE'!$D$74:$H$74</definedName>
    <definedName name="Debt_performance___at_notional_gearing">'R1 - RoRE'!$D$84:$H$84</definedName>
    <definedName name="Debt_performance___impact_of_actual_gearing" localSheetId="12">'[2]R1 - RoRE'!$D$75:$H$75</definedName>
    <definedName name="Debt_performance___impact_of_actual_gearing">'R1 - RoRE'!$D$85:$H$85</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quity_RAV_based_on_actual_gearing" localSheetId="12">'[2]R1 - RoRE'!$D$81:$H$81</definedName>
    <definedName name="Equity_RAV_based_on_actual_gearing">'R1 - RoRE'!$D$91:$H$91</definedName>
    <definedName name="Equity_Return_on_the_RAV" localSheetId="12">'[2]R1 - RoRE'!$D$58:$H$58</definedName>
    <definedName name="Equity_Return_on_the_RAV">'R1 - RoRE'!$D$65:$H$65</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ICEO">'[1]R5 Input Page'!$G$106:$N$106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1t">'[1]R5 Input Page'!$G$129:$N$129</definedName>
    <definedName name="LCN2t">'[1]R5 Input Page'!$G$128:$N$128</definedName>
    <definedName name="LDRO">'[1]R5 Input Page'!$G$119:$N$119</definedName>
    <definedName name="LF">'[1]R8 Pass-Through Items'!$G$26:$N$26</definedName>
    <definedName name="LFA">'[1]R5 Input Page'!$G$53:$N$53</definedName>
    <definedName name="LFE">'[1]R4 Licence Condition Values'!$G$10:$N$10</definedName>
    <definedName name="Licensee">'RFPR cover'!$C$7</definedName>
    <definedName name="LookupK">'[1]R13 Correction Factor'!$B$80:$H$93</definedName>
    <definedName name="LookupPPLD">'[1]R12 DPCR4 Losses and Growth'!$D$38:$N$51</definedName>
    <definedName name="materiality_threshold" localSheetId="12">[2]Data!$F$7</definedName>
    <definedName name="materiality_threshold">Data!$F$7</definedName>
    <definedName name="MOD">'[1]R5 Input Page'!$G$44:$N$44</definedName>
    <definedName name="N_A">'R8 - Tax'!$E$11:$H$11</definedName>
    <definedName name="Navigate">'RFPR cover'!$D$2</definedName>
    <definedName name="NCPD">'[1]R5 Input Page'!$G$102:$N$102</definedName>
    <definedName name="NCPM">'[1]R5 Input Page'!$G$101:$N$101</definedName>
    <definedName name="NIAR">'[1]R5 Input Page'!$G$124:$N$124</definedName>
    <definedName name="NIAV">'[1]R4 Licence Condition Values'!$F$56</definedName>
    <definedName name="Notional_Gearing" localSheetId="12">[2]Data!$C$8</definedName>
    <definedName name="Notional_Gearing">Data!$C$8</definedName>
    <definedName name="NPV_neutral_equity_element_of_RAV" localSheetId="12">'[2]R1 - RoRE'!$D$80:$H$80</definedName>
    <definedName name="NPV_neutral_equity_element_of_RAV">'R1 - RoRE'!$D$90:$H$90</definedName>
    <definedName name="ODI_1" localSheetId="12">'[2]R1 - RoRE'!$D$61:$H$61</definedName>
    <definedName name="ODI_1">'R1 - RoRE'!$D$68:$H$68</definedName>
    <definedName name="ODI_2" localSheetId="12">'[2]R1 - RoRE'!$D$62:$H$62</definedName>
    <definedName name="ODI_2">'R1 - RoRE'!$D$69:$H$69</definedName>
    <definedName name="ODI_3" localSheetId="12">'[2]R1 - RoRE'!$D$63:$H$63</definedName>
    <definedName name="ODI_3">'R1 - RoRE'!$D$70:$H$70</definedName>
    <definedName name="ODI_4" localSheetId="12">'[2]R1 - RoRE'!$D$64:$H$64</definedName>
    <definedName name="ODI_4">'R1 - RoRE'!$D$71:$H$71</definedName>
    <definedName name="ODI_5" localSheetId="12">'[2]R1 - RoRE'!$D$65:$H$65</definedName>
    <definedName name="ODI_5">'R1 - RoRE'!$D$72:$H$72</definedName>
    <definedName name="ODI_6" localSheetId="12">'[2]R1 - RoRE'!$D$66:$H$66</definedName>
    <definedName name="ODI_6">'R1 - RoRE'!$D$73:$H$73</definedName>
    <definedName name="OOEE">'[1]R5 Input Page'!$G$103:$N$103</definedName>
    <definedName name="ORA_1" localSheetId="12">'[2]R1 - RoRE'!$D$67:$H$67</definedName>
    <definedName name="ORA_1">'R1 - RoRE'!$D$74:$H$74</definedName>
    <definedName name="ORA_2" localSheetId="12">'[2]R1 - RoRE'!$D$68:$H$68</definedName>
    <definedName name="ORA_2">'R1 - RoRE'!$D$75:$H$75</definedName>
    <definedName name="ORA_3" localSheetId="12">'[2]R1 - RoRE'!$D$69:$H$69</definedName>
    <definedName name="ORA_3">'R1 - RoRE'!$D$76:$H$76</definedName>
    <definedName name="ORA_4" localSheetId="12">'[2]R1 - RoRE'!$D$70:$H$70</definedName>
    <definedName name="ORA_4">'R1 - RoRE'!$D$77:$H$77</definedName>
    <definedName name="ORA_5" localSheetId="12">'[2]R1 - RoRE'!$D$71:$H$71</definedName>
    <definedName name="ORA_5">'R1 - RoRE'!$D$78:$H$78</definedName>
    <definedName name="ORA_6">'R1 - RoRE'!$D$79:$H$79</definedName>
    <definedName name="ORA_7">'R1 - RoRE'!$D$80:$H$80</definedName>
    <definedName name="ORA_8">'R1 - RoRE'!$D$81:$H$81</definedName>
    <definedName name="PCUDPO">'[1]R5 Input Page'!$G$74:$N$74</definedName>
    <definedName name="PCUDPT">'[1]R5 Input Page'!$G$75:$N$75</definedName>
    <definedName name="Penalties_and_fines" localSheetId="12">'[2]R1 - RoRE'!$D$72:$H$72</definedName>
    <definedName name="Penalties_and_fines">'R1 - RoRE'!$D$82:$H$82</definedName>
    <definedName name="POF">'[1]R5 Input Page'!$G$77:$N$77</definedName>
    <definedName name="PPL">'[1]R12 DPCR4 Losses and Growth'!$G$34:$N$34</definedName>
    <definedName name="PRC">'[1]R5 Input Page'!$G$76:$N$76</definedName>
    <definedName name="Price_basis">Data!$C$9</definedName>
    <definedName name="_xlnm.Print_Area" localSheetId="3">'Change log'!$A$1:$D$61</definedName>
    <definedName name="_xlnm.Print_Area" localSheetId="2">'Content &amp; Version Control'!$A$1:$H$19</definedName>
    <definedName name="_xlnm.Print_Area" localSheetId="4">'R1 - RoRE'!$A$1:$L$64</definedName>
    <definedName name="_xlnm.Print_Area" localSheetId="14">'R10 - Pensions &amp; Oth Activities'!$A$1:$H$44</definedName>
    <definedName name="_xlnm.Print_Area" localSheetId="5">'R2 - Rec to Revenue and Profit'!$A$1:$J$62</definedName>
    <definedName name="_xlnm.Print_Area" localSheetId="6">'R3 - Totex - Reconciliation'!$A$1:$J$101</definedName>
    <definedName name="_xlnm.Print_Area" localSheetId="7">'R4 - Incentives and Other Rev'!$A$1:$I$32</definedName>
    <definedName name="_xlnm.Print_Area" localSheetId="8">'R5 - Financing'!$A$1:$I$83</definedName>
    <definedName name="_xlnm.Print_Area" localSheetId="9">'R6 - Net Debt'!$A$1:$I$53</definedName>
    <definedName name="_xlnm.Print_Area" localSheetId="10">'R7 - RAV'!$A$1:$J$38</definedName>
    <definedName name="_xlnm.Print_Area" localSheetId="11">'R8 - Tax'!$A$1:$J$42</definedName>
    <definedName name="_xlnm.Print_Area" localSheetId="12">'R8a - Tax Reconciliation'!$A$1:$M$100</definedName>
    <definedName name="_xlnm.Print_Area" localSheetId="13">'R9 - Corporate Governance'!$A$1:$I$18</definedName>
    <definedName name="_xlnm.Print_Area" localSheetId="0">'RFPR cover'!$A$2:$K$82</definedName>
    <definedName name="_xlnm.Print_Titles" localSheetId="12">'R8a - Tax Reconciliation'!$8:$9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RB">'[1]R8 Pass-Through Items'!$G$36:$N$36</definedName>
    <definedName name="RBA">'[1]R5 Input Page'!$G$54:$N$54</definedName>
    <definedName name="RBE">'[1]R4 Licence Condition Values'!$G$11:$N$11</definedName>
    <definedName name="RD">'[1]R5 Input Page'!$F$47:$N$47</definedName>
    <definedName name="real_to_nominal_CF" localSheetId="12">[2]Data!$E$26:$L$26</definedName>
    <definedName name="real_to_nominal_CF">Data!$E$26:$L$26</definedName>
    <definedName name="Reporting_Year">'RFPR cover'!$C$9</definedName>
    <definedName name="reporting_yearCov">'RFPR cover'!$C$9</definedName>
    <definedName name="RF">'[1]R8 Pass-Through Items'!$G$77:$N$77</definedName>
    <definedName name="RFA">'[1]R5 Input Page'!$G$59:$N$59</definedName>
    <definedName name="RFE">'[1]R4 Licence Condition Values'!$G$15:$N$15</definedName>
    <definedName name="RIIO_2_start_date" localSheetId="12">[2]Data!$C$9</definedName>
    <definedName name="RIIO_2_start_date">'RFPR cover'!$C$6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oRE___including_financing_and_tax">'R1 - RoRE'!$D$88:$H$88</definedName>
    <definedName name="RoRE___Operational_performance">'R1 - RoRE'!$D$83:$H$83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ector">'RFPR cover'!$C$8</definedName>
    <definedName name="SectorCov" localSheetId="12">'[2]RFPR cover'!$C$6</definedName>
    <definedName name="SectorCov">'RFPR cover'!$C$8</definedName>
    <definedName name="Sharing_Factor">Data!$C$7</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[4]!Features_table[[#All],[Column1]]</definedName>
    <definedName name="Statutory_Tax_Reporting_Year" localSheetId="12">'R8a - Tax Reconciliation'!#REF!</definedName>
    <definedName name="Statutory_Tax_Reporting_Year">#REF!</definedName>
    <definedName name="Submitted_Date">'RFPR cover'!$C$11</definedName>
    <definedName name="SWPD">'[1]R5 Input Page'!$G$99:$N$99</definedName>
    <definedName name="SWPM">'[1]R5 Input Page'!$G$98:$N$98</definedName>
    <definedName name="TAUt">'[1]R4 Licence Condition Values'!$G$36:$N$36</definedName>
    <definedName name="Tax_liability_per_latest_statutory_accounts___Historical">'R8 - Tax'!#REF!</definedName>
    <definedName name="Tax_liability_per_latest_submitted_CT600____Historical">'R8 - Tax'!#REF!</definedName>
    <definedName name="Tax_liability_per_latest_submitted_CT600____Reporting_Year">'R8 - Tax'!$E$11:$I$11</definedName>
    <definedName name="Tax_performance___at_notional_gearing" localSheetId="12">'[2]R1 - RoRE'!$D$76:$H$76</definedName>
    <definedName name="Tax_performance___at_notional_gearing">'R1 - RoRE'!$D$86:$H$86</definedName>
    <definedName name="Tax_performance___impact_of_actual_gearing" localSheetId="12">'[2]R1 - RoRE'!$D$77:$H$77</definedName>
    <definedName name="Tax_performance___impact_of_actual_gearing">'R1 - RoRE'!$D$87:$H$87</definedName>
    <definedName name="TB">'[1]R8 Pass-Through Items'!$G$46:$N$46</definedName>
    <definedName name="TBUt">'[1]R4 Licence Condition Values'!$G$39:$N$39</definedName>
    <definedName name="TCAIt">'[1]R4 Licence Condition Values'!$G$51:$N$51</definedName>
    <definedName name="TCAP">'[1]R5 Input Page'!$G$113:$N$113</definedName>
    <definedName name="TCAREt">'[1]R4 Licence Condition Values'!$G$50:$N$50</definedName>
    <definedName name="TCAT">'[1]R5 Input Page'!$G$114:$N$114</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otex_outperformance" localSheetId="12">'[2]R1 - RoRE'!$D$59:$H$59</definedName>
    <definedName name="Totex_outperformance">'R1 - RoRE'!$D$66:$H$66</definedName>
    <definedName name="TQAIt">'[1]R4 Licence Condition Values'!$G$47:$N$47</definedName>
    <definedName name="TQAP">'[1]R5 Input Page'!$G$109:$N$109</definedName>
    <definedName name="TQAREt">'[1]R4 Licence Condition Values'!$G$46:$N$46</definedName>
    <definedName name="TQAT">'[1]R5 Input Page'!$G$110:$N$110</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UCPIR">'[1]R4 Licence Condition Values'!$G$27:$N$27</definedName>
    <definedName name="UNC">'[1]R5 Input Page'!$G$61:$N$61</definedName>
    <definedName name="Version__Number">'RFPR cover'!$C$10</definedName>
    <definedName name="WM_RAV_Split_22">'[5]R5 - Financing CADENT'!$Q$2</definedName>
    <definedName name="WM_RAV_Split_23">'[5]R5 - Financing CADENT'!$Q$3</definedName>
    <definedName name="WM_RAV_Split_24">'[5]R5 - Financing CADENT'!$Q$4</definedName>
    <definedName name="WM_RAV_Split_25">'[5]R5 - Financing CADENT'!$Q$5</definedName>
    <definedName name="WM_RAV_Split_26">'[5]R5 - Financing CADENT'!$Q$6</definedName>
    <definedName name="Year">'[6]Pension Pack cover'!$B$80:$B$99</definedName>
    <definedName name="YEFactor">Data!$E$28:$L$28</definedName>
    <definedName name="YEFactor_change" localSheetId="12">[2]Data!$E$27:$L$27</definedName>
    <definedName name="YEFactor_change">Data!$E$27:$L$27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1" i="4" l="1"/>
  <c r="H54" i="19"/>
  <c r="G54" i="19"/>
  <c r="F54" i="19"/>
  <c r="E54" i="19"/>
  <c r="D54" i="19"/>
  <c r="E67" i="19" l="1"/>
  <c r="D187" i="2" l="1"/>
  <c r="C18" i="4" l="1"/>
  <c r="C16" i="4"/>
  <c r="I92" i="35"/>
  <c r="I74" i="35"/>
  <c r="I75" i="35"/>
  <c r="I76" i="35"/>
  <c r="I77" i="35"/>
  <c r="I78" i="35"/>
  <c r="I79" i="35"/>
  <c r="I80" i="35"/>
  <c r="I68" i="35"/>
  <c r="I69" i="35"/>
  <c r="I70" i="35"/>
  <c r="I71" i="35"/>
  <c r="I57" i="35"/>
  <c r="I58" i="35"/>
  <c r="I59" i="35"/>
  <c r="I60" i="35"/>
  <c r="I61" i="35"/>
  <c r="I62" i="35"/>
  <c r="I50" i="35"/>
  <c r="I51" i="35"/>
  <c r="I52" i="35"/>
  <c r="I53" i="35"/>
  <c r="I54" i="35"/>
  <c r="I55" i="35"/>
  <c r="K58" i="35"/>
  <c r="I56" i="35"/>
  <c r="K56" i="35" s="1"/>
  <c r="K59" i="35"/>
  <c r="D16" i="35"/>
  <c r="B6" i="35"/>
  <c r="I91" i="35" l="1"/>
  <c r="I90" i="35"/>
  <c r="I89" i="35"/>
  <c r="I88" i="35"/>
  <c r="I87" i="35"/>
  <c r="I67" i="35"/>
  <c r="I66" i="35"/>
  <c r="I65" i="35"/>
  <c r="I26" i="35"/>
  <c r="I25" i="35"/>
  <c r="I20" i="35"/>
  <c r="I19" i="35"/>
  <c r="I18" i="35"/>
  <c r="I17" i="35"/>
  <c r="I16" i="35"/>
  <c r="I23" i="35" s="1"/>
  <c r="H23" i="35"/>
  <c r="H32" i="35" s="1"/>
  <c r="H45" i="35" s="1"/>
  <c r="H82" i="35" s="1"/>
  <c r="H94" i="35" s="1"/>
  <c r="H96" i="35" s="1"/>
  <c r="I32" i="35" l="1"/>
  <c r="I45" i="35" s="1"/>
  <c r="I82" i="35" s="1"/>
  <c r="I94" i="35" s="1"/>
  <c r="I96" i="35" s="1"/>
  <c r="F65" i="4" l="1"/>
  <c r="E23" i="35" l="1"/>
  <c r="B11" i="35"/>
  <c r="K25" i="35" l="1"/>
  <c r="K62" i="35"/>
  <c r="K55" i="35"/>
  <c r="K65" i="35"/>
  <c r="K75" i="35"/>
  <c r="K88" i="35"/>
  <c r="K66" i="35"/>
  <c r="K76" i="35"/>
  <c r="K89" i="35"/>
  <c r="K54" i="35"/>
  <c r="K26" i="35"/>
  <c r="K57" i="35"/>
  <c r="K67" i="35"/>
  <c r="K77" i="35"/>
  <c r="K90" i="35"/>
  <c r="K74" i="35"/>
  <c r="K50" i="35"/>
  <c r="K91" i="35"/>
  <c r="K51" i="35"/>
  <c r="K69" i="35"/>
  <c r="K79" i="35"/>
  <c r="K92" i="35"/>
  <c r="K87" i="35"/>
  <c r="K68" i="35"/>
  <c r="K78" i="35"/>
  <c r="K52" i="35"/>
  <c r="K60" i="35"/>
  <c r="K70" i="35"/>
  <c r="K80" i="35"/>
  <c r="K53" i="35"/>
  <c r="K61" i="35"/>
  <c r="K71" i="35"/>
  <c r="E32" i="35"/>
  <c r="E45" i="35" l="1"/>
  <c r="E82" i="35" l="1"/>
  <c r="E94" i="35" l="1"/>
  <c r="E96" i="35" l="1"/>
  <c r="D54" i="5" l="1"/>
  <c r="B3" i="35" l="1"/>
  <c r="A3" i="29" l="1"/>
  <c r="E6" i="29"/>
  <c r="E5" i="29" s="1"/>
  <c r="E7" i="29"/>
  <c r="F26" i="10"/>
  <c r="I26" i="10"/>
  <c r="H26" i="10"/>
  <c r="G26" i="10"/>
  <c r="E26" i="10"/>
  <c r="F191" i="28"/>
  <c r="F190" i="28"/>
  <c r="F79" i="28"/>
  <c r="H59" i="2"/>
  <c r="G59" i="2"/>
  <c r="F59" i="2"/>
  <c r="E59" i="2"/>
  <c r="D59" i="2"/>
  <c r="J58" i="2"/>
  <c r="J57" i="2"/>
  <c r="H30" i="2"/>
  <c r="G30" i="2"/>
  <c r="F30" i="2"/>
  <c r="E30" i="2"/>
  <c r="D30" i="2"/>
  <c r="J29" i="2"/>
  <c r="J28" i="2"/>
  <c r="D55" i="5"/>
  <c r="F101" i="4"/>
  <c r="G101" i="4"/>
  <c r="H101" i="4"/>
  <c r="I101" i="4"/>
  <c r="E101" i="4"/>
  <c r="D7" i="2"/>
  <c r="D23" i="35" l="1"/>
  <c r="J59" i="2"/>
  <c r="J30" i="2"/>
  <c r="B5" i="35"/>
  <c r="D32" i="35" l="1"/>
  <c r="K23" i="35"/>
  <c r="E57" i="11"/>
  <c r="F57" i="11"/>
  <c r="G57" i="11"/>
  <c r="H57" i="11"/>
  <c r="D57" i="11"/>
  <c r="D45" i="35" l="1"/>
  <c r="K32" i="35"/>
  <c r="E25" i="28"/>
  <c r="D27" i="28"/>
  <c r="E55" i="5"/>
  <c r="F55" i="5"/>
  <c r="G55" i="5"/>
  <c r="H55" i="5"/>
  <c r="D48" i="5"/>
  <c r="E41" i="5"/>
  <c r="F41" i="5"/>
  <c r="G41" i="5"/>
  <c r="H41" i="5"/>
  <c r="D41" i="5"/>
  <c r="D82" i="35" l="1"/>
  <c r="K45" i="35"/>
  <c r="D24" i="28"/>
  <c r="D94" i="35" l="1"/>
  <c r="K82" i="35"/>
  <c r="B76" i="1"/>
  <c r="B49" i="1" s="1"/>
  <c r="H54" i="5"/>
  <c r="G54" i="5"/>
  <c r="F54" i="5"/>
  <c r="E54" i="5"/>
  <c r="D96" i="35" l="1"/>
  <c r="K94" i="35"/>
  <c r="B22" i="1"/>
  <c r="A3" i="4"/>
  <c r="B3" i="5" l="1"/>
  <c r="D78" i="1" l="1"/>
  <c r="E78" i="1"/>
  <c r="F78" i="1"/>
  <c r="G78" i="1"/>
  <c r="H78" i="1"/>
  <c r="D79" i="1"/>
  <c r="E79" i="1"/>
  <c r="F79" i="1"/>
  <c r="G79" i="1"/>
  <c r="H79" i="1"/>
  <c r="D80" i="1"/>
  <c r="E80" i="1"/>
  <c r="F80" i="1"/>
  <c r="G80" i="1"/>
  <c r="H80" i="1"/>
  <c r="D81" i="1"/>
  <c r="E81" i="1"/>
  <c r="F81" i="1"/>
  <c r="G81" i="1"/>
  <c r="H81" i="1"/>
  <c r="E77" i="1"/>
  <c r="F77" i="1"/>
  <c r="G77" i="1"/>
  <c r="H77" i="1"/>
  <c r="D77" i="1"/>
  <c r="E75" i="1"/>
  <c r="F75" i="1"/>
  <c r="G75" i="1"/>
  <c r="H75" i="1"/>
  <c r="B75" i="1"/>
  <c r="B74" i="1"/>
  <c r="E67" i="1" l="1"/>
  <c r="F67" i="1"/>
  <c r="G67" i="1"/>
  <c r="H67" i="1"/>
  <c r="D67" i="1"/>
  <c r="D69" i="1" l="1"/>
  <c r="E69" i="1"/>
  <c r="F69" i="1"/>
  <c r="G69" i="1"/>
  <c r="H69" i="1"/>
  <c r="D70" i="1"/>
  <c r="E70" i="1"/>
  <c r="F70" i="1"/>
  <c r="G70" i="1"/>
  <c r="H70" i="1"/>
  <c r="D71" i="1"/>
  <c r="E71" i="1"/>
  <c r="F71" i="1"/>
  <c r="G71" i="1"/>
  <c r="H71" i="1"/>
  <c r="D72" i="1"/>
  <c r="E72" i="1"/>
  <c r="F72" i="1"/>
  <c r="G72" i="1"/>
  <c r="H72" i="1"/>
  <c r="D73" i="1"/>
  <c r="E73" i="1"/>
  <c r="F73" i="1"/>
  <c r="G73" i="1"/>
  <c r="H73" i="1"/>
  <c r="E68" i="1"/>
  <c r="F68" i="1"/>
  <c r="G68" i="1"/>
  <c r="H68" i="1"/>
  <c r="D68" i="1"/>
  <c r="E25" i="2" l="1"/>
  <c r="F25" i="2"/>
  <c r="G25" i="2"/>
  <c r="H25" i="2"/>
  <c r="F23" i="10" l="1"/>
  <c r="G23" i="10"/>
  <c r="H23" i="10"/>
  <c r="I23" i="10"/>
  <c r="E23" i="10"/>
  <c r="F20" i="10"/>
  <c r="G20" i="10"/>
  <c r="H20" i="10"/>
  <c r="I20" i="10"/>
  <c r="E20" i="10"/>
  <c r="E152" i="2" l="1"/>
  <c r="F152" i="2"/>
  <c r="G152" i="2"/>
  <c r="H152" i="2"/>
  <c r="E143" i="2"/>
  <c r="F74" i="4" s="1"/>
  <c r="F143" i="2"/>
  <c r="G74" i="4" s="1"/>
  <c r="G143" i="2"/>
  <c r="G153" i="2" s="1"/>
  <c r="H143" i="2"/>
  <c r="H153" i="2" s="1"/>
  <c r="D143" i="2"/>
  <c r="D152" i="2"/>
  <c r="D153" i="2" l="1"/>
  <c r="F153" i="2"/>
  <c r="I74" i="4"/>
  <c r="E153" i="2"/>
  <c r="H74" i="4"/>
  <c r="F88" i="4" l="1"/>
  <c r="F90" i="4" s="1"/>
  <c r="G88" i="4"/>
  <c r="G90" i="4" s="1"/>
  <c r="H88" i="4"/>
  <c r="H90" i="4" s="1"/>
  <c r="I88" i="4"/>
  <c r="I90" i="4" s="1"/>
  <c r="C43" i="19" l="1"/>
  <c r="C42" i="19"/>
  <c r="C40" i="19"/>
  <c r="C39" i="19"/>
  <c r="C37" i="19"/>
  <c r="C36" i="19"/>
  <c r="C34" i="19"/>
  <c r="C33" i="19"/>
  <c r="C13" i="4" l="1"/>
  <c r="C14" i="4"/>
  <c r="C15" i="4"/>
  <c r="C17" i="4"/>
  <c r="D25" i="2" l="1"/>
  <c r="H83" i="2" l="1"/>
  <c r="G83" i="2"/>
  <c r="F83" i="2"/>
  <c r="E83" i="2"/>
  <c r="D83" i="2"/>
  <c r="J82" i="2"/>
  <c r="J81" i="2"/>
  <c r="H54" i="2"/>
  <c r="G54" i="2"/>
  <c r="F54" i="2"/>
  <c r="E54" i="2"/>
  <c r="D54" i="2"/>
  <c r="J53" i="2"/>
  <c r="J52" i="2"/>
  <c r="J83" i="2" l="1"/>
  <c r="J54" i="2"/>
  <c r="J25" i="2"/>
  <c r="J24" i="2" l="1"/>
  <c r="J23" i="2"/>
  <c r="B3" i="1" l="1"/>
  <c r="F68" i="4" l="1"/>
  <c r="G68" i="4"/>
  <c r="H68" i="4"/>
  <c r="I68" i="4"/>
  <c r="E88" i="4"/>
  <c r="E90" i="4" s="1"/>
  <c r="D61" i="11" l="1"/>
  <c r="F67" i="4" l="1"/>
  <c r="G67" i="4"/>
  <c r="H67" i="4"/>
  <c r="I67" i="4"/>
  <c r="E67" i="4"/>
  <c r="B3" i="17" l="1"/>
  <c r="B3" i="27" l="1"/>
  <c r="C8" i="28"/>
  <c r="E17" i="2"/>
  <c r="E33" i="2" s="1"/>
  <c r="E46" i="2"/>
  <c r="E62" i="2" s="1"/>
  <c r="E75" i="2"/>
  <c r="D6" i="5"/>
  <c r="C8" i="13"/>
  <c r="B4" i="35" s="1"/>
  <c r="F17" i="2"/>
  <c r="F33" i="2" s="1"/>
  <c r="F46" i="2"/>
  <c r="F62" i="2" s="1"/>
  <c r="F75" i="2"/>
  <c r="G17" i="2"/>
  <c r="G33" i="2" s="1"/>
  <c r="G46" i="2"/>
  <c r="G62" i="2" s="1"/>
  <c r="G75" i="2"/>
  <c r="H17" i="2"/>
  <c r="H33" i="2" s="1"/>
  <c r="H46" i="2"/>
  <c r="H62" i="2" s="1"/>
  <c r="H75" i="2"/>
  <c r="D17" i="2"/>
  <c r="D33" i="2" s="1"/>
  <c r="D46" i="2"/>
  <c r="D62" i="2" s="1"/>
  <c r="D75" i="2"/>
  <c r="C46" i="28"/>
  <c r="D46" i="28" s="1"/>
  <c r="E46" i="28" s="1"/>
  <c r="F46" i="28" s="1"/>
  <c r="O79" i="28" s="1"/>
  <c r="E27" i="28"/>
  <c r="P54" i="28"/>
  <c r="H67" i="5"/>
  <c r="G67" i="5"/>
  <c r="F67" i="5"/>
  <c r="E67" i="5"/>
  <c r="D67" i="5"/>
  <c r="H20" i="5"/>
  <c r="G20" i="5"/>
  <c r="F20" i="5"/>
  <c r="E20" i="5"/>
  <c r="D20" i="5"/>
  <c r="C35" i="28"/>
  <c r="D35" i="28" s="1"/>
  <c r="E35" i="28" s="1"/>
  <c r="F35" i="28" s="1"/>
  <c r="H79" i="28" s="1"/>
  <c r="F56" i="28"/>
  <c r="F57" i="28"/>
  <c r="F58" i="28"/>
  <c r="F59" i="28"/>
  <c r="F60" i="28"/>
  <c r="F61" i="28"/>
  <c r="F62" i="28"/>
  <c r="F63" i="28"/>
  <c r="F64" i="28"/>
  <c r="F65" i="28"/>
  <c r="F66" i="28"/>
  <c r="F67" i="28"/>
  <c r="F68" i="28"/>
  <c r="F69" i="28"/>
  <c r="F70" i="28"/>
  <c r="F71" i="28"/>
  <c r="F72" i="28"/>
  <c r="F73" i="28"/>
  <c r="F74" i="28"/>
  <c r="F75" i="28"/>
  <c r="F76" i="28"/>
  <c r="F77" i="28"/>
  <c r="F78" i="28"/>
  <c r="F80" i="28"/>
  <c r="F81" i="28"/>
  <c r="F82" i="28"/>
  <c r="F83" i="28"/>
  <c r="F55" i="28"/>
  <c r="H105" i="2"/>
  <c r="G105" i="2"/>
  <c r="F105" i="2"/>
  <c r="E105" i="2"/>
  <c r="D105" i="2"/>
  <c r="H7" i="1"/>
  <c r="G7" i="1"/>
  <c r="F7" i="1"/>
  <c r="E7" i="1"/>
  <c r="D7" i="1"/>
  <c r="H7" i="19"/>
  <c r="G7" i="19"/>
  <c r="F7" i="19"/>
  <c r="E7" i="19"/>
  <c r="D7" i="19"/>
  <c r="H7" i="11"/>
  <c r="G7" i="11"/>
  <c r="F7" i="11"/>
  <c r="E7" i="11"/>
  <c r="D7" i="11"/>
  <c r="I7" i="29"/>
  <c r="H7" i="29"/>
  <c r="G7" i="29"/>
  <c r="F7" i="29"/>
  <c r="I7" i="10"/>
  <c r="H7" i="10"/>
  <c r="G7" i="10"/>
  <c r="F7" i="10"/>
  <c r="E7" i="10"/>
  <c r="H7" i="27"/>
  <c r="G7" i="27"/>
  <c r="F7" i="27"/>
  <c r="E7" i="27"/>
  <c r="D7" i="27"/>
  <c r="H7" i="17"/>
  <c r="G7" i="17"/>
  <c r="F7" i="17"/>
  <c r="E7" i="17"/>
  <c r="D7" i="17"/>
  <c r="H7" i="5"/>
  <c r="G7" i="5"/>
  <c r="F7" i="5"/>
  <c r="E7" i="5"/>
  <c r="D7" i="5"/>
  <c r="H7" i="2"/>
  <c r="G7" i="2"/>
  <c r="F7" i="2"/>
  <c r="E7" i="2"/>
  <c r="I7" i="4"/>
  <c r="H7" i="4"/>
  <c r="F7" i="4"/>
  <c r="E7" i="4"/>
  <c r="E6" i="4"/>
  <c r="D6" i="1"/>
  <c r="D5" i="1" s="1"/>
  <c r="G7" i="4"/>
  <c r="E61" i="11"/>
  <c r="F61" i="11"/>
  <c r="G61" i="11"/>
  <c r="H61" i="11"/>
  <c r="A3" i="21"/>
  <c r="A3" i="1"/>
  <c r="A3" i="14"/>
  <c r="A3" i="2"/>
  <c r="A3" i="5"/>
  <c r="A3" i="17"/>
  <c r="A3" i="27"/>
  <c r="A3" i="10"/>
  <c r="A3" i="11"/>
  <c r="A3" i="19"/>
  <c r="A3" i="28"/>
  <c r="D47" i="5"/>
  <c r="D40" i="5"/>
  <c r="D89" i="28"/>
  <c r="E89" i="28" s="1"/>
  <c r="F89" i="28" s="1"/>
  <c r="G89" i="28" s="1"/>
  <c r="H89" i="28" s="1"/>
  <c r="I89" i="28" s="1"/>
  <c r="I54" i="28"/>
  <c r="A2" i="14"/>
  <c r="A2" i="1"/>
  <c r="A2" i="4"/>
  <c r="A2" i="2"/>
  <c r="A2" i="5"/>
  <c r="A2" i="17"/>
  <c r="A2" i="27"/>
  <c r="A2" i="10"/>
  <c r="A2" i="29"/>
  <c r="A2" i="11"/>
  <c r="A2" i="19"/>
  <c r="A2" i="21"/>
  <c r="A2" i="28"/>
  <c r="D23" i="11"/>
  <c r="E122" i="2"/>
  <c r="F122" i="2"/>
  <c r="G122" i="2"/>
  <c r="H122" i="2"/>
  <c r="D122" i="2"/>
  <c r="F184" i="28"/>
  <c r="F183" i="28"/>
  <c r="A3" i="13"/>
  <c r="D60" i="19"/>
  <c r="D62" i="19" s="1"/>
  <c r="E60" i="19"/>
  <c r="E62" i="19" s="1"/>
  <c r="F60" i="19"/>
  <c r="F62" i="19" s="1"/>
  <c r="G60" i="19"/>
  <c r="G62" i="19" s="1"/>
  <c r="H60" i="19"/>
  <c r="H62" i="19" s="1"/>
  <c r="D67" i="19"/>
  <c r="F67" i="19"/>
  <c r="G67" i="19"/>
  <c r="H67" i="19"/>
  <c r="E46" i="11"/>
  <c r="E65" i="11" s="1"/>
  <c r="F46" i="11"/>
  <c r="F65" i="11" s="1"/>
  <c r="G46" i="11"/>
  <c r="G65" i="11" s="1"/>
  <c r="H46" i="11"/>
  <c r="H65" i="11" s="1"/>
  <c r="D46" i="11"/>
  <c r="D65" i="11" s="1"/>
  <c r="E34" i="11"/>
  <c r="F34" i="11"/>
  <c r="G34" i="11"/>
  <c r="H34" i="11"/>
  <c r="D34" i="11"/>
  <c r="E42" i="11"/>
  <c r="F42" i="11"/>
  <c r="G42" i="11"/>
  <c r="H42" i="11"/>
  <c r="D42" i="11"/>
  <c r="E40" i="5"/>
  <c r="F40" i="5"/>
  <c r="G40" i="5"/>
  <c r="H40" i="5"/>
  <c r="D117" i="2"/>
  <c r="E117" i="2"/>
  <c r="F117" i="2"/>
  <c r="G117" i="2"/>
  <c r="H117" i="2"/>
  <c r="J72" i="2"/>
  <c r="B47" i="1"/>
  <c r="D13" i="28"/>
  <c r="E13" i="28"/>
  <c r="F13" i="28"/>
  <c r="G13" i="28"/>
  <c r="H13" i="28"/>
  <c r="I13" i="28"/>
  <c r="J13" i="28"/>
  <c r="K13" i="28"/>
  <c r="L13" i="28"/>
  <c r="M13" i="28"/>
  <c r="N13" i="28"/>
  <c r="C13" i="28"/>
  <c r="C7" i="28"/>
  <c r="D52" i="19"/>
  <c r="D51" i="19"/>
  <c r="E52" i="19"/>
  <c r="F52" i="19" s="1"/>
  <c r="F51" i="19" s="1"/>
  <c r="D104" i="2"/>
  <c r="D103" i="2" s="1"/>
  <c r="F189" i="28"/>
  <c r="F188" i="28"/>
  <c r="F187" i="28"/>
  <c r="E216" i="28"/>
  <c r="F186" i="28" s="1"/>
  <c r="B216" i="28"/>
  <c r="F185" i="28" s="1"/>
  <c r="G128" i="28"/>
  <c r="B30" i="1"/>
  <c r="J48" i="17"/>
  <c r="D40" i="19"/>
  <c r="D39" i="19"/>
  <c r="H23" i="19"/>
  <c r="G23" i="19"/>
  <c r="F23" i="19"/>
  <c r="E23" i="19"/>
  <c r="D23" i="19"/>
  <c r="H16" i="11"/>
  <c r="G16" i="11"/>
  <c r="F16" i="11"/>
  <c r="E16" i="11"/>
  <c r="D16" i="11"/>
  <c r="I18" i="29"/>
  <c r="H18" i="29"/>
  <c r="G18" i="29"/>
  <c r="F18" i="29"/>
  <c r="E18" i="29"/>
  <c r="E17" i="10"/>
  <c r="H53" i="27"/>
  <c r="G53" i="27"/>
  <c r="F53" i="27"/>
  <c r="E53" i="27"/>
  <c r="D53" i="27"/>
  <c r="B9" i="17"/>
  <c r="I6" i="17"/>
  <c r="I5" i="17" s="1"/>
  <c r="I6" i="5"/>
  <c r="I5" i="5" s="1"/>
  <c r="J43" i="2"/>
  <c r="J14" i="2"/>
  <c r="I6" i="2"/>
  <c r="I5" i="2" s="1"/>
  <c r="I55" i="4"/>
  <c r="H55" i="4"/>
  <c r="G55" i="4"/>
  <c r="F55" i="4"/>
  <c r="E55" i="4"/>
  <c r="I36" i="4"/>
  <c r="H36" i="4"/>
  <c r="G36" i="4"/>
  <c r="F36" i="4"/>
  <c r="E36" i="4"/>
  <c r="B59" i="1"/>
  <c r="B56" i="1"/>
  <c r="B55" i="1"/>
  <c r="B40" i="1"/>
  <c r="B39" i="1"/>
  <c r="B32" i="1"/>
  <c r="B31" i="1"/>
  <c r="B29" i="1"/>
  <c r="B28" i="1"/>
  <c r="B13" i="1"/>
  <c r="B12" i="1"/>
  <c r="J6" i="1"/>
  <c r="G126" i="28"/>
  <c r="G125" i="28"/>
  <c r="G124" i="28"/>
  <c r="G123" i="28"/>
  <c r="D6" i="17"/>
  <c r="D5" i="17" s="1"/>
  <c r="D6" i="19"/>
  <c r="D6" i="2"/>
  <c r="D5" i="2" s="1"/>
  <c r="D6" i="11"/>
  <c r="D5" i="11" s="1"/>
  <c r="D6" i="27"/>
  <c r="D5" i="27" s="1"/>
  <c r="E6" i="10"/>
  <c r="E5" i="10" s="1"/>
  <c r="D5" i="19"/>
  <c r="E6" i="19"/>
  <c r="E5" i="19" s="1"/>
  <c r="E6" i="27"/>
  <c r="F6" i="27" s="1"/>
  <c r="B21" i="1"/>
  <c r="F6" i="19"/>
  <c r="F5" i="19" s="1"/>
  <c r="F20" i="4"/>
  <c r="G20" i="4"/>
  <c r="H20" i="4"/>
  <c r="I20" i="4"/>
  <c r="E24" i="10" l="1"/>
  <c r="E27" i="10" s="1"/>
  <c r="H56" i="17"/>
  <c r="J49" i="17"/>
  <c r="J53" i="17"/>
  <c r="J51" i="17"/>
  <c r="J52" i="17"/>
  <c r="F56" i="17"/>
  <c r="J50" i="17"/>
  <c r="J54" i="17"/>
  <c r="E24" i="27"/>
  <c r="E43" i="27" s="1"/>
  <c r="E45" i="27" s="1"/>
  <c r="E49" i="27" s="1"/>
  <c r="F48" i="27" s="1"/>
  <c r="D24" i="27"/>
  <c r="D43" i="27" s="1"/>
  <c r="D45" i="27" s="1"/>
  <c r="D49" i="27" s="1"/>
  <c r="H24" i="27"/>
  <c r="H43" i="27" s="1"/>
  <c r="H45" i="27" s="1"/>
  <c r="H49" i="27" s="1"/>
  <c r="G67" i="35"/>
  <c r="G25" i="35"/>
  <c r="G17" i="35"/>
  <c r="G66" i="35"/>
  <c r="G16" i="35"/>
  <c r="G91" i="35"/>
  <c r="G56" i="35"/>
  <c r="G19" i="35"/>
  <c r="G87" i="35"/>
  <c r="G65" i="35"/>
  <c r="G88" i="35"/>
  <c r="G26" i="35"/>
  <c r="G90" i="35"/>
  <c r="G18" i="35"/>
  <c r="G89" i="35"/>
  <c r="G20" i="35"/>
  <c r="C99" i="35"/>
  <c r="E191" i="28"/>
  <c r="J54" i="28"/>
  <c r="J73" i="28" s="1"/>
  <c r="I79" i="28"/>
  <c r="Q54" i="28"/>
  <c r="P79" i="28"/>
  <c r="C9" i="28"/>
  <c r="C30" i="2" s="1"/>
  <c r="I57" i="2"/>
  <c r="I59" i="2"/>
  <c r="I58" i="2"/>
  <c r="I28" i="2"/>
  <c r="I29" i="2"/>
  <c r="I30" i="2"/>
  <c r="E80" i="4"/>
  <c r="E92" i="4" s="1"/>
  <c r="E81" i="4"/>
  <c r="H71" i="4"/>
  <c r="H77" i="4"/>
  <c r="H81" i="4" s="1"/>
  <c r="I71" i="4"/>
  <c r="I80" i="4" s="1"/>
  <c r="I92" i="4" s="1"/>
  <c r="I77" i="4"/>
  <c r="I81" i="4" s="1"/>
  <c r="G71" i="4"/>
  <c r="G80" i="4" s="1"/>
  <c r="G92" i="4" s="1"/>
  <c r="G77" i="4"/>
  <c r="G81" i="4" s="1"/>
  <c r="F71" i="4"/>
  <c r="F77" i="4"/>
  <c r="F81" i="4" s="1"/>
  <c r="E5" i="27"/>
  <c r="E30" i="10"/>
  <c r="D26" i="28"/>
  <c r="D28" i="28"/>
  <c r="E21" i="29"/>
  <c r="F21" i="29"/>
  <c r="G21" i="29"/>
  <c r="H21" i="29"/>
  <c r="I21" i="29"/>
  <c r="E6" i="5"/>
  <c r="D5" i="5"/>
  <c r="D85" i="2"/>
  <c r="I85" i="2" s="1"/>
  <c r="D86" i="2"/>
  <c r="G85" i="2"/>
  <c r="G86" i="2"/>
  <c r="E86" i="2"/>
  <c r="E85" i="2"/>
  <c r="H86" i="2"/>
  <c r="H85" i="2"/>
  <c r="F85" i="2"/>
  <c r="F86" i="2"/>
  <c r="D61" i="2"/>
  <c r="I61" i="2" s="1"/>
  <c r="I62" i="2"/>
  <c r="G61" i="2"/>
  <c r="E61" i="2"/>
  <c r="H61" i="2"/>
  <c r="F61" i="2"/>
  <c r="F32" i="2"/>
  <c r="H32" i="2"/>
  <c r="D32" i="2"/>
  <c r="I33" i="2"/>
  <c r="G32" i="2"/>
  <c r="E32" i="2"/>
  <c r="E28" i="28"/>
  <c r="E32" i="10" s="1"/>
  <c r="F6" i="4"/>
  <c r="H123" i="2"/>
  <c r="H155" i="2" s="1"/>
  <c r="H189" i="2" s="1"/>
  <c r="F123" i="2"/>
  <c r="E123" i="2"/>
  <c r="D56" i="17"/>
  <c r="E56" i="17"/>
  <c r="E4" i="29"/>
  <c r="G45" i="11"/>
  <c r="G64" i="11" s="1"/>
  <c r="D45" i="11"/>
  <c r="D64" i="11" s="1"/>
  <c r="F45" i="11"/>
  <c r="F64" i="11" s="1"/>
  <c r="E45" i="11"/>
  <c r="E64" i="11" s="1"/>
  <c r="H45" i="11"/>
  <c r="H64" i="11" s="1"/>
  <c r="B20" i="1"/>
  <c r="I81" i="2"/>
  <c r="I82" i="2"/>
  <c r="I83" i="2"/>
  <c r="I25" i="2"/>
  <c r="I54" i="2"/>
  <c r="I53" i="2"/>
  <c r="I52" i="2"/>
  <c r="I24" i="2"/>
  <c r="I23" i="2"/>
  <c r="D123" i="2"/>
  <c r="D155" i="2" s="1"/>
  <c r="D189" i="2" s="1"/>
  <c r="G123" i="2"/>
  <c r="F6" i="29"/>
  <c r="F5" i="29" s="1"/>
  <c r="F6" i="10"/>
  <c r="G6" i="10" s="1"/>
  <c r="H6" i="10" s="1"/>
  <c r="F5" i="27"/>
  <c r="G6" i="27"/>
  <c r="E6" i="17"/>
  <c r="E6" i="2"/>
  <c r="E6" i="11"/>
  <c r="E51" i="19"/>
  <c r="G6" i="19"/>
  <c r="E24" i="28"/>
  <c r="E65" i="4"/>
  <c r="E5" i="4"/>
  <c r="G52" i="19"/>
  <c r="F25" i="28"/>
  <c r="F6" i="5"/>
  <c r="E104" i="2"/>
  <c r="E103" i="2" s="1"/>
  <c r="E159" i="2" s="1"/>
  <c r="E6" i="1"/>
  <c r="F6" i="1" s="1"/>
  <c r="F5" i="1" s="1"/>
  <c r="G46" i="28"/>
  <c r="H46" i="28" s="1"/>
  <c r="O71" i="28"/>
  <c r="P83" i="28"/>
  <c r="Q77" i="28"/>
  <c r="O77" i="28"/>
  <c r="P69" i="28"/>
  <c r="O69" i="28"/>
  <c r="Q65" i="28"/>
  <c r="O81" i="28"/>
  <c r="Q75" i="28"/>
  <c r="O80" i="28"/>
  <c r="Q61" i="28"/>
  <c r="O74" i="28"/>
  <c r="O78" i="28"/>
  <c r="P70" i="28"/>
  <c r="P76" i="28"/>
  <c r="Q73" i="28"/>
  <c r="P82" i="28"/>
  <c r="Q68" i="28"/>
  <c r="Q83" i="28"/>
  <c r="O73" i="28"/>
  <c r="O83" i="28"/>
  <c r="Q63" i="28"/>
  <c r="Q71" i="28"/>
  <c r="P80" i="28"/>
  <c r="O76" i="28"/>
  <c r="Q81" i="28"/>
  <c r="Q78" i="28"/>
  <c r="O75" i="28"/>
  <c r="P81" i="28"/>
  <c r="Q55" i="28"/>
  <c r="Q69" i="28"/>
  <c r="P77" i="28"/>
  <c r="Q64" i="28"/>
  <c r="Q76" i="28"/>
  <c r="Q57" i="28"/>
  <c r="O72" i="28"/>
  <c r="O70" i="28"/>
  <c r="Q66" i="28"/>
  <c r="P75" i="28"/>
  <c r="Q56" i="28"/>
  <c r="Q74" i="28"/>
  <c r="P78" i="28"/>
  <c r="P74" i="28"/>
  <c r="Q62" i="28"/>
  <c r="Q82" i="28"/>
  <c r="Q58" i="28"/>
  <c r="P73" i="28"/>
  <c r="Q67" i="28"/>
  <c r="Q72" i="28"/>
  <c r="P72" i="28"/>
  <c r="O82" i="28"/>
  <c r="Q80" i="28"/>
  <c r="Q60" i="28"/>
  <c r="P71" i="28"/>
  <c r="Q59" i="28"/>
  <c r="Q70" i="28"/>
  <c r="H69" i="28"/>
  <c r="H78" i="28"/>
  <c r="H70" i="28"/>
  <c r="I80" i="28"/>
  <c r="I71" i="28"/>
  <c r="J82" i="28"/>
  <c r="H77" i="28"/>
  <c r="I78" i="28"/>
  <c r="I70" i="28"/>
  <c r="J81" i="28"/>
  <c r="G35" i="28"/>
  <c r="H35" i="28" s="1"/>
  <c r="I35" i="28" s="1"/>
  <c r="J35" i="28" s="1"/>
  <c r="H76" i="28"/>
  <c r="I77" i="28"/>
  <c r="J66" i="28"/>
  <c r="J71" i="28"/>
  <c r="H75" i="28"/>
  <c r="I76" i="28"/>
  <c r="J78" i="28"/>
  <c r="H73" i="28"/>
  <c r="J76" i="28"/>
  <c r="H83" i="28"/>
  <c r="H74" i="28"/>
  <c r="I69" i="28"/>
  <c r="I75" i="28"/>
  <c r="J77" i="28"/>
  <c r="H82" i="28"/>
  <c r="I83" i="28"/>
  <c r="H81" i="28"/>
  <c r="H72" i="28"/>
  <c r="I82" i="28"/>
  <c r="I73" i="28"/>
  <c r="J69" i="28"/>
  <c r="H80" i="28"/>
  <c r="H71" i="28"/>
  <c r="I81" i="28"/>
  <c r="I72" i="28"/>
  <c r="J61" i="28"/>
  <c r="J74" i="28"/>
  <c r="I74" i="28"/>
  <c r="J55" i="28"/>
  <c r="H63" i="17"/>
  <c r="H57" i="4"/>
  <c r="H59" i="4" s="1"/>
  <c r="F57" i="4"/>
  <c r="F59" i="4" s="1"/>
  <c r="I57" i="4"/>
  <c r="I59" i="4" s="1"/>
  <c r="G57" i="4"/>
  <c r="G59" i="4" s="1"/>
  <c r="E57" i="4"/>
  <c r="E59" i="4" s="1"/>
  <c r="B48" i="1"/>
  <c r="E123" i="28"/>
  <c r="F123" i="28" s="1"/>
  <c r="E127" i="28"/>
  <c r="F127" i="28" s="1"/>
  <c r="D63" i="17"/>
  <c r="G63" i="17"/>
  <c r="E126" i="28"/>
  <c r="F126" i="28" s="1"/>
  <c r="E190" i="28"/>
  <c r="E187" i="28"/>
  <c r="E63" i="17"/>
  <c r="F26" i="28"/>
  <c r="E158" i="2" s="1"/>
  <c r="I26" i="28"/>
  <c r="E184" i="28"/>
  <c r="B120" i="28"/>
  <c r="E26" i="28"/>
  <c r="H26" i="28"/>
  <c r="E183" i="28"/>
  <c r="K26" i="28"/>
  <c r="G26" i="28"/>
  <c r="E189" i="28"/>
  <c r="E129" i="28"/>
  <c r="F129" i="28" s="1"/>
  <c r="J26" i="28"/>
  <c r="E128" i="28"/>
  <c r="F128" i="28" s="1"/>
  <c r="E186" i="28"/>
  <c r="E188" i="28"/>
  <c r="E124" i="28"/>
  <c r="F124" i="28" s="1"/>
  <c r="E125" i="28"/>
  <c r="F125" i="28" s="1"/>
  <c r="E185" i="28"/>
  <c r="F63" i="17"/>
  <c r="I32" i="2" l="1"/>
  <c r="F24" i="27"/>
  <c r="F43" i="27" s="1"/>
  <c r="F45" i="27" s="1"/>
  <c r="F49" i="27" s="1"/>
  <c r="G48" i="27" s="1"/>
  <c r="G24" i="27"/>
  <c r="G43" i="27" s="1"/>
  <c r="G45" i="27" s="1"/>
  <c r="G49" i="27" s="1"/>
  <c r="H48" i="27" s="1"/>
  <c r="H55" i="27" s="1"/>
  <c r="F17" i="10"/>
  <c r="F24" i="10" s="1"/>
  <c r="G17" i="10" s="1"/>
  <c r="G24" i="10" s="1"/>
  <c r="H17" i="10" s="1"/>
  <c r="H24" i="10" s="1"/>
  <c r="I17" i="10" s="1"/>
  <c r="I24" i="10" s="1"/>
  <c r="J47" i="17"/>
  <c r="G56" i="17"/>
  <c r="J56" i="17" s="1"/>
  <c r="G105" i="4"/>
  <c r="F29" i="17"/>
  <c r="G29" i="17"/>
  <c r="H97" i="4" s="1"/>
  <c r="E46" i="27"/>
  <c r="D55" i="27"/>
  <c r="E48" i="27"/>
  <c r="E55" i="27" s="1"/>
  <c r="D46" i="27"/>
  <c r="H46" i="27"/>
  <c r="H98" i="35"/>
  <c r="H99" i="35" s="1"/>
  <c r="I98" i="35"/>
  <c r="I99" i="35" s="1"/>
  <c r="B186" i="28"/>
  <c r="B187" i="28"/>
  <c r="B188" i="28"/>
  <c r="B189" i="28"/>
  <c r="B190" i="28"/>
  <c r="B184" i="28"/>
  <c r="B185" i="28"/>
  <c r="B191" i="28"/>
  <c r="B66" i="5" s="1"/>
  <c r="J75" i="28"/>
  <c r="J60" i="28"/>
  <c r="J83" i="28"/>
  <c r="J62" i="28"/>
  <c r="J64" i="28"/>
  <c r="J57" i="28"/>
  <c r="J72" i="28"/>
  <c r="C83" i="1"/>
  <c r="C97" i="2"/>
  <c r="C81" i="1"/>
  <c r="J80" i="28"/>
  <c r="J59" i="28"/>
  <c r="J68" i="28"/>
  <c r="J56" i="28"/>
  <c r="J70" i="28"/>
  <c r="J58" i="28"/>
  <c r="J67" i="28"/>
  <c r="J65" i="28"/>
  <c r="J63" i="28"/>
  <c r="C62" i="27"/>
  <c r="D65" i="29"/>
  <c r="D67" i="29"/>
  <c r="C23" i="19"/>
  <c r="C71" i="17"/>
  <c r="C89" i="2"/>
  <c r="C62" i="5"/>
  <c r="C12" i="5"/>
  <c r="C15" i="2"/>
  <c r="D20" i="10"/>
  <c r="C98" i="2"/>
  <c r="C44" i="17"/>
  <c r="C19" i="2"/>
  <c r="C20" i="5"/>
  <c r="C77" i="2"/>
  <c r="C87" i="17"/>
  <c r="C14" i="5"/>
  <c r="C91" i="2"/>
  <c r="C87" i="1"/>
  <c r="C83" i="17"/>
  <c r="D43" i="10"/>
  <c r="C43" i="2"/>
  <c r="C16" i="5"/>
  <c r="C67" i="5"/>
  <c r="C67" i="2"/>
  <c r="C63" i="27"/>
  <c r="D62" i="29"/>
  <c r="D12" i="10"/>
  <c r="D68" i="29"/>
  <c r="C64" i="5"/>
  <c r="C80" i="1"/>
  <c r="C70" i="17"/>
  <c r="C82" i="1"/>
  <c r="C14" i="2"/>
  <c r="C85" i="1"/>
  <c r="D19" i="10"/>
  <c r="C38" i="2"/>
  <c r="D40" i="10"/>
  <c r="D41" i="10"/>
  <c r="D60" i="29"/>
  <c r="D39" i="10"/>
  <c r="D44" i="10"/>
  <c r="C52" i="5"/>
  <c r="C70" i="1"/>
  <c r="D38" i="29"/>
  <c r="C79" i="1"/>
  <c r="C75" i="1"/>
  <c r="C49" i="2"/>
  <c r="C73" i="2"/>
  <c r="C66" i="1"/>
  <c r="C21" i="19"/>
  <c r="D21" i="10"/>
  <c r="C84" i="1"/>
  <c r="C83" i="2"/>
  <c r="C44" i="2"/>
  <c r="C65" i="5"/>
  <c r="D45" i="10"/>
  <c r="C71" i="2"/>
  <c r="D18" i="10"/>
  <c r="C72" i="2"/>
  <c r="C64" i="27"/>
  <c r="C91" i="1"/>
  <c r="C20" i="2"/>
  <c r="C18" i="19"/>
  <c r="D23" i="10"/>
  <c r="C85" i="17"/>
  <c r="C52" i="2"/>
  <c r="C15" i="5"/>
  <c r="C66" i="5"/>
  <c r="C77" i="1"/>
  <c r="C69" i="1"/>
  <c r="C90" i="1"/>
  <c r="C54" i="2"/>
  <c r="C17" i="5"/>
  <c r="C77" i="17"/>
  <c r="C74" i="1"/>
  <c r="C57" i="17"/>
  <c r="C41" i="5"/>
  <c r="D58" i="29"/>
  <c r="C67" i="1"/>
  <c r="D22" i="10"/>
  <c r="C88" i="1"/>
  <c r="D24" i="10"/>
  <c r="C68" i="1"/>
  <c r="C78" i="2"/>
  <c r="C48" i="2"/>
  <c r="C42" i="2"/>
  <c r="C82" i="2"/>
  <c r="B63" i="1"/>
  <c r="C73" i="1"/>
  <c r="C65" i="1"/>
  <c r="C18" i="5"/>
  <c r="D17" i="10"/>
  <c r="D15" i="10"/>
  <c r="D54" i="29"/>
  <c r="C86" i="1"/>
  <c r="D50" i="29"/>
  <c r="C72" i="1"/>
  <c r="D16" i="10"/>
  <c r="C96" i="2"/>
  <c r="C63" i="5"/>
  <c r="C13" i="2"/>
  <c r="C78" i="1"/>
  <c r="C22" i="19"/>
  <c r="C71" i="1"/>
  <c r="C54" i="19"/>
  <c r="R54" i="28"/>
  <c r="Q79" i="28"/>
  <c r="K54" i="28"/>
  <c r="K77" i="28" s="1"/>
  <c r="J79" i="28"/>
  <c r="C53" i="2"/>
  <c r="C53" i="5"/>
  <c r="C37" i="2"/>
  <c r="C37" i="5"/>
  <c r="C65" i="2"/>
  <c r="C45" i="5"/>
  <c r="C25" i="2"/>
  <c r="C19" i="5"/>
  <c r="C38" i="5"/>
  <c r="C23" i="2"/>
  <c r="C81" i="2"/>
  <c r="C48" i="5"/>
  <c r="C66" i="2"/>
  <c r="C24" i="2"/>
  <c r="C39" i="5"/>
  <c r="C90" i="2"/>
  <c r="C36" i="2"/>
  <c r="C76" i="1"/>
  <c r="C54" i="5"/>
  <c r="C40" i="5"/>
  <c r="C58" i="2"/>
  <c r="C28" i="2"/>
  <c r="C29" i="2"/>
  <c r="C51" i="5"/>
  <c r="C46" i="5"/>
  <c r="C55" i="5"/>
  <c r="C59" i="2"/>
  <c r="C57" i="2"/>
  <c r="C44" i="5"/>
  <c r="C47" i="5"/>
  <c r="H78" i="4"/>
  <c r="E78" i="4"/>
  <c r="F78" i="4"/>
  <c r="I78" i="4"/>
  <c r="H80" i="4"/>
  <c r="H92" i="4" s="1"/>
  <c r="G78" i="4"/>
  <c r="F80" i="4"/>
  <c r="F92" i="4" s="1"/>
  <c r="C6" i="28"/>
  <c r="E98" i="35"/>
  <c r="E99" i="35" s="1"/>
  <c r="D98" i="35"/>
  <c r="D99" i="35" s="1"/>
  <c r="F5" i="4"/>
  <c r="G6" i="4"/>
  <c r="G5" i="4" s="1"/>
  <c r="E76" i="1"/>
  <c r="D76" i="1"/>
  <c r="G6" i="1"/>
  <c r="E5" i="1"/>
  <c r="E5" i="5"/>
  <c r="E74" i="1"/>
  <c r="J86" i="2"/>
  <c r="J85" i="2"/>
  <c r="J33" i="2"/>
  <c r="J62" i="2"/>
  <c r="J61" i="2"/>
  <c r="J32" i="2"/>
  <c r="F28" i="28"/>
  <c r="F27" i="28"/>
  <c r="G155" i="2"/>
  <c r="G189" i="2" s="1"/>
  <c r="F155" i="2"/>
  <c r="F189" i="2" s="1"/>
  <c r="E155" i="2"/>
  <c r="E189" i="2" s="1"/>
  <c r="G6" i="29"/>
  <c r="G5" i="29" s="1"/>
  <c r="F4" i="29"/>
  <c r="F5" i="10"/>
  <c r="F27" i="10" s="1"/>
  <c r="G5" i="10"/>
  <c r="G27" i="10" s="1"/>
  <c r="E5" i="2"/>
  <c r="F6" i="2"/>
  <c r="F158" i="2" s="1"/>
  <c r="E5" i="17"/>
  <c r="F6" i="17"/>
  <c r="G5" i="27"/>
  <c r="H6" i="27"/>
  <c r="H5" i="27" s="1"/>
  <c r="E5" i="11"/>
  <c r="F6" i="11"/>
  <c r="G6" i="5"/>
  <c r="G5" i="19"/>
  <c r="H6" i="19"/>
  <c r="H5" i="19" s="1"/>
  <c r="F104" i="2"/>
  <c r="F24" i="28"/>
  <c r="G25" i="28"/>
  <c r="F5" i="5"/>
  <c r="H52" i="19"/>
  <c r="H51" i="19" s="1"/>
  <c r="G51" i="19"/>
  <c r="H5" i="10"/>
  <c r="H27" i="10" s="1"/>
  <c r="I6" i="10"/>
  <c r="I46" i="28"/>
  <c r="J46" i="28" s="1"/>
  <c r="H6" i="1"/>
  <c r="H5" i="1" s="1"/>
  <c r="G5" i="1"/>
  <c r="K56" i="28"/>
  <c r="B125" i="28"/>
  <c r="B15" i="5" s="1"/>
  <c r="B69" i="1" s="1"/>
  <c r="B128" i="28"/>
  <c r="B18" i="5" s="1"/>
  <c r="B72" i="1" s="1"/>
  <c r="B126" i="28"/>
  <c r="B16" i="5" s="1"/>
  <c r="B70" i="1" s="1"/>
  <c r="B127" i="28"/>
  <c r="B17" i="5" s="1"/>
  <c r="B71" i="1" s="1"/>
  <c r="B129" i="28"/>
  <c r="B19" i="5" s="1"/>
  <c r="B73" i="1" s="1"/>
  <c r="B124" i="28"/>
  <c r="B14" i="5" s="1"/>
  <c r="B68" i="1" s="1"/>
  <c r="H15" i="4"/>
  <c r="H18" i="4" s="1"/>
  <c r="D75" i="1"/>
  <c r="D74" i="1"/>
  <c r="E15" i="4"/>
  <c r="E18" i="4" s="1"/>
  <c r="E20" i="4" s="1"/>
  <c r="B130" i="28"/>
  <c r="G15" i="4"/>
  <c r="G18" i="4" s="1"/>
  <c r="F15" i="4"/>
  <c r="F18" i="4" s="1"/>
  <c r="E18" i="19"/>
  <c r="E82" i="1"/>
  <c r="I15" i="4"/>
  <c r="I18" i="4" s="1"/>
  <c r="G46" i="27" l="1"/>
  <c r="F55" i="27"/>
  <c r="G55" i="27"/>
  <c r="F46" i="27"/>
  <c r="H29" i="17"/>
  <c r="I97" i="4" s="1"/>
  <c r="G97" i="4"/>
  <c r="G31" i="17"/>
  <c r="G34" i="17" s="1"/>
  <c r="F32" i="10"/>
  <c r="F31" i="17"/>
  <c r="F34" i="17" s="1"/>
  <c r="E29" i="17"/>
  <c r="D29" i="17"/>
  <c r="E95" i="4"/>
  <c r="E105" i="4" s="1"/>
  <c r="K99" i="35"/>
  <c r="H6" i="4"/>
  <c r="H5" i="4" s="1"/>
  <c r="G65" i="4"/>
  <c r="K65" i="28"/>
  <c r="F37" i="10" s="1"/>
  <c r="F41" i="10" s="1"/>
  <c r="F40" i="10" s="1"/>
  <c r="K59" i="28"/>
  <c r="K82" i="28"/>
  <c r="K62" i="28"/>
  <c r="K58" i="28"/>
  <c r="K80" i="28"/>
  <c r="K55" i="28"/>
  <c r="K72" i="28"/>
  <c r="K63" i="28"/>
  <c r="K57" i="28"/>
  <c r="K67" i="28"/>
  <c r="K76" i="28"/>
  <c r="K74" i="28"/>
  <c r="K66" i="28"/>
  <c r="K70" i="28"/>
  <c r="K83" i="28"/>
  <c r="K61" i="28"/>
  <c r="K71" i="28"/>
  <c r="K73" i="28"/>
  <c r="K64" i="28"/>
  <c r="K75" i="28"/>
  <c r="K60" i="28"/>
  <c r="K81" i="28"/>
  <c r="K68" i="28"/>
  <c r="L54" i="28"/>
  <c r="K79" i="28"/>
  <c r="K78" i="28"/>
  <c r="K69" i="28"/>
  <c r="S54" i="28"/>
  <c r="R79" i="28"/>
  <c r="R61" i="28"/>
  <c r="R81" i="28"/>
  <c r="R59" i="28"/>
  <c r="R73" i="28"/>
  <c r="R72" i="28"/>
  <c r="R74" i="28"/>
  <c r="R56" i="28"/>
  <c r="R71" i="28"/>
  <c r="R60" i="28"/>
  <c r="R63" i="28"/>
  <c r="R69" i="28"/>
  <c r="R82" i="28"/>
  <c r="R58" i="28"/>
  <c r="R57" i="28"/>
  <c r="R62" i="28"/>
  <c r="R75" i="28"/>
  <c r="R78" i="28"/>
  <c r="R76" i="28"/>
  <c r="R83" i="28"/>
  <c r="R67" i="28"/>
  <c r="R66" i="28"/>
  <c r="R55" i="28"/>
  <c r="R80" i="28"/>
  <c r="R70" i="28"/>
  <c r="R68" i="28"/>
  <c r="R64" i="28"/>
  <c r="R77" i="28"/>
  <c r="R65" i="28"/>
  <c r="B63" i="5"/>
  <c r="B78" i="1" s="1"/>
  <c r="B62" i="5"/>
  <c r="B77" i="1" s="1"/>
  <c r="B81" i="1"/>
  <c r="B65" i="5"/>
  <c r="B80" i="1" s="1"/>
  <c r="B64" i="5"/>
  <c r="B79" i="1" s="1"/>
  <c r="F76" i="1"/>
  <c r="I6" i="4"/>
  <c r="I5" i="4" s="1"/>
  <c r="H65" i="4"/>
  <c r="B19" i="1"/>
  <c r="B46" i="1"/>
  <c r="G28" i="28"/>
  <c r="G27" i="28"/>
  <c r="H105" i="4"/>
  <c r="F93" i="4"/>
  <c r="I5" i="10"/>
  <c r="I27" i="10" s="1"/>
  <c r="I105" i="4"/>
  <c r="G5" i="5"/>
  <c r="E37" i="10"/>
  <c r="E41" i="10" s="1"/>
  <c r="G4" i="29"/>
  <c r="H6" i="29"/>
  <c r="H5" i="29" s="1"/>
  <c r="F5" i="2"/>
  <c r="G6" i="2"/>
  <c r="G158" i="2" s="1"/>
  <c r="F5" i="17"/>
  <c r="G6" i="17"/>
  <c r="J71" i="1"/>
  <c r="F5" i="11"/>
  <c r="G6" i="11"/>
  <c r="J72" i="1"/>
  <c r="H6" i="5"/>
  <c r="G104" i="2"/>
  <c r="F103" i="2"/>
  <c r="F159" i="2" s="1"/>
  <c r="F74" i="1"/>
  <c r="E191" i="2"/>
  <c r="G24" i="28"/>
  <c r="H25" i="28"/>
  <c r="F18" i="19"/>
  <c r="F57" i="17"/>
  <c r="F82" i="1"/>
  <c r="B42" i="1"/>
  <c r="B16" i="1"/>
  <c r="E57" i="17"/>
  <c r="F40" i="17" l="1"/>
  <c r="H31" i="17"/>
  <c r="H34" i="17" s="1"/>
  <c r="F97" i="4"/>
  <c r="E31" i="17"/>
  <c r="F105" i="4"/>
  <c r="D31" i="17"/>
  <c r="D34" i="17" s="1"/>
  <c r="E97" i="4"/>
  <c r="G32" i="10"/>
  <c r="T54" i="28"/>
  <c r="S79" i="28"/>
  <c r="S75" i="28"/>
  <c r="S71" i="28"/>
  <c r="S62" i="28"/>
  <c r="S67" i="28"/>
  <c r="S78" i="28"/>
  <c r="S69" i="28"/>
  <c r="S55" i="28"/>
  <c r="S80" i="28"/>
  <c r="S57" i="28"/>
  <c r="S83" i="28"/>
  <c r="S64" i="28"/>
  <c r="S72" i="28"/>
  <c r="S76" i="28"/>
  <c r="S77" i="28"/>
  <c r="S70" i="28"/>
  <c r="S61" i="28"/>
  <c r="S66" i="28"/>
  <c r="S59" i="28"/>
  <c r="S68" i="28"/>
  <c r="S82" i="28"/>
  <c r="S63" i="28"/>
  <c r="S58" i="28"/>
  <c r="S81" i="28"/>
  <c r="S74" i="28"/>
  <c r="S65" i="28"/>
  <c r="G37" i="10" s="1"/>
  <c r="G41" i="10" s="1"/>
  <c r="G39" i="10" s="1"/>
  <c r="G43" i="10" s="1"/>
  <c r="S73" i="28"/>
  <c r="S60" i="28"/>
  <c r="S56" i="28"/>
  <c r="M54" i="28"/>
  <c r="L79" i="28"/>
  <c r="L73" i="28"/>
  <c r="L59" i="28"/>
  <c r="L77" i="28"/>
  <c r="L61" i="28"/>
  <c r="L75" i="28"/>
  <c r="L57" i="28"/>
  <c r="L80" i="28"/>
  <c r="L58" i="28"/>
  <c r="L71" i="28"/>
  <c r="L72" i="28"/>
  <c r="L66" i="28"/>
  <c r="L63" i="28"/>
  <c r="L70" i="28"/>
  <c r="L83" i="28"/>
  <c r="L62" i="28"/>
  <c r="L76" i="28"/>
  <c r="L69" i="28"/>
  <c r="L78" i="28"/>
  <c r="L67" i="28"/>
  <c r="L56" i="28"/>
  <c r="L82" i="28"/>
  <c r="L65" i="28"/>
  <c r="L55" i="28"/>
  <c r="L60" i="28"/>
  <c r="L68" i="28"/>
  <c r="L81" i="28"/>
  <c r="L74" i="28"/>
  <c r="L64" i="28"/>
  <c r="B26" i="1"/>
  <c r="B53" i="1"/>
  <c r="B23" i="1"/>
  <c r="B50" i="1"/>
  <c r="B24" i="1"/>
  <c r="B51" i="1"/>
  <c r="B27" i="1"/>
  <c r="B54" i="1"/>
  <c r="B52" i="1"/>
  <c r="B25" i="1"/>
  <c r="I65" i="4"/>
  <c r="G76" i="1"/>
  <c r="H28" i="28"/>
  <c r="H32" i="10" s="1"/>
  <c r="H27" i="28"/>
  <c r="G40" i="17" s="1"/>
  <c r="G93" i="4"/>
  <c r="I6" i="29"/>
  <c r="I5" i="29" s="1"/>
  <c r="H4" i="29"/>
  <c r="H5" i="5"/>
  <c r="E40" i="10"/>
  <c r="D90" i="1" s="1"/>
  <c r="E39" i="10"/>
  <c r="E43" i="10" s="1"/>
  <c r="D58" i="27"/>
  <c r="D63" i="27" s="1"/>
  <c r="F39" i="10"/>
  <c r="F43" i="10" s="1"/>
  <c r="G18" i="19"/>
  <c r="H6" i="17"/>
  <c r="G5" i="17"/>
  <c r="I54" i="17"/>
  <c r="G74" i="1"/>
  <c r="G5" i="2"/>
  <c r="H6" i="2"/>
  <c r="H6" i="11"/>
  <c r="H5" i="11" s="1"/>
  <c r="G5" i="11"/>
  <c r="I56" i="17"/>
  <c r="D56" i="27"/>
  <c r="G103" i="2"/>
  <c r="G159" i="2" s="1"/>
  <c r="H104" i="2"/>
  <c r="F191" i="2"/>
  <c r="I25" i="28"/>
  <c r="G57" i="17"/>
  <c r="H24" i="28"/>
  <c r="G82" i="1"/>
  <c r="F44" i="10"/>
  <c r="E90" i="1"/>
  <c r="B43" i="1"/>
  <c r="B15" i="1"/>
  <c r="J69" i="1"/>
  <c r="J81" i="1"/>
  <c r="J78" i="1"/>
  <c r="F31" i="29"/>
  <c r="F34" i="29" s="1"/>
  <c r="F38" i="29" s="1"/>
  <c r="B44" i="1"/>
  <c r="B17" i="1"/>
  <c r="B45" i="1"/>
  <c r="B18" i="1"/>
  <c r="J74" i="1"/>
  <c r="K75" i="1"/>
  <c r="J75" i="1"/>
  <c r="E58" i="27"/>
  <c r="E56" i="27"/>
  <c r="B41" i="1"/>
  <c r="B14" i="1"/>
  <c r="J70" i="1"/>
  <c r="J73" i="1"/>
  <c r="J22" i="1" l="1"/>
  <c r="J24" i="1"/>
  <c r="J25" i="1"/>
  <c r="J26" i="1"/>
  <c r="J23" i="1"/>
  <c r="J27" i="1"/>
  <c r="F66" i="17"/>
  <c r="F44" i="17"/>
  <c r="F83" i="17" s="1"/>
  <c r="I72" i="2"/>
  <c r="H158" i="2"/>
  <c r="G56" i="27"/>
  <c r="E34" i="17"/>
  <c r="E40" i="17"/>
  <c r="F56" i="27"/>
  <c r="F58" i="27"/>
  <c r="F60" i="27" s="1"/>
  <c r="G40" i="10"/>
  <c r="G44" i="10" s="1"/>
  <c r="N54" i="28"/>
  <c r="M63" i="28"/>
  <c r="M64" i="28"/>
  <c r="M56" i="28"/>
  <c r="M68" i="28"/>
  <c r="M55" i="28"/>
  <c r="M62" i="28"/>
  <c r="M57" i="28"/>
  <c r="M67" i="28"/>
  <c r="M58" i="28"/>
  <c r="M61" i="28"/>
  <c r="M65" i="28"/>
  <c r="M60" i="28"/>
  <c r="M59" i="28"/>
  <c r="M66" i="28"/>
  <c r="U54" i="28"/>
  <c r="T55" i="28"/>
  <c r="T63" i="28"/>
  <c r="T66" i="28"/>
  <c r="T59" i="28"/>
  <c r="T58" i="28"/>
  <c r="T60" i="28"/>
  <c r="T68" i="28"/>
  <c r="T56" i="28"/>
  <c r="T62" i="28"/>
  <c r="T65" i="28"/>
  <c r="H37" i="10" s="1"/>
  <c r="H41" i="10" s="1"/>
  <c r="H39" i="10" s="1"/>
  <c r="H43" i="10" s="1"/>
  <c r="T61" i="28"/>
  <c r="T57" i="28"/>
  <c r="T64" i="28"/>
  <c r="T67" i="28"/>
  <c r="D27" i="1"/>
  <c r="D22" i="1"/>
  <c r="E14" i="1"/>
  <c r="E27" i="1"/>
  <c r="J17" i="1"/>
  <c r="J20" i="1"/>
  <c r="H76" i="1"/>
  <c r="I28" i="28"/>
  <c r="I32" i="10" s="1"/>
  <c r="I27" i="28"/>
  <c r="H40" i="17" s="1"/>
  <c r="F103" i="4"/>
  <c r="H93" i="4"/>
  <c r="D26" i="1"/>
  <c r="D16" i="1"/>
  <c r="D17" i="1"/>
  <c r="J21" i="1"/>
  <c r="J18" i="1"/>
  <c r="D21" i="1"/>
  <c r="D23" i="1"/>
  <c r="J19" i="1"/>
  <c r="D15" i="1"/>
  <c r="D19" i="1"/>
  <c r="J15" i="1"/>
  <c r="D18" i="1"/>
  <c r="D20" i="1"/>
  <c r="H57" i="17"/>
  <c r="I4" i="29"/>
  <c r="J16" i="1"/>
  <c r="K78" i="1"/>
  <c r="E44" i="10"/>
  <c r="D65" i="1" s="1"/>
  <c r="D11" i="1" s="1"/>
  <c r="D62" i="27"/>
  <c r="D65" i="27" s="1"/>
  <c r="G58" i="27"/>
  <c r="E20" i="1"/>
  <c r="H5" i="2"/>
  <c r="I43" i="2"/>
  <c r="I14" i="2"/>
  <c r="H5" i="17"/>
  <c r="I50" i="17"/>
  <c r="I48" i="17"/>
  <c r="I49" i="17"/>
  <c r="I47" i="17"/>
  <c r="I51" i="17"/>
  <c r="I52" i="17"/>
  <c r="I53" i="17"/>
  <c r="H103" i="2"/>
  <c r="H159" i="2" s="1"/>
  <c r="G191" i="2"/>
  <c r="G66" i="17"/>
  <c r="G44" i="17"/>
  <c r="I24" i="28"/>
  <c r="J25" i="28"/>
  <c r="H18" i="19"/>
  <c r="H82" i="1"/>
  <c r="H74" i="1"/>
  <c r="E22" i="1"/>
  <c r="E13" i="1"/>
  <c r="E25" i="1"/>
  <c r="E24" i="1"/>
  <c r="E21" i="1"/>
  <c r="E16" i="1"/>
  <c r="E23" i="1"/>
  <c r="E26" i="1"/>
  <c r="E17" i="1"/>
  <c r="E28" i="1"/>
  <c r="E18" i="1"/>
  <c r="E19" i="1"/>
  <c r="E65" i="1"/>
  <c r="E11" i="1" s="1"/>
  <c r="F45" i="10"/>
  <c r="D25" i="1"/>
  <c r="E31" i="29"/>
  <c r="E34" i="29" s="1"/>
  <c r="J79" i="1"/>
  <c r="D24" i="1"/>
  <c r="J80" i="1"/>
  <c r="E60" i="27"/>
  <c r="E62" i="27"/>
  <c r="E65" i="27" s="1"/>
  <c r="E63" i="27"/>
  <c r="E91" i="1" s="1"/>
  <c r="D60" i="27"/>
  <c r="D91" i="1"/>
  <c r="J48" i="1" l="1"/>
  <c r="J50" i="1"/>
  <c r="J52" i="1"/>
  <c r="J54" i="1"/>
  <c r="J49" i="1"/>
  <c r="J51" i="1"/>
  <c r="J53" i="1"/>
  <c r="F62" i="27"/>
  <c r="F65" i="27" s="1"/>
  <c r="F67" i="27" s="1"/>
  <c r="E66" i="17"/>
  <c r="E44" i="17"/>
  <c r="E83" i="17" s="1"/>
  <c r="F64" i="29" s="1"/>
  <c r="F65" i="29" s="1"/>
  <c r="F90" i="1"/>
  <c r="F63" i="27"/>
  <c r="F91" i="1" s="1"/>
  <c r="F50" i="1" s="1"/>
  <c r="G83" i="17"/>
  <c r="H64" i="29" s="1"/>
  <c r="H65" i="29" s="1"/>
  <c r="H40" i="10"/>
  <c r="G90" i="1" s="1"/>
  <c r="G27" i="1" s="1"/>
  <c r="G63" i="27"/>
  <c r="G91" i="1" s="1"/>
  <c r="U63" i="28"/>
  <c r="U57" i="28"/>
  <c r="U66" i="28"/>
  <c r="U67" i="28"/>
  <c r="U68" i="28"/>
  <c r="U64" i="28"/>
  <c r="U61" i="28"/>
  <c r="U59" i="28"/>
  <c r="U55" i="28"/>
  <c r="U62" i="28"/>
  <c r="U56" i="28"/>
  <c r="U65" i="28"/>
  <c r="U60" i="28"/>
  <c r="U58" i="28"/>
  <c r="N56" i="28"/>
  <c r="N65" i="28"/>
  <c r="N66" i="28"/>
  <c r="N67" i="28"/>
  <c r="N68" i="28"/>
  <c r="N57" i="28"/>
  <c r="N64" i="28"/>
  <c r="N55" i="28"/>
  <c r="N60" i="28"/>
  <c r="N62" i="28"/>
  <c r="N63" i="28"/>
  <c r="N59" i="28"/>
  <c r="N61" i="28"/>
  <c r="N58" i="28"/>
  <c r="D53" i="1"/>
  <c r="D50" i="1"/>
  <c r="D54" i="1"/>
  <c r="E54" i="1"/>
  <c r="E53" i="1"/>
  <c r="G64" i="29"/>
  <c r="G65" i="29" s="1"/>
  <c r="D82" i="1"/>
  <c r="J55" i="1" s="1"/>
  <c r="J28" i="28"/>
  <c r="J27" i="28"/>
  <c r="F58" i="29"/>
  <c r="F46" i="29"/>
  <c r="I93" i="4"/>
  <c r="E103" i="4"/>
  <c r="J11" i="1"/>
  <c r="J65" i="1"/>
  <c r="E45" i="10"/>
  <c r="G60" i="27"/>
  <c r="H31" i="29"/>
  <c r="H34" i="29" s="1"/>
  <c r="H38" i="29" s="1"/>
  <c r="J24" i="28"/>
  <c r="K25" i="28"/>
  <c r="H66" i="17"/>
  <c r="H44" i="17"/>
  <c r="H191" i="2"/>
  <c r="F24" i="1"/>
  <c r="H58" i="27"/>
  <c r="H56" i="27"/>
  <c r="G31" i="29"/>
  <c r="G34" i="29" s="1"/>
  <c r="G38" i="29" s="1"/>
  <c r="F65" i="1"/>
  <c r="G45" i="10"/>
  <c r="F28" i="1"/>
  <c r="F15" i="1"/>
  <c r="F17" i="1"/>
  <c r="F23" i="1"/>
  <c r="F21" i="1"/>
  <c r="F14" i="1"/>
  <c r="F18" i="1"/>
  <c r="J77" i="1"/>
  <c r="D13" i="1"/>
  <c r="J13" i="1"/>
  <c r="J67" i="1"/>
  <c r="J68" i="1"/>
  <c r="D14" i="1"/>
  <c r="J14" i="1"/>
  <c r="E15" i="1"/>
  <c r="K69" i="1"/>
  <c r="E51" i="1"/>
  <c r="E49" i="1"/>
  <c r="E50" i="1"/>
  <c r="E42" i="1"/>
  <c r="E52" i="1"/>
  <c r="E48" i="1"/>
  <c r="E43" i="1"/>
  <c r="E46" i="1"/>
  <c r="E44" i="1"/>
  <c r="E45" i="1"/>
  <c r="E40" i="1"/>
  <c r="E38" i="1"/>
  <c r="E55" i="1"/>
  <c r="E41" i="1"/>
  <c r="E47" i="1"/>
  <c r="E64" i="17"/>
  <c r="E67" i="27"/>
  <c r="D52" i="1"/>
  <c r="D51" i="1"/>
  <c r="D45" i="1"/>
  <c r="J45" i="1"/>
  <c r="D49" i="1"/>
  <c r="J44" i="1"/>
  <c r="D44" i="1"/>
  <c r="D42" i="1"/>
  <c r="J42" i="1"/>
  <c r="D41" i="1"/>
  <c r="J41" i="1"/>
  <c r="D38" i="1"/>
  <c r="D43" i="1"/>
  <c r="D46" i="1"/>
  <c r="D47" i="1"/>
  <c r="J38" i="1"/>
  <c r="J43" i="1"/>
  <c r="J40" i="1"/>
  <c r="J47" i="1"/>
  <c r="D48" i="1"/>
  <c r="J46" i="1"/>
  <c r="D40" i="1"/>
  <c r="D64" i="17"/>
  <c r="D67" i="27"/>
  <c r="F27" i="1" l="1"/>
  <c r="F64" i="17"/>
  <c r="F43" i="1"/>
  <c r="F55" i="1"/>
  <c r="F20" i="1"/>
  <c r="F19" i="1"/>
  <c r="F13" i="1"/>
  <c r="F25" i="1"/>
  <c r="F46" i="1"/>
  <c r="F16" i="1"/>
  <c r="F26" i="1"/>
  <c r="G62" i="27"/>
  <c r="G65" i="27" s="1"/>
  <c r="G64" i="17" s="1"/>
  <c r="G71" i="17" s="1"/>
  <c r="F48" i="1"/>
  <c r="F40" i="1"/>
  <c r="F42" i="1"/>
  <c r="F45" i="1"/>
  <c r="F41" i="1"/>
  <c r="F44" i="1"/>
  <c r="F53" i="1"/>
  <c r="F47" i="1"/>
  <c r="F54" i="1"/>
  <c r="G15" i="1"/>
  <c r="G26" i="1"/>
  <c r="G22" i="1"/>
  <c r="G28" i="1"/>
  <c r="G21" i="1"/>
  <c r="G20" i="1"/>
  <c r="G25" i="1"/>
  <c r="G24" i="1"/>
  <c r="G23" i="1"/>
  <c r="H44" i="10"/>
  <c r="G65" i="1" s="1"/>
  <c r="G11" i="1" s="1"/>
  <c r="I37" i="10"/>
  <c r="I41" i="10" s="1"/>
  <c r="D57" i="17"/>
  <c r="J57" i="17" s="1"/>
  <c r="G53" i="1"/>
  <c r="G54" i="1"/>
  <c r="K82" i="1"/>
  <c r="D55" i="1"/>
  <c r="D18" i="19"/>
  <c r="J82" i="1"/>
  <c r="D28" i="1"/>
  <c r="J28" i="1"/>
  <c r="D40" i="17"/>
  <c r="E38" i="29"/>
  <c r="I31" i="29"/>
  <c r="I34" i="29" s="1"/>
  <c r="I38" i="29" s="1"/>
  <c r="K28" i="28"/>
  <c r="K27" i="28"/>
  <c r="G103" i="4"/>
  <c r="H103" i="4"/>
  <c r="G42" i="1"/>
  <c r="G55" i="1"/>
  <c r="G48" i="1"/>
  <c r="G40" i="1"/>
  <c r="G47" i="1"/>
  <c r="G49" i="1"/>
  <c r="G51" i="1"/>
  <c r="G52" i="1"/>
  <c r="G50" i="1"/>
  <c r="K81" i="1"/>
  <c r="K24" i="28"/>
  <c r="K80" i="1"/>
  <c r="F52" i="1"/>
  <c r="H60" i="27"/>
  <c r="F51" i="1"/>
  <c r="K79" i="1"/>
  <c r="F67" i="17"/>
  <c r="F68" i="17" s="1"/>
  <c r="F70" i="17" s="1"/>
  <c r="F71" i="17"/>
  <c r="F11" i="1"/>
  <c r="F38" i="1"/>
  <c r="K73" i="1"/>
  <c r="G19" i="1"/>
  <c r="G46" i="1"/>
  <c r="G18" i="1"/>
  <c r="K72" i="1"/>
  <c r="G45" i="1"/>
  <c r="G16" i="1"/>
  <c r="K70" i="1"/>
  <c r="G43" i="1"/>
  <c r="G17" i="1"/>
  <c r="K71" i="1"/>
  <c r="G44" i="1"/>
  <c r="E67" i="17"/>
  <c r="E68" i="17" s="1"/>
  <c r="E70" i="17" s="1"/>
  <c r="E71" i="17"/>
  <c r="G67" i="27" l="1"/>
  <c r="G67" i="17"/>
  <c r="G68" i="17" s="1"/>
  <c r="G70" i="17" s="1"/>
  <c r="G85" i="17" s="1"/>
  <c r="H66" i="29" s="1"/>
  <c r="H67" i="29" s="1"/>
  <c r="H68" i="29" s="1"/>
  <c r="D71" i="17"/>
  <c r="I71" i="17" s="1"/>
  <c r="G38" i="1"/>
  <c r="H45" i="10"/>
  <c r="I57" i="17"/>
  <c r="I40" i="10"/>
  <c r="I39" i="10"/>
  <c r="I43" i="10" s="1"/>
  <c r="D66" i="17"/>
  <c r="D67" i="17" s="1"/>
  <c r="D68" i="17" s="1"/>
  <c r="D70" i="17" s="1"/>
  <c r="D44" i="17"/>
  <c r="D83" i="17" s="1"/>
  <c r="E64" i="29" s="1"/>
  <c r="K67" i="1"/>
  <c r="G13" i="1"/>
  <c r="G58" i="29"/>
  <c r="H58" i="29"/>
  <c r="I103" i="4"/>
  <c r="F85" i="17"/>
  <c r="G66" i="29" s="1"/>
  <c r="E85" i="17"/>
  <c r="F66" i="29" s="1"/>
  <c r="H46" i="29"/>
  <c r="G46" i="29"/>
  <c r="K74" i="1"/>
  <c r="F49" i="1"/>
  <c r="F22" i="1"/>
  <c r="K77" i="1"/>
  <c r="G14" i="1"/>
  <c r="G41" i="1"/>
  <c r="K68" i="1"/>
  <c r="H47" i="29" l="1"/>
  <c r="D85" i="17"/>
  <c r="E66" i="29" s="1"/>
  <c r="E67" i="29" s="1"/>
  <c r="D84" i="1" s="1"/>
  <c r="G87" i="17"/>
  <c r="G85" i="1" s="1"/>
  <c r="I70" i="17"/>
  <c r="H83" i="17"/>
  <c r="I64" i="29" s="1"/>
  <c r="I65" i="29" s="1"/>
  <c r="I85" i="17"/>
  <c r="H62" i="27"/>
  <c r="H65" i="27" s="1"/>
  <c r="H63" i="27"/>
  <c r="H91" i="1" s="1"/>
  <c r="H90" i="1"/>
  <c r="I44" i="10"/>
  <c r="H65" i="1" s="1"/>
  <c r="G84" i="1"/>
  <c r="G30" i="1" s="1"/>
  <c r="I44" i="17"/>
  <c r="D87" i="17"/>
  <c r="J44" i="17"/>
  <c r="H48" i="29"/>
  <c r="H50" i="29" s="1"/>
  <c r="H60" i="29" s="1"/>
  <c r="G86" i="1" s="1"/>
  <c r="G31" i="1" s="1"/>
  <c r="F47" i="29"/>
  <c r="F48" i="29" s="1"/>
  <c r="F50" i="29" s="1"/>
  <c r="F60" i="29" s="1"/>
  <c r="F67" i="29"/>
  <c r="F68" i="29" s="1"/>
  <c r="G67" i="29"/>
  <c r="G68" i="29" s="1"/>
  <c r="G47" i="29"/>
  <c r="G48" i="29" s="1"/>
  <c r="G50" i="29" s="1"/>
  <c r="G60" i="29" s="1"/>
  <c r="I46" i="29"/>
  <c r="I58" i="29"/>
  <c r="F87" i="17"/>
  <c r="E87" i="17"/>
  <c r="K22" i="1" l="1"/>
  <c r="K26" i="1"/>
  <c r="K23" i="1"/>
  <c r="K27" i="1"/>
  <c r="K24" i="1"/>
  <c r="K25" i="1"/>
  <c r="K54" i="1"/>
  <c r="K50" i="1"/>
  <c r="K53" i="1"/>
  <c r="K49" i="1"/>
  <c r="K52" i="1"/>
  <c r="K48" i="1"/>
  <c r="K51" i="1"/>
  <c r="H11" i="1"/>
  <c r="K11" i="1"/>
  <c r="K65" i="1"/>
  <c r="H38" i="1"/>
  <c r="K38" i="1"/>
  <c r="H44" i="1"/>
  <c r="K55" i="1"/>
  <c r="H41" i="1"/>
  <c r="H45" i="1"/>
  <c r="H55" i="1"/>
  <c r="H42" i="1"/>
  <c r="K40" i="1"/>
  <c r="K45" i="1"/>
  <c r="H46" i="1"/>
  <c r="K41" i="1"/>
  <c r="K42" i="1"/>
  <c r="H47" i="1"/>
  <c r="K47" i="1"/>
  <c r="H49" i="1"/>
  <c r="H48" i="1"/>
  <c r="H53" i="1"/>
  <c r="H40" i="1"/>
  <c r="K44" i="1"/>
  <c r="H54" i="1"/>
  <c r="H52" i="1"/>
  <c r="H51" i="1"/>
  <c r="K46" i="1"/>
  <c r="H43" i="1"/>
  <c r="K43" i="1"/>
  <c r="H50" i="1"/>
  <c r="H27" i="1"/>
  <c r="H16" i="1"/>
  <c r="H15" i="1"/>
  <c r="H26" i="1"/>
  <c r="H24" i="1"/>
  <c r="H18" i="1"/>
  <c r="H21" i="1"/>
  <c r="H25" i="1"/>
  <c r="H17" i="1"/>
  <c r="H13" i="1"/>
  <c r="K15" i="1"/>
  <c r="H19" i="1"/>
  <c r="H22" i="1"/>
  <c r="H28" i="1"/>
  <c r="K21" i="1"/>
  <c r="H23" i="1"/>
  <c r="K17" i="1"/>
  <c r="K19" i="1"/>
  <c r="K18" i="1"/>
  <c r="K28" i="1"/>
  <c r="K16" i="1"/>
  <c r="H14" i="1"/>
  <c r="K14" i="1"/>
  <c r="H20" i="1"/>
  <c r="K13" i="1"/>
  <c r="K20" i="1"/>
  <c r="H67" i="27"/>
  <c r="H64" i="17"/>
  <c r="I45" i="10"/>
  <c r="G57" i="1"/>
  <c r="F84" i="1"/>
  <c r="F30" i="1" s="1"/>
  <c r="F85" i="1"/>
  <c r="I83" i="17"/>
  <c r="J83" i="17"/>
  <c r="E85" i="1"/>
  <c r="F86" i="1"/>
  <c r="F31" i="1" s="1"/>
  <c r="G62" i="29"/>
  <c r="F87" i="1" s="1"/>
  <c r="H62" i="29"/>
  <c r="G87" i="1" s="1"/>
  <c r="G58" i="1" s="1"/>
  <c r="E86" i="1"/>
  <c r="E31" i="1" s="1"/>
  <c r="F62" i="29"/>
  <c r="E87" i="1" s="1"/>
  <c r="E84" i="1"/>
  <c r="E30" i="1" s="1"/>
  <c r="I87" i="17"/>
  <c r="D30" i="1"/>
  <c r="J84" i="1"/>
  <c r="J30" i="1"/>
  <c r="H71" i="17" l="1"/>
  <c r="J71" i="17" s="1"/>
  <c r="H67" i="17"/>
  <c r="H68" i="17" s="1"/>
  <c r="H70" i="17" s="1"/>
  <c r="J70" i="17" s="1"/>
  <c r="F57" i="1"/>
  <c r="F58" i="1"/>
  <c r="E58" i="1"/>
  <c r="E65" i="29"/>
  <c r="E68" i="29" s="1"/>
  <c r="D85" i="1" s="1"/>
  <c r="D57" i="1" s="1"/>
  <c r="E47" i="29"/>
  <c r="E57" i="1"/>
  <c r="J57" i="1" l="1"/>
  <c r="H85" i="17"/>
  <c r="J85" i="1"/>
  <c r="I66" i="29" l="1"/>
  <c r="I67" i="29" s="1"/>
  <c r="I68" i="29" s="1"/>
  <c r="J85" i="17"/>
  <c r="H87" i="17"/>
  <c r="E93" i="4"/>
  <c r="E106" i="4" s="1"/>
  <c r="H106" i="4"/>
  <c r="H107" i="4" s="1"/>
  <c r="I106" i="4"/>
  <c r="I107" i="4" s="1"/>
  <c r="F106" i="4"/>
  <c r="F107" i="4" s="1"/>
  <c r="I47" i="29" l="1"/>
  <c r="I48" i="29" s="1"/>
  <c r="I50" i="29" s="1"/>
  <c r="I60" i="29" s="1"/>
  <c r="H86" i="1" s="1"/>
  <c r="H31" i="1" s="1"/>
  <c r="H85" i="1"/>
  <c r="K85" i="1" s="1"/>
  <c r="J87" i="17"/>
  <c r="H84" i="1"/>
  <c r="K30" i="1" s="1"/>
  <c r="G106" i="4"/>
  <c r="G107" i="4" s="1"/>
  <c r="I62" i="29" l="1"/>
  <c r="H87" i="1" s="1"/>
  <c r="H58" i="1" s="1"/>
  <c r="H57" i="1"/>
  <c r="K84" i="1"/>
  <c r="K57" i="1"/>
  <c r="H30" i="1"/>
  <c r="E58" i="29"/>
  <c r="E46" i="29"/>
  <c r="E48" i="29" s="1"/>
  <c r="E50" i="29" s="1"/>
  <c r="E60" i="29" s="1"/>
  <c r="D86" i="1" s="1"/>
  <c r="E62" i="29" l="1"/>
  <c r="D87" i="1" s="1"/>
  <c r="D58" i="1" s="1"/>
  <c r="D31" i="1"/>
  <c r="J31" i="1"/>
  <c r="K86" i="1"/>
  <c r="J86" i="1"/>
  <c r="K31" i="1"/>
  <c r="E107" i="4"/>
  <c r="J87" i="1" l="1"/>
  <c r="K58" i="1"/>
  <c r="K87" i="1"/>
  <c r="J58" i="1"/>
  <c r="D158" i="2" l="1"/>
  <c r="D159" i="2" s="1"/>
  <c r="D73" i="2" l="1"/>
  <c r="I71" i="2"/>
  <c r="I73" i="2" s="1"/>
  <c r="G73" i="2"/>
  <c r="D191" i="2" l="1"/>
  <c r="F44" i="2"/>
  <c r="G15" i="2"/>
  <c r="J13" i="2"/>
  <c r="J15" i="2" s="1"/>
  <c r="D15" i="2"/>
  <c r="I13" i="2"/>
  <c r="I15" i="2" s="1"/>
  <c r="G77" i="2"/>
  <c r="G89" i="2" s="1"/>
  <c r="G78" i="2"/>
  <c r="G90" i="2" s="1"/>
  <c r="E44" i="2"/>
  <c r="H73" i="2"/>
  <c r="F15" i="2"/>
  <c r="G44" i="2"/>
  <c r="D44" i="2"/>
  <c r="I42" i="2"/>
  <c r="I44" i="2" s="1"/>
  <c r="F73" i="2"/>
  <c r="D78" i="2"/>
  <c r="D77" i="2"/>
  <c r="E15" i="2"/>
  <c r="H15" i="2"/>
  <c r="H44" i="2"/>
  <c r="F78" i="2" l="1"/>
  <c r="F90" i="2" s="1"/>
  <c r="F77" i="2"/>
  <c r="F89" i="2" s="1"/>
  <c r="J42" i="2"/>
  <c r="J44" i="2" s="1"/>
  <c r="D48" i="2"/>
  <c r="D49" i="2"/>
  <c r="E49" i="2"/>
  <c r="E66" i="2" s="1"/>
  <c r="E48" i="2"/>
  <c r="E65" i="2" s="1"/>
  <c r="G49" i="2"/>
  <c r="G66" i="2" s="1"/>
  <c r="G48" i="2"/>
  <c r="G65" i="2" s="1"/>
  <c r="E73" i="2"/>
  <c r="J71" i="2"/>
  <c r="J73" i="2" s="1"/>
  <c r="G91" i="2"/>
  <c r="H48" i="2"/>
  <c r="H65" i="2" s="1"/>
  <c r="H49" i="2"/>
  <c r="H66" i="2" s="1"/>
  <c r="E19" i="2"/>
  <c r="E36" i="2" s="1"/>
  <c r="E20" i="2"/>
  <c r="E37" i="2" s="1"/>
  <c r="G20" i="2"/>
  <c r="G19" i="2"/>
  <c r="G36" i="2" s="1"/>
  <c r="D89" i="2"/>
  <c r="I77" i="2"/>
  <c r="F49" i="2"/>
  <c r="F66" i="2" s="1"/>
  <c r="F48" i="2"/>
  <c r="F65" i="2" s="1"/>
  <c r="H19" i="2"/>
  <c r="H36" i="2" s="1"/>
  <c r="H20" i="2"/>
  <c r="H37" i="2" s="1"/>
  <c r="D90" i="2"/>
  <c r="I78" i="2"/>
  <c r="F20" i="2"/>
  <c r="F37" i="2" s="1"/>
  <c r="F19" i="2"/>
  <c r="F36" i="2" s="1"/>
  <c r="D20" i="2"/>
  <c r="D37" i="2" s="1"/>
  <c r="D19" i="2"/>
  <c r="D36" i="2" s="1"/>
  <c r="H78" i="2"/>
  <c r="H90" i="2" s="1"/>
  <c r="H77" i="2"/>
  <c r="H89" i="2" s="1"/>
  <c r="G37" i="2" l="1"/>
  <c r="G97" i="2" s="1"/>
  <c r="G66" i="1" s="1"/>
  <c r="F91" i="2"/>
  <c r="G67" i="2"/>
  <c r="H97" i="2"/>
  <c r="H66" i="1" s="1"/>
  <c r="H12" i="1" s="1"/>
  <c r="H29" i="1" s="1"/>
  <c r="H32" i="1" s="1"/>
  <c r="F97" i="2"/>
  <c r="F66" i="1" s="1"/>
  <c r="F67" i="2"/>
  <c r="J19" i="2"/>
  <c r="I19" i="2"/>
  <c r="G96" i="2"/>
  <c r="G38" i="2"/>
  <c r="E67" i="2"/>
  <c r="J20" i="2"/>
  <c r="I20" i="2"/>
  <c r="E77" i="2"/>
  <c r="E78" i="2"/>
  <c r="F38" i="2"/>
  <c r="F96" i="2"/>
  <c r="F98" i="2" s="1"/>
  <c r="I90" i="2"/>
  <c r="D66" i="2"/>
  <c r="J49" i="2"/>
  <c r="I49" i="2"/>
  <c r="H91" i="2"/>
  <c r="F12" i="1"/>
  <c r="F29" i="1" s="1"/>
  <c r="F32" i="1" s="1"/>
  <c r="F83" i="1"/>
  <c r="F88" i="1" s="1"/>
  <c r="F39" i="1"/>
  <c r="F56" i="1" s="1"/>
  <c r="F59" i="1" s="1"/>
  <c r="D65" i="2"/>
  <c r="J48" i="2"/>
  <c r="I48" i="2"/>
  <c r="H96" i="2"/>
  <c r="H38" i="2"/>
  <c r="E38" i="2"/>
  <c r="H67" i="2"/>
  <c r="I89" i="2"/>
  <c r="D91" i="2"/>
  <c r="H39" i="1" l="1"/>
  <c r="H56" i="1" s="1"/>
  <c r="H59" i="1" s="1"/>
  <c r="H98" i="2"/>
  <c r="H83" i="1"/>
  <c r="H88" i="1" s="1"/>
  <c r="G12" i="1"/>
  <c r="G29" i="1" s="1"/>
  <c r="G32" i="1" s="1"/>
  <c r="G83" i="1"/>
  <c r="G88" i="1" s="1"/>
  <c r="G39" i="1"/>
  <c r="G56" i="1" s="1"/>
  <c r="G59" i="1" s="1"/>
  <c r="G98" i="2"/>
  <c r="J65" i="2"/>
  <c r="I65" i="2"/>
  <c r="D67" i="2"/>
  <c r="E90" i="2"/>
  <c r="J78" i="2"/>
  <c r="J36" i="2"/>
  <c r="I36" i="2"/>
  <c r="D38" i="2"/>
  <c r="D96" i="2"/>
  <c r="E89" i="2"/>
  <c r="J77" i="2"/>
  <c r="I37" i="2"/>
  <c r="J37" i="2"/>
  <c r="D97" i="2"/>
  <c r="I91" i="2"/>
  <c r="J66" i="2"/>
  <c r="I66" i="2"/>
  <c r="I96" i="2" l="1"/>
  <c r="D98" i="2"/>
  <c r="D66" i="1"/>
  <c r="I97" i="2"/>
  <c r="I38" i="2"/>
  <c r="J38" i="2"/>
  <c r="E97" i="2"/>
  <c r="E66" i="1" s="1"/>
  <c r="J90" i="2"/>
  <c r="J67" i="2"/>
  <c r="I67" i="2"/>
  <c r="E91" i="2"/>
  <c r="J91" i="2" s="1"/>
  <c r="J89" i="2"/>
  <c r="E96" i="2"/>
  <c r="E12" i="1" l="1"/>
  <c r="E29" i="1" s="1"/>
  <c r="E32" i="1" s="1"/>
  <c r="E83" i="1"/>
  <c r="E88" i="1" s="1"/>
  <c r="E39" i="1"/>
  <c r="E56" i="1" s="1"/>
  <c r="E59" i="1" s="1"/>
  <c r="J97" i="2"/>
  <c r="E98" i="2"/>
  <c r="J66" i="1"/>
  <c r="J83" i="1" s="1"/>
  <c r="J88" i="1" s="1"/>
  <c r="K66" i="1"/>
  <c r="K83" i="1" s="1"/>
  <c r="K88" i="1" s="1"/>
  <c r="D12" i="1"/>
  <c r="D29" i="1" s="1"/>
  <c r="D32" i="1" s="1"/>
  <c r="J12" i="1"/>
  <c r="J29" i="1" s="1"/>
  <c r="J32" i="1" s="1"/>
  <c r="D39" i="1"/>
  <c r="D56" i="1" s="1"/>
  <c r="D59" i="1" s="1"/>
  <c r="J39" i="1"/>
  <c r="J56" i="1" s="1"/>
  <c r="J59" i="1" s="1"/>
  <c r="D83" i="1"/>
  <c r="D88" i="1" s="1"/>
  <c r="K39" i="1"/>
  <c r="K56" i="1" s="1"/>
  <c r="K59" i="1" s="1"/>
  <c r="K12" i="1"/>
  <c r="J96" i="2"/>
  <c r="I98" i="2"/>
  <c r="J98" i="2"/>
  <c r="K29" i="1" l="1"/>
  <c r="K32" i="1" s="1"/>
</calcChain>
</file>

<file path=xl/sharedStrings.xml><?xml version="1.0" encoding="utf-8"?>
<sst xmlns="http://schemas.openxmlformats.org/spreadsheetml/2006/main" count="1487" uniqueCount="730">
  <si>
    <t>Regulatory Financial Performance Report</t>
  </si>
  <si>
    <t xml:space="preserve">                           </t>
  </si>
  <si>
    <t>RIIO-2 start date (enter 2022 for 2021-22)</t>
  </si>
  <si>
    <t>Licensee</t>
  </si>
  <si>
    <t>Cadent-WM</t>
  </si>
  <si>
    <t>Input cells</t>
  </si>
  <si>
    <t>Sector</t>
  </si>
  <si>
    <t>Totals cells (of formula within worksheet)</t>
  </si>
  <si>
    <t>Reporting Year:
(enter 2022 for 2021-22)</t>
  </si>
  <si>
    <t xml:space="preserve">Linked cells </t>
  </si>
  <si>
    <t>Version (Number)</t>
  </si>
  <si>
    <t>Referencing to other workbooks (Eg. PCFM/ RRP)</t>
  </si>
  <si>
    <t>Submitted Date:</t>
  </si>
  <si>
    <t>Check cells</t>
  </si>
  <si>
    <t>No Input</t>
  </si>
  <si>
    <t>Descriptions and pack data</t>
  </si>
  <si>
    <t>Network Operator Data</t>
  </si>
  <si>
    <t>Cost of Equity</t>
  </si>
  <si>
    <t>Materiality £m</t>
  </si>
  <si>
    <t>ED</t>
  </si>
  <si>
    <t>£m 20/21</t>
  </si>
  <si>
    <t>Sharing Factor</t>
  </si>
  <si>
    <t>ET</t>
  </si>
  <si>
    <t>£m 18/19</t>
  </si>
  <si>
    <t>Notional Gearing</t>
  </si>
  <si>
    <t>GD</t>
  </si>
  <si>
    <t>Price basis</t>
  </si>
  <si>
    <t>GT</t>
  </si>
  <si>
    <t>ESO</t>
  </si>
  <si>
    <t>Combined RPI-CPIH price index</t>
  </si>
  <si>
    <t>Actual / Forecast index</t>
  </si>
  <si>
    <t>Year end</t>
  </si>
  <si>
    <t>Reporting Year</t>
  </si>
  <si>
    <t>Financial Year Average RPI - CPIH (PIt)</t>
  </si>
  <si>
    <t>Combined RPI-CPIH price index (financial year end)</t>
  </si>
  <si>
    <t>Corporate Tax</t>
  </si>
  <si>
    <t>Consumer Prices Index incl. housing costs (financial year average)</t>
  </si>
  <si>
    <t>Long term CPIH inflation forecast</t>
  </si>
  <si>
    <t>LTCPIHt</t>
  </si>
  <si>
    <t>RPI-CPIH real to nominal prices CF</t>
  </si>
  <si>
    <t>1 year change in Fin Year Average RPI-CPIH</t>
  </si>
  <si>
    <t>Combined real to nominal prices conversion factor (financial year end)</t>
  </si>
  <si>
    <t>Allowed cost of debt %</t>
  </si>
  <si>
    <t>WPD</t>
  </si>
  <si>
    <t>ED - excluding WPD</t>
  </si>
  <si>
    <t>SHET</t>
  </si>
  <si>
    <t>ET - excluding SHET</t>
  </si>
  <si>
    <t>GD with Uplift</t>
  </si>
  <si>
    <t>Allowed cost of equity %</t>
  </si>
  <si>
    <t>ED2</t>
  </si>
  <si>
    <t>ET2</t>
  </si>
  <si>
    <t>GD2</t>
  </si>
  <si>
    <t>GT2</t>
  </si>
  <si>
    <t>ESO2</t>
  </si>
  <si>
    <t>Funding Adjustment Rate (Sharing Factor)</t>
  </si>
  <si>
    <t>Gearing</t>
  </si>
  <si>
    <t>RIIO2 Start FY</t>
  </si>
  <si>
    <t>Price Basis</t>
  </si>
  <si>
    <t>CoD Category</t>
  </si>
  <si>
    <t>Allowed cost of debt</t>
  </si>
  <si>
    <t>Allowed cost of equity</t>
  </si>
  <si>
    <t>Default</t>
  </si>
  <si>
    <t>ENWL</t>
  </si>
  <si>
    <t>NPgN</t>
  </si>
  <si>
    <t>NPgY</t>
  </si>
  <si>
    <t>UKPN-EPN</t>
  </si>
  <si>
    <t>UKPN-LPN</t>
  </si>
  <si>
    <t>UKPN-SPN</t>
  </si>
  <si>
    <t>SPD</t>
  </si>
  <si>
    <t>SPMW</t>
  </si>
  <si>
    <t>SSEH</t>
  </si>
  <si>
    <t>SSES</t>
  </si>
  <si>
    <t>WPD-EMID</t>
  </si>
  <si>
    <t>WPD-WMID</t>
  </si>
  <si>
    <t>WPD-SWALES</t>
  </si>
  <si>
    <t>WPD-SWEST</t>
  </si>
  <si>
    <t>Cadent-EOE</t>
  </si>
  <si>
    <t>Cadent-London</t>
  </si>
  <si>
    <t>Cadent-NW</t>
  </si>
  <si>
    <t>NGN</t>
  </si>
  <si>
    <t>SGN - Scotland</t>
  </si>
  <si>
    <t>SGN - Southern</t>
  </si>
  <si>
    <t>WWU</t>
  </si>
  <si>
    <t>NGGT (TO)</t>
  </si>
  <si>
    <t>NGGT (SO)</t>
  </si>
  <si>
    <t>NGGT (TO+SO)</t>
  </si>
  <si>
    <t>NGET (TO)</t>
  </si>
  <si>
    <t>SPT</t>
  </si>
  <si>
    <r>
      <t>Business Plan Incentive (BPI</t>
    </r>
    <r>
      <rPr>
        <vertAlign val="subscript"/>
        <sz val="10"/>
        <color theme="1"/>
        <rFont val="Verdana"/>
        <family val="2"/>
      </rPr>
      <t>t</t>
    </r>
    <r>
      <rPr>
        <sz val="10"/>
        <color theme="1"/>
        <rFont val="Verdana"/>
        <family val="2"/>
      </rPr>
      <t>)</t>
    </r>
  </si>
  <si>
    <t>Output incentives for each sector used to populate R4</t>
  </si>
  <si>
    <t>Input for R4 - Output Incentives</t>
  </si>
  <si>
    <t>Broad measure of customer service</t>
  </si>
  <si>
    <t>Interruptions-related quality of service</t>
  </si>
  <si>
    <t>Incentive on connections engagement</t>
  </si>
  <si>
    <t>Time to Connect Incentive</t>
  </si>
  <si>
    <t>Losses discretionary reward scheme</t>
  </si>
  <si>
    <t>Customer Satisfaction Survey ODI</t>
  </si>
  <si>
    <t>Complaints metric ODI</t>
  </si>
  <si>
    <t>Unplanned Interruption Mean Duration ODI [NGN, SGN and WWU]</t>
  </si>
  <si>
    <t>Unplanned Interruption Mean Duration ODI [Cadent only]</t>
  </si>
  <si>
    <t>Shrinkage Management ODI</t>
  </si>
  <si>
    <t>Collaborative streetworks ODI [Cadent Lon &amp; EoE, SGN So only]</t>
  </si>
  <si>
    <t>Customer satisfaction survey ODI</t>
  </si>
  <si>
    <t>Environmental scorecard ODI</t>
  </si>
  <si>
    <t xml:space="preserve">Energy not supplied ODI </t>
  </si>
  <si>
    <t>Reporting &amp; Incentive Arrangements (ESORIt)</t>
  </si>
  <si>
    <t xml:space="preserve">Insulation And Interruption Gas emissions ODI </t>
  </si>
  <si>
    <t xml:space="preserve">Timely Connections ODI </t>
  </si>
  <si>
    <t xml:space="preserve">Quality of connections satisfaction survey ODI </t>
  </si>
  <si>
    <t>SO-TO Optimisation ODI</t>
  </si>
  <si>
    <t xml:space="preserve">Environmental scorecard ODI </t>
  </si>
  <si>
    <t>Other Revenue Allowances (ORA) - Innovation and Incentives only, for each sector used to populate R4</t>
  </si>
  <si>
    <t>Input for R4 - Other Revenue Allowances</t>
  </si>
  <si>
    <t xml:space="preserve">RIIO-2 network innovation allowance </t>
  </si>
  <si>
    <t xml:space="preserve">Carry-over Network Innovation Allowance </t>
  </si>
  <si>
    <t>Network Innovation Allowance</t>
  </si>
  <si>
    <t>Carry Over RIIO-1 Network Innovation Allowance</t>
  </si>
  <si>
    <t>Strategic Innovation Fund</t>
  </si>
  <si>
    <t>Constraint management incentive revenue</t>
  </si>
  <si>
    <t xml:space="preserve">Residual balancing incentive </t>
  </si>
  <si>
    <t xml:space="preserve">Quality of demand forecasting incentive </t>
  </si>
  <si>
    <t>Greenhouse gas emissions incentive</t>
  </si>
  <si>
    <t xml:space="preserve">Maintenance incentive </t>
  </si>
  <si>
    <t>User interface for R5a and R6a worksheets for drop down lists</t>
  </si>
  <si>
    <t>Bond or loan types</t>
  </si>
  <si>
    <t>Fixed rate</t>
  </si>
  <si>
    <t>Floating</t>
  </si>
  <si>
    <t>Inflation-linked</t>
  </si>
  <si>
    <t>Reference rate</t>
  </si>
  <si>
    <t>Not applicable</t>
  </si>
  <si>
    <t>LIBOR 3 month</t>
  </si>
  <si>
    <t>LIBOR 6 month</t>
  </si>
  <si>
    <t>EURIBOR 3 month</t>
  </si>
  <si>
    <t>BOE base rate</t>
  </si>
  <si>
    <t>RPI 12 month</t>
  </si>
  <si>
    <t>CPI 12 month</t>
  </si>
  <si>
    <t>Currency</t>
  </si>
  <si>
    <t>GBP</t>
  </si>
  <si>
    <t>EUR</t>
  </si>
  <si>
    <t>USD</t>
  </si>
  <si>
    <t>HKD</t>
  </si>
  <si>
    <t>CAD</t>
  </si>
  <si>
    <t>Rank</t>
  </si>
  <si>
    <t>Senior</t>
  </si>
  <si>
    <t>Junior</t>
  </si>
  <si>
    <t>Hedged</t>
  </si>
  <si>
    <t>Yes - fully hedged</t>
  </si>
  <si>
    <t>Yes - partially hedged</t>
  </si>
  <si>
    <t>No</t>
  </si>
  <si>
    <t>Special features</t>
  </si>
  <si>
    <t>Callable</t>
  </si>
  <si>
    <t>Puttable</t>
  </si>
  <si>
    <t>Counterparty</t>
  </si>
  <si>
    <t>EIB</t>
  </si>
  <si>
    <t>RBS</t>
  </si>
  <si>
    <t>Swap legs</t>
  </si>
  <si>
    <t>Version control</t>
  </si>
  <si>
    <t xml:space="preserve"> </t>
  </si>
  <si>
    <t>Version:</t>
  </si>
  <si>
    <t>Submission</t>
  </si>
  <si>
    <t>Date submitted</t>
  </si>
  <si>
    <t>Changes</t>
  </si>
  <si>
    <t>Submission 1</t>
  </si>
  <si>
    <t>31st August 2022</t>
  </si>
  <si>
    <t>Submission 2</t>
  </si>
  <si>
    <t>Submission 3</t>
  </si>
  <si>
    <t>Submission 4</t>
  </si>
  <si>
    <t>Submission 5</t>
  </si>
  <si>
    <t>Submission 6</t>
  </si>
  <si>
    <t>Submission 7</t>
  </si>
  <si>
    <t>Submission 8</t>
  </si>
  <si>
    <t>Submission 9</t>
  </si>
  <si>
    <t>Submission 10</t>
  </si>
  <si>
    <t>R1 - RoRE</t>
  </si>
  <si>
    <t>R2 - Rec to Revenue and Profit</t>
  </si>
  <si>
    <t>R3 - Totex - Reconciliation</t>
  </si>
  <si>
    <t>R4 - Incentives and Other Rev</t>
  </si>
  <si>
    <t>R5 - Financing</t>
  </si>
  <si>
    <t>R5a - Financing input</t>
  </si>
  <si>
    <t>R6 - Net Debt</t>
  </si>
  <si>
    <t>R6a - Net Debt input</t>
  </si>
  <si>
    <t>R7 - RAV</t>
  </si>
  <si>
    <t>R8 - Tax</t>
  </si>
  <si>
    <t>R8a - Tax Reconciliation</t>
  </si>
  <si>
    <t>R9 - Corporate Governance</t>
  </si>
  <si>
    <t>R10 - Pensions &amp; other Activities</t>
  </si>
  <si>
    <t>Change log</t>
  </si>
  <si>
    <t>Version</t>
  </si>
  <si>
    <t>Table Reference</t>
  </si>
  <si>
    <t>Changes made to RFPR template</t>
  </si>
  <si>
    <t>R1 - Return on Regulatory Equity (RoRE)</t>
  </si>
  <si>
    <t>RIIO-2 period</t>
  </si>
  <si>
    <t>RoRE based on Notional Gearing</t>
  </si>
  <si>
    <t>Allowed Equity Return</t>
  </si>
  <si>
    <t>%</t>
  </si>
  <si>
    <t>a</t>
  </si>
  <si>
    <t>b</t>
  </si>
  <si>
    <t>c</t>
  </si>
  <si>
    <t>d</t>
  </si>
  <si>
    <t>e</t>
  </si>
  <si>
    <t>f</t>
  </si>
  <si>
    <t>g</t>
  </si>
  <si>
    <t>i</t>
  </si>
  <si>
    <t>ii</t>
  </si>
  <si>
    <t>iii</t>
  </si>
  <si>
    <t>iv</t>
  </si>
  <si>
    <t>v</t>
  </si>
  <si>
    <t>vi</t>
  </si>
  <si>
    <t>vii</t>
  </si>
  <si>
    <t>viii</t>
  </si>
  <si>
    <t>RoRE based on Actual Gearing</t>
  </si>
  <si>
    <t>Debt performance - at actual gearing</t>
  </si>
  <si>
    <t>Tax performance - at actual gearing</t>
  </si>
  <si>
    <t>RoRE input values</t>
  </si>
  <si>
    <t>Equity Return on the RAV</t>
  </si>
  <si>
    <t>Totex outperformance</t>
  </si>
  <si>
    <t>Business Plan Incentive</t>
  </si>
  <si>
    <t>Penalties and fines (Other Activities)</t>
  </si>
  <si>
    <t>RoRE - Operational performance</t>
  </si>
  <si>
    <t>Debt performance - at notional gearing</t>
  </si>
  <si>
    <t>Debt performance - impact of actual gearing</t>
  </si>
  <si>
    <t>Tax performance - at notional gearing</t>
  </si>
  <si>
    <t>Tax performance - impact of actual gearing</t>
  </si>
  <si>
    <t>RoRE - including financing and tax</t>
  </si>
  <si>
    <t>NPV-neutral equity RAV based on notional gearing</t>
  </si>
  <si>
    <t>Equity RAV based on actual gearing</t>
  </si>
  <si>
    <t>R2 - Reconciliation to Revenue and Profit</t>
  </si>
  <si>
    <t>Reconciliation: Regulated Network Revenue to Accounts</t>
  </si>
  <si>
    <t>Allowed Revenue - per latest published PCFM</t>
  </si>
  <si>
    <t>Calculated revenue (as published)</t>
  </si>
  <si>
    <t>£m nominal</t>
  </si>
  <si>
    <t>AIP adjustment term (as published)</t>
  </si>
  <si>
    <t>Adjusted revenue (as published)</t>
  </si>
  <si>
    <t>Legacy Allowed Revenue</t>
  </si>
  <si>
    <t>K Correction Factor</t>
  </si>
  <si>
    <t>Allowed Network Revenue</t>
  </si>
  <si>
    <t>(Under) / Over recovery</t>
  </si>
  <si>
    <t>Collected Regulated Network Revenue</t>
  </si>
  <si>
    <t>RRt</t>
  </si>
  <si>
    <t>Other Turnover Items</t>
  </si>
  <si>
    <t>Strategic Innovation Fund (SIF) payments received from TO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</si>
  <si>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</si>
  <si>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</si>
  <si>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</si>
  <si>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</si>
  <si>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</si>
  <si>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</si>
  <si>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</si>
  <si>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Accruals</t>
  </si>
  <si>
    <t>Total Other Turnover Items</t>
  </si>
  <si>
    <t>Other adjustments - please list</t>
  </si>
  <si>
    <t>Excluded Services (Inc. Customer Contributions)</t>
  </si>
  <si>
    <t>Meter Reading and metering</t>
  </si>
  <si>
    <t>Services provided under consents</t>
  </si>
  <si>
    <t>Other transportation Revenue</t>
  </si>
  <si>
    <t>Customer contributions</t>
  </si>
  <si>
    <t>Xoserve</t>
  </si>
  <si>
    <t>Elimination of Inter Group/Business Trading</t>
  </si>
  <si>
    <t>Revenue classified as expenditure</t>
  </si>
  <si>
    <t>Other three network revenues</t>
  </si>
  <si>
    <t>Metering</t>
  </si>
  <si>
    <t>IFRS 15 Contribution released</t>
  </si>
  <si>
    <t>Theft of Gas</t>
  </si>
  <si>
    <t>Bad Debt</t>
  </si>
  <si>
    <t>Supplier of Last Resort</t>
  </si>
  <si>
    <t>R&amp;D Tax Credit</t>
  </si>
  <si>
    <t>Rounding</t>
  </si>
  <si>
    <t>Total other adjustments</t>
  </si>
  <si>
    <t>Reconciled total revenue</t>
  </si>
  <si>
    <t>Turnover as per Profit and Loss (Stat Accounts)</t>
  </si>
  <si>
    <t>Check</t>
  </si>
  <si>
    <t>Reconciliation: Regulated Network Profit to Statutory Accounts</t>
  </si>
  <si>
    <t>Turnover/Revenue as per Statutory Accounts</t>
  </si>
  <si>
    <t>Operating Costs, Pensions and Other Costs as per Statutory Accounts</t>
  </si>
  <si>
    <t>Reconciliation</t>
  </si>
  <si>
    <t>Total Costs not related to the price control Regulated business</t>
  </si>
  <si>
    <t>Atypical costs adjustment (reported on cash basis)</t>
  </si>
  <si>
    <t>Total Operating Costs as reported in the latest RRP submission (related to regulated business)</t>
  </si>
  <si>
    <t>Difference</t>
  </si>
  <si>
    <t>Earnings/ Operating Profit (EBITDA) per Statutory Accounts</t>
  </si>
  <si>
    <t>Operating Profit related to Regulated business</t>
  </si>
  <si>
    <t>Depreciation and Amortisation costs as per Statutory Accounts</t>
  </si>
  <si>
    <t>Costs not related to the price control Regulated business</t>
  </si>
  <si>
    <t>Depreciation, amortisation related to capex adjustments</t>
  </si>
  <si>
    <t>Other [Input description, add additional rows as required]</t>
  </si>
  <si>
    <t>Total Adjustments</t>
  </si>
  <si>
    <t>Total Depreciation and Amortisation Costs related to the Regulated business</t>
  </si>
  <si>
    <t>Earnings before Interest and Taxes (EBIT) per Statutory Accounts</t>
  </si>
  <si>
    <t>Operating Profit before Interest and Taxes related to Regulated business</t>
  </si>
  <si>
    <t>Net Interest as per Statutory Accounts</t>
  </si>
  <si>
    <t>Net Interest Per Regulatory (RIIO-2) Definition</t>
  </si>
  <si>
    <t>Tax as per Statutory Accounts</t>
  </si>
  <si>
    <t xml:space="preserve">  Less Deferred Taxes</t>
  </si>
  <si>
    <t>Tax as per Statutory Accounts (net of deferred taxes)</t>
  </si>
  <si>
    <t>Tax related to Regulated business</t>
  </si>
  <si>
    <t>Net Profit as per Statutory Accounts</t>
  </si>
  <si>
    <t>Net Profit related to Regulated business</t>
  </si>
  <si>
    <t>Supporting Comments/Narrative</t>
  </si>
  <si>
    <t>R3 - Totex &amp; Reconciliation</t>
  </si>
  <si>
    <t>Totex per the latest PCFM</t>
  </si>
  <si>
    <t>In this section, rows 13-99 do not apply to ESO</t>
  </si>
  <si>
    <t>Capitalisation 1 totex (excluding repex)</t>
  </si>
  <si>
    <t>Latest Totex actuals/forecast</t>
  </si>
  <si>
    <t xml:space="preserve">Totex allowance 
</t>
  </si>
  <si>
    <t>Totex out(under)performance</t>
  </si>
  <si>
    <t>Funding Adjustment Rate (often referred to as 'sharing factor')</t>
  </si>
  <si>
    <t>Customer share of out(under) performance</t>
  </si>
  <si>
    <t>NWO share of performance</t>
  </si>
  <si>
    <t>Enduring Value adjustments to Totex performance</t>
  </si>
  <si>
    <t>Disaggregation of Allowances</t>
  </si>
  <si>
    <t>Baseline Network Risk Output rephasing</t>
  </si>
  <si>
    <t>Total enduring value adjustments</t>
  </si>
  <si>
    <t>Enduring Value adjustments (UIOLI)</t>
  </si>
  <si>
    <t>Enduring Value: Customer share of performance</t>
  </si>
  <si>
    <t>Enduring Value: NWO share of performance</t>
  </si>
  <si>
    <t>Total out(under) performance (including enduring value adjustments)</t>
  </si>
  <si>
    <t>Total out (under) performance</t>
  </si>
  <si>
    <t>Capitalisation 2 totex (excluding repex)</t>
  </si>
  <si>
    <t xml:space="preserve">Totex allowance 
  </t>
  </si>
  <si>
    <t>Repex (not applicable for TOs)</t>
  </si>
  <si>
    <t>Latest Repex actuals/forecast</t>
  </si>
  <si>
    <t xml:space="preserve">Totex allowance 
 </t>
  </si>
  <si>
    <t>Totex Summary</t>
  </si>
  <si>
    <t>Total out(under) performance</t>
  </si>
  <si>
    <t>Customer share of performance</t>
  </si>
  <si>
    <t>Total</t>
  </si>
  <si>
    <t>Reconciliation to Totex</t>
  </si>
  <si>
    <t>Total Expenditure Per Accounts</t>
  </si>
  <si>
    <t>Tangible Fixed Asset Additions</t>
  </si>
  <si>
    <t>Intangible Asset Additions (under IFRS) - IT Software</t>
  </si>
  <si>
    <t>Disposals (cash proceeds)
[If Statutory Accounts treat this as an exceptional item, leave the input blank]</t>
  </si>
  <si>
    <t>Customer Contributions Additions</t>
  </si>
  <si>
    <t>Capitalised interest</t>
  </si>
  <si>
    <t>Revaluation of tangible fixed assets</t>
  </si>
  <si>
    <t>[Input description]</t>
  </si>
  <si>
    <t>Capex Incurred</t>
  </si>
  <si>
    <t>Operational Costs Incurred</t>
  </si>
  <si>
    <t>Opex Incurred</t>
  </si>
  <si>
    <t>Total Expenditure Incurred</t>
  </si>
  <si>
    <t>Reconciling Items to Total Net costs after non-price control allocations</t>
  </si>
  <si>
    <t>Opex Reconciling Adjustments</t>
  </si>
  <si>
    <t>Total expenditure relating to excluded services (deminimis, excluded, consented and metering)</t>
  </si>
  <si>
    <t>Profit or Loss on Disposals</t>
  </si>
  <si>
    <t>Cadent total GSOP Payments</t>
  </si>
  <si>
    <t>Cash typical adjustments</t>
  </si>
  <si>
    <t>Cash typical adjustments (Provision utilisation)</t>
  </si>
  <si>
    <t>Atypical amounts (network specific)</t>
  </si>
  <si>
    <t>IFRS 16 Impact</t>
  </si>
  <si>
    <t>Incremental element of pension deficit recovery plan payment</t>
  </si>
  <si>
    <t>Bad debts</t>
  </si>
  <si>
    <t>Vulnerability UIOLI</t>
  </si>
  <si>
    <t>Theft of Gas Income Recoveries</t>
  </si>
  <si>
    <t>Supplier of last resort</t>
  </si>
  <si>
    <t>Established pension deficit recovery plan payment</t>
  </si>
  <si>
    <t>Shrinkage accruals</t>
  </si>
  <si>
    <t>Rounding across networks</t>
  </si>
  <si>
    <t>Total expenditure relating to other networks</t>
  </si>
  <si>
    <t xml:space="preserve">Total </t>
  </si>
  <si>
    <t>Capex Reconciling Adjustments</t>
  </si>
  <si>
    <t>Connections income</t>
  </si>
  <si>
    <t>IFRS 16 Additions</t>
  </si>
  <si>
    <t>NIA Optinet</t>
  </si>
  <si>
    <t>Depreciation &amp; amortisation of Intangibles</t>
  </si>
  <si>
    <t>Total Reconciling Items</t>
  </si>
  <si>
    <t>Total Net costs after non-price control allocations</t>
  </si>
  <si>
    <t>Total Costs per latest RRP submission(all sectors except ESO)*</t>
  </si>
  <si>
    <t>licensee to provide cell reference to new RRP</t>
  </si>
  <si>
    <t>Total Costs per latest RRP submission (ESO)*</t>
  </si>
  <si>
    <t>Total Costs per latest RRP submission</t>
  </si>
  <si>
    <t>check</t>
  </si>
  <si>
    <t>Reconciling Items to Totex</t>
  </si>
  <si>
    <t>Shrinkage</t>
  </si>
  <si>
    <t>Ofgem Licence</t>
  </si>
  <si>
    <t>Network Rates</t>
  </si>
  <si>
    <t>NTS exit costs</t>
  </si>
  <si>
    <t>Network Innovation (ex IRM)</t>
  </si>
  <si>
    <t>Unfunded Network Innovation</t>
  </si>
  <si>
    <t>Total reconciling items not recognised in totex</t>
  </si>
  <si>
    <t>Reconciled Totex</t>
  </si>
  <si>
    <t>PCFM/ RRP reported Totex</t>
  </si>
  <si>
    <t>for ESO only, this row should be inputted directly from the PCFM</t>
  </si>
  <si>
    <t>*Licensee to provide a cell reference to the latest submitted RRP file from where the value is taken and note it in supporting comments/ narrative section below.</t>
  </si>
  <si>
    <t>D156 ties to RRP table 1.01 cell AI63</t>
  </si>
  <si>
    <t>Depreciation shown in Capex reconciling items to ensure R2 reconciliation is correct</t>
  </si>
  <si>
    <t>R4 - Incentives and Other Revenue</t>
  </si>
  <si>
    <t>Output Incentives (Post Tax)</t>
  </si>
  <si>
    <t>Business Plan Incentive (per latest PCFM company-specific Input Sheet)</t>
  </si>
  <si>
    <t>Output Incentives  (per latest PCFM company-specific Input Sheet)</t>
  </si>
  <si>
    <t>Earned Output Incentive revenue as per PCFM</t>
  </si>
  <si>
    <t>Additional Commentary</t>
  </si>
  <si>
    <r>
      <t>Other revenue allowances (ORA</t>
    </r>
    <r>
      <rPr>
        <b/>
        <vertAlign val="subscript"/>
        <sz val="14"/>
        <color theme="1"/>
        <rFont val="Verdana"/>
        <family val="2"/>
      </rPr>
      <t>t</t>
    </r>
    <r>
      <rPr>
        <b/>
        <sz val="14"/>
        <color theme="1"/>
        <rFont val="Verdana"/>
        <family val="2"/>
      </rPr>
      <t xml:space="preserve">) - Post Tax </t>
    </r>
  </si>
  <si>
    <t xml:space="preserve">Innovation </t>
  </si>
  <si>
    <t>Total NIA Expenditure</t>
  </si>
  <si>
    <t>Does not apply to NGGT SO</t>
  </si>
  <si>
    <t>Unrecoverable Expenditure (eg not conforming to technical requirements)</t>
  </si>
  <si>
    <t>Company Compulsory Contribution (including % contribution funded by licensee)</t>
  </si>
  <si>
    <t>Allowed NIA adjustment</t>
  </si>
  <si>
    <t>Network innovation input for RORE</t>
  </si>
  <si>
    <t>Eligible NIA expenditure and Bid Preparation costs</t>
  </si>
  <si>
    <t>Allowed CNIA adjustment</t>
  </si>
  <si>
    <t>Carry-over Network innovation input for RORE</t>
  </si>
  <si>
    <t>SIF Funding</t>
  </si>
  <si>
    <t>SIF Funding Return (Disallowed Expenditure only)</t>
  </si>
  <si>
    <t>Allowed SIF adjustment</t>
  </si>
  <si>
    <t>Strategic innovation input for RORE</t>
  </si>
  <si>
    <t xml:space="preserve">Incentives </t>
  </si>
  <si>
    <t>(Actuals may be updated once all incentives are determined)</t>
  </si>
  <si>
    <t>(ONLY APPLIES TO NGGT - SO)</t>
  </si>
  <si>
    <t>NOTE: Section below excludes ORA (i), (ii) and (iii) which have already been included as part of "Innovation"  section above.</t>
  </si>
  <si>
    <t>Incentives per latest PCFM company-specific Input Sheet</t>
  </si>
  <si>
    <t>Reconciliation with Statutory Accounts</t>
  </si>
  <si>
    <t>Forecast new financing/refinancing Net Interest costs</t>
  </si>
  <si>
    <t>Net Interest including forecast new financing/refinancing costs</t>
  </si>
  <si>
    <t>External Net Interest</t>
  </si>
  <si>
    <t>Intra-company Net Interest</t>
  </si>
  <si>
    <t>Memo: Net interest (RIIO-2) Definition that relates to non-cash principal inflation accretion on bonds and loans</t>
  </si>
  <si>
    <t>Less inflation in interest charge</t>
  </si>
  <si>
    <t>Assumed Regulatory finance cost at actual gearing</t>
  </si>
  <si>
    <t>Combined RPI-CPIH real to nominal prices conversion</t>
  </si>
  <si>
    <t>Factor</t>
  </si>
  <si>
    <t>Assumed regulatory finance cost at actual gearing</t>
  </si>
  <si>
    <t>Adjustments to be applied to Assumed Finance cost for performance assessment</t>
  </si>
  <si>
    <t>New/refinanced debt issuance expenses</t>
  </si>
  <si>
    <t>Total Adjustments to be applied for performance assessment (at actual gearing)</t>
  </si>
  <si>
    <t>Cost of Debt out(under)performance at notional gearing</t>
  </si>
  <si>
    <t>Performance against allowance is impacted by deviating from notional levels of gearing</t>
  </si>
  <si>
    <t>Actual Gearing</t>
  </si>
  <si>
    <t xml:space="preserve">based on actual debt tab based on </t>
  </si>
  <si>
    <t>Adjustment to regulatory finance cost relating to variance from notional gearing</t>
  </si>
  <si>
    <t>Assumed regulatory finance cost at notional gearing</t>
  </si>
  <si>
    <t>Adjustments to be applied for performance assessment (at notional gearing)</t>
  </si>
  <si>
    <t>Cost of Debt Allowance</t>
  </si>
  <si>
    <t xml:space="preserve">The latest PCFM contains the allowed cost of debt rate (%) for the reporting year. </t>
  </si>
  <si>
    <t>Cost of Debt Allowance as per latest published PCFM (prior year AIP)</t>
  </si>
  <si>
    <t>Out(under) performance</t>
  </si>
  <si>
    <t>Pre-Tax performance</t>
  </si>
  <si>
    <t>Pre-Tax Cost of Debt out(under)performance at actual gearing</t>
  </si>
  <si>
    <t>Pre-Tax Cost of Debt out(under)performance at notional gearing</t>
  </si>
  <si>
    <t>Pre-Tax Impact on out(under) performance relating to deviating from notional levels of gearing</t>
  </si>
  <si>
    <t>£m</t>
  </si>
  <si>
    <t>Other adjustments</t>
  </si>
  <si>
    <t>Transmission or distribution allocation</t>
  </si>
  <si>
    <t>Opening Cash, short term deposits and overdrafts (per Balance Sheet)</t>
  </si>
  <si>
    <t>Closing 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</si>
  <si>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</si>
  <si>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</si>
  <si>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</si>
  <si>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</si>
  <si>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Guarantees given on behalf of other group companies (per Notes to the Accounts) (+ve)</t>
  </si>
  <si>
    <t>Currency SWAPS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</si>
  <si>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</si>
  <si>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</si>
  <si>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</si>
  <si>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</si>
  <si>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</si>
  <si>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</si>
  <si>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Total Debt per Statutory Accounts</t>
  </si>
  <si>
    <t>Conversion to Regulatory (RIIO-2) Definition of Net Debt</t>
  </si>
  <si>
    <t>Total Net Debt per Regulatory (RIIO-2) definition</t>
  </si>
  <si>
    <t>Forecast new debt/refinancing</t>
  </si>
  <si>
    <t>Regulatory Net Debt including forecast new debt/refinancing</t>
  </si>
  <si>
    <t>Opening Regulatory Net Debt including forecast new debt/refinancing</t>
  </si>
  <si>
    <t>Closing Regulatory Net Debt including forecast new debt/refinancing</t>
  </si>
  <si>
    <t>Allocation of net debt (Per regulatory definition. Transmission companies only)</t>
  </si>
  <si>
    <t>Gas system operator allocation (transmission companies only)</t>
  </si>
  <si>
    <t>Average Net Debt (per Regulatory Definition)</t>
  </si>
  <si>
    <t>Equity RAV</t>
  </si>
  <si>
    <t>Average RAV</t>
  </si>
  <si>
    <t>Actual Regulatory Gearing</t>
  </si>
  <si>
    <t>Gearing Ratio delta</t>
  </si>
  <si>
    <t>NPV Neutral assumed Average Net Debt</t>
  </si>
  <si>
    <t>NPV Neutral assumed Equity RAV</t>
  </si>
  <si>
    <t>NPV Neutral assumed Average RAV</t>
  </si>
  <si>
    <t>Accrued Interest</t>
  </si>
  <si>
    <t>Unamortised Issue Costs</t>
  </si>
  <si>
    <t>Fixed asset investments not readily convertible to cash</t>
  </si>
  <si>
    <t>Preference shares</t>
  </si>
  <si>
    <t>Long term loans (Not for benefit of regulated business or distribution in nature)</t>
  </si>
  <si>
    <t>Currency debt amount to reflect ultimate sterling liability</t>
  </si>
  <si>
    <t>Impact of fair value adjustments</t>
  </si>
  <si>
    <t>ILS financial exposure; direct offset with row 180 (no net impact on regulatory net debt)</t>
  </si>
  <si>
    <t>ILS financial exposure; balances relate to accretions</t>
  </si>
  <si>
    <t>IFRS 16 Lease Liabilities</t>
  </si>
  <si>
    <t>Net debt relating to other thrWM networks</t>
  </si>
  <si>
    <t>R7 - Regulatory Asset Value (RAV)</t>
  </si>
  <si>
    <t>RAV per latest PCFM</t>
  </si>
  <si>
    <r>
      <t xml:space="preserve">Closing RAV </t>
    </r>
    <r>
      <rPr>
        <sz val="10"/>
        <rFont val="Verdana"/>
        <family val="2"/>
      </rPr>
      <t xml:space="preserve">per latest PCFM </t>
    </r>
  </si>
  <si>
    <t>Opening RAV (before transfers)</t>
  </si>
  <si>
    <t>Transfers</t>
  </si>
  <si>
    <t>Opening RAV (after transfers)</t>
  </si>
  <si>
    <t>Net additions (after disposals)</t>
  </si>
  <si>
    <t>Net additions (after disposals) - enduring value adjustment</t>
  </si>
  <si>
    <t>Total Net Additions</t>
  </si>
  <si>
    <t>Depreciation</t>
  </si>
  <si>
    <t>Depreciation - enduring value adjustment</t>
  </si>
  <si>
    <t>Total Depreciation</t>
  </si>
  <si>
    <t>Adjusted Closing RAV</t>
  </si>
  <si>
    <t>Total enduring value and other adjustments</t>
  </si>
  <si>
    <t>CHECK</t>
  </si>
  <si>
    <t>Index for Opening RAV conversion to nominal in yr 1</t>
  </si>
  <si>
    <t>Index</t>
  </si>
  <si>
    <t>Cost of debt</t>
  </si>
  <si>
    <t>annual real %</t>
  </si>
  <si>
    <t>Cost of equity</t>
  </si>
  <si>
    <t>Notional gearing</t>
  </si>
  <si>
    <t>Vanilla WACC</t>
  </si>
  <si>
    <t>NPV-neutral debt element of RAV</t>
  </si>
  <si>
    <t>NPV-neutral equity element of RAV</t>
  </si>
  <si>
    <t>NPV-neutral RAV return base</t>
  </si>
  <si>
    <t>Debt Return on RAV</t>
  </si>
  <si>
    <t>Equity Return on RAV</t>
  </si>
  <si>
    <t>Total return on RAV</t>
  </si>
  <si>
    <t>The CT600 will not have been submitted for the current reporting year.</t>
  </si>
  <si>
    <t>It is assumed the current tax charge per the statutory accounts will equal the tax liability in the forthcoming CT600, where this is not the case the licensee should provide an explanation in the commentary of the variance.</t>
  </si>
  <si>
    <t>Tax liability per latest submitted CT600 (pre-group relief)</t>
  </si>
  <si>
    <t>must match with worksheet R8a</t>
  </si>
  <si>
    <t>Adjustments to remove non-regulated tax liability</t>
  </si>
  <si>
    <t>Tax on non-regulated activities</t>
  </si>
  <si>
    <t>De-minimus and Other activities</t>
  </si>
  <si>
    <t>Excluded services</t>
  </si>
  <si>
    <t>Non-regulated tax</t>
  </si>
  <si>
    <t>Tax on Other Revenue Allowances - Innovation and Incentives only</t>
  </si>
  <si>
    <t>Collected revenue adjustment ('k')</t>
  </si>
  <si>
    <t>Pension - timing adjustment</t>
  </si>
  <si>
    <t>Pension - disallowed contributions</t>
  </si>
  <si>
    <t>Tax on derivatives not disregarded</t>
  </si>
  <si>
    <t>[Insert adjustment as necessary]</t>
  </si>
  <si>
    <t>[Insert new rows here as necessary]</t>
  </si>
  <si>
    <t>Forecast regulated tax liability (including impact of any enduring value adjustments)</t>
  </si>
  <si>
    <t>Adjusted regulated tax liability</t>
  </si>
  <si>
    <t xml:space="preserve">Adjusted/forecast regulated tax liability </t>
  </si>
  <si>
    <t>Tax out(under)performance at notional gearing</t>
  </si>
  <si>
    <t>Adjustment to regulatory tax cost relating to variance from notional gearing</t>
  </si>
  <si>
    <t>Revised regulated tax liability for comparison against allowance</t>
  </si>
  <si>
    <t>Allowance</t>
  </si>
  <si>
    <t>Tax Allowance per latest PCFM</t>
  </si>
  <si>
    <t>Regulated tax out(under) performance at actual gearing</t>
  </si>
  <si>
    <t>Regulated tax out(under) performance at notional gearing</t>
  </si>
  <si>
    <t>Impact on out(under) performance relating to deviating from notional levels of gearing</t>
  </si>
  <si>
    <t>Tax impact of financing performance (at actual gearing)</t>
  </si>
  <si>
    <t>changed to calculation</t>
  </si>
  <si>
    <t>Tax impact of financing performance (at notional gearing)</t>
  </si>
  <si>
    <t>Tax impact of financing performance relating to deviating from notional levels of gearing</t>
  </si>
  <si>
    <t xml:space="preserve">R08a - Tax Reconciliation for RIIO-2 </t>
  </si>
  <si>
    <t>Company name</t>
  </si>
  <si>
    <t>Accounting year end</t>
  </si>
  <si>
    <r>
      <rPr>
        <b/>
        <sz val="9"/>
        <color theme="1"/>
        <rFont val="Verdana"/>
        <family val="2"/>
      </rPr>
      <t>Note:</t>
    </r>
    <r>
      <rPr>
        <sz val="9"/>
        <color theme="1"/>
        <rFont val="Verdana"/>
        <family val="2"/>
      </rPr>
      <t xml:space="preserve"> due to the timing of the CT600 submissions to HMRC, this sheet is to be reported with a one-year lag (i.e. inputs will relate to the previous reporting period).</t>
    </r>
  </si>
  <si>
    <t>Description of Tax Reconciliation Items</t>
  </si>
  <si>
    <t>Price base</t>
  </si>
  <si>
    <t>CT600/ CT computation filed with HMRC (Original Filing)</t>
  </si>
  <si>
    <t>CT600/ CT computation filed with HMRC (Re-filed)</t>
  </si>
  <si>
    <t>PCFM Reference</t>
  </si>
  <si>
    <t xml:space="preserve">PCFM 
Calculated Tax Allowance (Net)
</t>
  </si>
  <si>
    <t xml:space="preserve">PCFM 
Calculated Tax Allowance (Gross)
</t>
  </si>
  <si>
    <t>Difference  
PCFM vs CT600</t>
  </si>
  <si>
    <t>Explanation of difference / Comments</t>
  </si>
  <si>
    <t>Enter CT600 Filing Dates (DD/MM/YYYY):</t>
  </si>
  <si>
    <t>Rate of Tax Applied</t>
  </si>
  <si>
    <t xml:space="preserve"> - Turnover per PLs v Calculated Revenue per PCFM (must match value in row 58 of R2)</t>
  </si>
  <si>
    <t>Nominal</t>
  </si>
  <si>
    <t xml:space="preserve"> - Revenue Tax Pool additions</t>
  </si>
  <si>
    <t xml:space="preserve"> - Adjustment #1 </t>
  </si>
  <si>
    <t xml:space="preserve"> - Adjustment #2 </t>
  </si>
  <si>
    <t xml:space="preserve"> - Adjustment #3</t>
  </si>
  <si>
    <t xml:space="preserve"> - Operating expenses (excluding depreciation and amortisation)</t>
  </si>
  <si>
    <t>EBITDA</t>
  </si>
  <si>
    <t xml:space="preserve"> - Less net interest per P/L /  paid (interest coupon)</t>
  </si>
  <si>
    <t xml:space="preserve"> - Less net interest per P/L / paid (inflation coupon)</t>
  </si>
  <si>
    <t xml:space="preserve"> - Income from Fixed Asset Investments per financial statements</t>
  </si>
  <si>
    <t xml:space="preserve"> - Profit/ (Loss) on disposal of Fixed Assets per financial statements</t>
  </si>
  <si>
    <t xml:space="preserve"> - Depreciation </t>
  </si>
  <si>
    <t xml:space="preserve"> - Amortisation</t>
  </si>
  <si>
    <t>Profit/ (Loss) before taxation per accounts</t>
  </si>
  <si>
    <t xml:space="preserve">Tax Base (before Capital Allowances) </t>
  </si>
  <si>
    <t>REGULATORY ADJUSTMENTS</t>
  </si>
  <si>
    <t>Non regulated activity - adjustments for non regulatory turnover</t>
  </si>
  <si>
    <t xml:space="preserve"> - [insert rows as required]</t>
  </si>
  <si>
    <t>Non regulated activity - adjustments for turnover cost recoveries</t>
  </si>
  <si>
    <t>Non regulated activity - adjustments for turnover timing adjustments</t>
  </si>
  <si>
    <t>Adjusted profit/ (loss) after Regulatory Adjustments</t>
  </si>
  <si>
    <t>TAX ADJUSTMENTS</t>
  </si>
  <si>
    <t>Disallowables/ Allowables and similar items</t>
  </si>
  <si>
    <t xml:space="preserve"> - Provisions adjustments</t>
  </si>
  <si>
    <t xml:space="preserve"> - Pensions adjustments</t>
  </si>
  <si>
    <t xml:space="preserve"> - Depreciation</t>
  </si>
  <si>
    <t xml:space="preserve"> - Other disallowable items</t>
  </si>
  <si>
    <t xml:space="preserve"> - Statutory pension adjustments for corporation tax purposes</t>
  </si>
  <si>
    <t xml:space="preserve"> - Deferred revenue expenditure</t>
  </si>
  <si>
    <t xml:space="preserve"> - Capitalised revenue expenditure</t>
  </si>
  <si>
    <t xml:space="preserve"> - Capitalised revenue expenditure allowed on accounts basis</t>
  </si>
  <si>
    <t xml:space="preserve"> - Capital allowances - expensed proceeds</t>
  </si>
  <si>
    <t xml:space="preserve"> - Transfer pricing adjustments</t>
  </si>
  <si>
    <t xml:space="preserve"> - Profit/ (loss) on disposal of fixed assets</t>
  </si>
  <si>
    <t>Capital Allowances</t>
  </si>
  <si>
    <t xml:space="preserve"> - General pool</t>
  </si>
  <si>
    <t xml:space="preserve"> - Special Rate pool</t>
  </si>
  <si>
    <t xml:space="preserve"> - Structures and Buildings pool</t>
  </si>
  <si>
    <t xml:space="preserve"> - Short Life Assets</t>
  </si>
  <si>
    <t xml:space="preserve"> - Intangible Assets</t>
  </si>
  <si>
    <t xml:space="preserve"> - R&amp;D Allowances</t>
  </si>
  <si>
    <t xml:space="preserve"> Interest Adjustments</t>
  </si>
  <si>
    <t xml:space="preserve"> - Corporate Interest Restriction adjustment</t>
  </si>
  <si>
    <t xml:space="preserve"> - Derivatives adjustment</t>
  </si>
  <si>
    <t xml:space="preserve"> - Non-trade loan relationship debits per accounts</t>
  </si>
  <si>
    <t xml:space="preserve"> - Trade loan relationships debits tax adjustment (interest allowed when paid)</t>
  </si>
  <si>
    <t xml:space="preserve"> - Non-trade loan relationship credits per accounts</t>
  </si>
  <si>
    <t xml:space="preserve"> - Non-trade loan relationship credits</t>
  </si>
  <si>
    <t>Taxable Profit before Tax Loss Adjustments</t>
  </si>
  <si>
    <t>Profits attributable to Corporation Tax (before tax clawback)</t>
  </si>
  <si>
    <t>TAX LOSS ADJUSTMENTS</t>
  </si>
  <si>
    <t>Regulatory Tax Losses</t>
  </si>
  <si>
    <t xml:space="preserve"> - Taxable losses brought forward</t>
  </si>
  <si>
    <t xml:space="preserve"> - In-year taxable loss</t>
  </si>
  <si>
    <t xml:space="preserve"> - Contributions to losses from clawback</t>
  </si>
  <si>
    <t xml:space="preserve"> - Adjustment to losses from tax trigger</t>
  </si>
  <si>
    <t xml:space="preserve"> - Profits used to offset outstanding losses (excluded from corporation tax)</t>
  </si>
  <si>
    <t xml:space="preserve"> - [Insert Further Adjustments as necessary]</t>
  </si>
  <si>
    <t>Profits Chargeable to Corporation Tax (i.e. after Tax Loss Adjustments)('PCTCT')</t>
  </si>
  <si>
    <t>Profits attributable to Corporation Tax after tax losses</t>
  </si>
  <si>
    <t>Corporation Tax due on PCTCT</t>
  </si>
  <si>
    <t>Corporation tax charge after losses</t>
  </si>
  <si>
    <t>Financial Year Ave RPI-CPIH</t>
  </si>
  <si>
    <t>From RFPR 'Data' Cell E26</t>
  </si>
  <si>
    <t xml:space="preserve">Actual Corporation Tax Liability </t>
  </si>
  <si>
    <t>Calculated Tax Allowance (adjusted)</t>
  </si>
  <si>
    <t>Dividends Reconciliation - Regulated Business to Accounts</t>
  </si>
  <si>
    <t>Dividend paid as per Statutory Accounts</t>
  </si>
  <si>
    <t>Less dividend paid not related to Regulated business</t>
  </si>
  <si>
    <t>Dividend paid relating to the Regulated Business</t>
  </si>
  <si>
    <t>Shareholder loan interest (not included as Net Interest per Regulatory (RIIO-2) definition)</t>
  </si>
  <si>
    <t xml:space="preserve">Executive Directors* Remuneration </t>
  </si>
  <si>
    <t>Director 1</t>
  </si>
  <si>
    <t>Director 2</t>
  </si>
  <si>
    <t>Director 3</t>
  </si>
  <si>
    <t>Director 4</t>
  </si>
  <si>
    <t>Director 5</t>
  </si>
  <si>
    <t>Name of Director</t>
  </si>
  <si>
    <t>Fixed Pay</t>
  </si>
  <si>
    <t>Salary</t>
  </si>
  <si>
    <t>Bonus</t>
  </si>
  <si>
    <t>Benefits</t>
  </si>
  <si>
    <t>Pension</t>
  </si>
  <si>
    <t>Total Fixed Pay</t>
  </si>
  <si>
    <t>Allocation to Regulated Business</t>
  </si>
  <si>
    <t>Variable Pay</t>
  </si>
  <si>
    <t>Incentives</t>
  </si>
  <si>
    <t>Performance related Pay</t>
  </si>
  <si>
    <t>Total Variable Pay</t>
  </si>
  <si>
    <t>Total Pay</t>
  </si>
  <si>
    <t>Total Pay related to Regulated Business</t>
  </si>
  <si>
    <t>Shares** / Options</t>
  </si>
  <si>
    <t>Share ownership/ awards</t>
  </si>
  <si>
    <t>No. of Shares</t>
  </si>
  <si>
    <t>% Discount on shares purchased</t>
  </si>
  <si>
    <t>% of shares held compared to total authorised shares</t>
  </si>
  <si>
    <t>Value of total shares</t>
  </si>
  <si>
    <t>No.of Options held</t>
  </si>
  <si>
    <t xml:space="preserve">No. </t>
  </si>
  <si>
    <t>Exercise price</t>
  </si>
  <si>
    <t>£</t>
  </si>
  <si>
    <t>No. of options exercised</t>
  </si>
  <si>
    <t>Value of Options exercised</t>
  </si>
  <si>
    <t>Dividends paid</t>
  </si>
  <si>
    <t>Total Shares, Options and Dividends</t>
  </si>
  <si>
    <t>Total Remuneration</t>
  </si>
  <si>
    <t>Total Remuneration related to Regulated Business</t>
  </si>
  <si>
    <t>Pay Ratios - CEO's total remuneration to company's UK employees remuneration</t>
  </si>
  <si>
    <t xml:space="preserve">25th percentile </t>
  </si>
  <si>
    <t xml:space="preserve">50th percentile </t>
  </si>
  <si>
    <t xml:space="preserve">75th percentile </t>
  </si>
  <si>
    <t>*meaning executive board directors</t>
  </si>
  <si>
    <t xml:space="preserve">** in addition to shares under Variable Pay </t>
  </si>
  <si>
    <t>Supporting Comments</t>
  </si>
  <si>
    <t>Stephen Glynn Hurrell resigned as Director on 23 December 2021</t>
  </si>
  <si>
    <t>R10 - Pensions &amp; Other Activities</t>
  </si>
  <si>
    <t>Pensions</t>
  </si>
  <si>
    <t>Licensee share of total pension deficit repair payment made for defined benefit scheme</t>
  </si>
  <si>
    <t>Of which:</t>
  </si>
  <si>
    <t>Established deficit element funded via specific allowances</t>
  </si>
  <si>
    <t>Incremental deficit funded via totex</t>
  </si>
  <si>
    <t>Established deficit (EDE) allowance as per latest PCFM</t>
  </si>
  <si>
    <t>Less Pension Payment History Allowance (PPH)</t>
  </si>
  <si>
    <t>Established deficit allowance less PPH</t>
  </si>
  <si>
    <t>Enter valuation date</t>
  </si>
  <si>
    <t>Latest pension scheme valuation</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</si>
  <si>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</si>
  <si>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</si>
  <si>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</si>
  <si>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</si>
  <si>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post Cut-Off Date Notional Sub-Fund</t>
  </si>
  <si>
    <t>Deficit in the pre Cut-Off Date Notional Sub-Fund</t>
  </si>
  <si>
    <t>Licensee element of established deficit</t>
  </si>
  <si>
    <t>Licensee element of incremental deficit</t>
  </si>
  <si>
    <t>Other Activities</t>
  </si>
  <si>
    <t>Post-tax total fines and penalties (including GS payments)</t>
  </si>
  <si>
    <t>Ofgem related fines and penalties</t>
  </si>
  <si>
    <t>[Insert detail of fine or penalty]</t>
  </si>
  <si>
    <t>Total Ofgem related fines and penalties</t>
  </si>
  <si>
    <t>Any adjustment for tax</t>
  </si>
  <si>
    <t>Post-tax total fines and penalties</t>
  </si>
  <si>
    <t>Guaranteed Standard (GS) payments</t>
  </si>
  <si>
    <t>Total GS payments</t>
  </si>
  <si>
    <t>Post-tax total GS payments</t>
  </si>
  <si>
    <t>Steven Richard Fraser</t>
  </si>
  <si>
    <t>Anthony Oliver Bickerstaff</t>
  </si>
  <si>
    <t>Howard Neil Forster</t>
  </si>
  <si>
    <t>Stephen Glynn Hurrell</t>
  </si>
  <si>
    <t>data</t>
  </si>
  <si>
    <t>updated inflation information as per July '22 PCFM</t>
  </si>
  <si>
    <t>R2</t>
  </si>
  <si>
    <t>For the bottom part of the DT the reconciliation has been performed on an overall Cadent group level as opposed to indivudal networks</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</si>
  <si>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</si>
  <si>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</si>
  <si>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</si>
  <si>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</si>
  <si>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</si>
  <si>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</si>
  <si>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</si>
  <si>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</si>
  <si>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</si>
  <si>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</si>
  <si>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</si>
  <si>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</si>
  <si>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</si>
  <si>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</si>
  <si>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finance costs relating to other three networks</t>
  </si>
  <si>
    <t>Other Adjustments [please specify]</t>
  </si>
  <si>
    <t>Add back Debt Issuance expenses</t>
  </si>
  <si>
    <t>Costs of early redemption on long term debt (excluding exceptional costs of buy backs associated with M&amp;A activity)</t>
  </si>
  <si>
    <t>Add accrual for inflation accretion on index-linked swaps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</si>
</sst>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_-;\-* #,##0.0_-;_-* &quot;-&quot;??_-;_-@_-"/>
    <numFmt numFmtId="171" formatCode="_-* #,##0.00\ _D_M_-;\-* #,##0.00\ _D_M_-;_-* &quot;-&quot;??\ _D_M_-;_-@_-"/>
    <numFmt numFmtId="172" formatCode="#,##0.00;[Red]\-#,##0.00;\-"/>
    <numFmt numFmtId="173" formatCode="#,##0.0_);\(#,##0.0\);\-_)"/>
    <numFmt numFmtId="174" formatCode="#,##0.0;[Red]\-#,##0.0;\-"/>
    <numFmt numFmtId="175" formatCode="0.0%"/>
    <numFmt numFmtId="176" formatCode="#,##0.0;[Red]\(#,##0.0\)"/>
    <numFmt numFmtId="177" formatCode="_(* #,##0.0_);_(* \(#,##0.0\);_(* &quot;-&quot;??_);_(@_)"/>
    <numFmt numFmtId="178" formatCode="0.0"/>
    <numFmt numFmtId="179" formatCode="[$-809]d\ mmmm\ yyyy;@"/>
    <numFmt numFmtId="180" formatCode="dd/mm/yyyy;@"/>
    <numFmt numFmtId="181" formatCode="_-* #,##0.000_-;\-* #,##0.000_-;_-* &quot;-&quot;??_-;_-@_-"/>
    <numFmt numFmtId="182" formatCode="_-* #,##0.0000_-;\-* #,##0.0000_-;_-* &quot;-&quot;??_-;_-@_-"/>
    <numFmt numFmtId="183" formatCode="0.000"/>
    <numFmt numFmtId="184" formatCode="#,##0.0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_-[$€-2]* #,##0.00_-;\-[$€-2]* #,##0.00_-;_-[$€-2]* &quot;-&quot;??_-"/>
    <numFmt numFmtId="195" formatCode="000\-00\-0000\ "/>
    <numFmt numFmtId="196" formatCode="_(* #,##0_);_(* \(#,##0\);_(* &quot;0&quot;_);_(@_)"/>
    <numFmt numFmtId="197" formatCode="#,##0.0_);\(#,##0.0\)"/>
    <numFmt numFmtId="198" formatCode="&quot;$&quot;_(#,##0.00_);&quot;$&quot;\(#,##0.00\)"/>
    <numFmt numFmtId="199" formatCode="_-&quot;$&quot;* #,##0.0_-;\-&quot;$&quot;* #,##0.0_-;_-&quot;$&quot;* &quot;-&quot;??_-;_-@_-"/>
    <numFmt numFmtId="200" formatCode="#,##0_);\(#,##0\);&quot;-  &quot;;&quot; &quot;@&quot; &quot;"/>
    <numFmt numFmtId="201" formatCode="#,##0.0_)\x;\(#,##0.0\)\x"/>
    <numFmt numFmtId="202" formatCode="&quot;$&quot;#,##0"/>
    <numFmt numFmtId="203" formatCode="#,##0.0_)_x;\(#,##0.0\)_x"/>
    <numFmt numFmtId="204" formatCode="_(&quot;$&quot;* #,##0_);_(&quot;$&quot;* \(#,##0\);_(&quot;$&quot;* &quot;-&quot;??_);_(@_)"/>
    <numFmt numFmtId="205" formatCode="0.0_)\%;\(0.0\)\%"/>
    <numFmt numFmtId="206" formatCode="#,##0.0_)_%;\(#,##0.0\)_%"/>
    <numFmt numFmtId="207" formatCode="_(&quot;$&quot;* #,##0.0_);_(&quot;$&quot;* \(#,##0.0\);_(&quot;$&quot;* &quot;-&quot;?_);_(@_)"/>
    <numFmt numFmtId="208" formatCode="#,##0.0_);[Red]\(#,##0.0\)"/>
    <numFmt numFmtId="209" formatCode="_-&quot;£&quot;* #,##0.0_-;_-&quot;£&quot;* \(#,##0.0\)"/>
    <numFmt numFmtId="210" formatCode="\£\ #,##0_);[Red]\(\£\ #,##0\)"/>
    <numFmt numFmtId="211" formatCode="#,##0.00;[Red]\(#,##0.00\);\-"/>
    <numFmt numFmtId="212" formatCode="\¥\ #,##0_);[Red]\(\¥\ #,##0\)"/>
    <numFmt numFmtId="213" formatCode="_-\€* #,##0.0_-;_-\€* \(#,##0.0\)"/>
    <numFmt numFmtId="214" formatCode="#,##0;\(#,##0\)"/>
    <numFmt numFmtId="215" formatCode="0;[Red]\(0\);\-"/>
    <numFmt numFmtId="216" formatCode="#,##0;[Red]\(#,##0\);\-"/>
    <numFmt numFmtId="217" formatCode="#,##0,_);[Red]\(#,##0,\)"/>
    <numFmt numFmtId="218" formatCode="0.0;\(0.0\);\-"/>
    <numFmt numFmtId="219" formatCode="0.00;\(0.00\);\-"/>
    <numFmt numFmtId="220" formatCode="0.00;[Red]\(0.00\);\-"/>
    <numFmt numFmtId="221" formatCode="0.000;\(0.000\);\-"/>
    <numFmt numFmtId="222" formatCode="0\A"/>
    <numFmt numFmtId="223" formatCode="m\-d\-yy"/>
    <numFmt numFmtId="224" formatCode="0.0_)"/>
    <numFmt numFmtId="225" formatCode="_ &quot;R&quot;\ * #,##0_ ;_ &quot;R&quot;\ * \-#,##0_ ;_ &quot;R&quot;\ * &quot;-&quot;_ ;_ @_ "/>
    <numFmt numFmtId="226" formatCode="0.00\ "/>
    <numFmt numFmtId="227" formatCode="#,##0.0,,,&quot;bn&quot;"/>
    <numFmt numFmtId="228" formatCode="0.0%_);[Red]\(0.0%\)"/>
    <numFmt numFmtId="229" formatCode="0.0%;\(0.0\)%"/>
    <numFmt numFmtId="230" formatCode="0&quot; bp&quot;"/>
    <numFmt numFmtId="231" formatCode="_(* #,##0.0_);_(* \(#,##0.0\);_(* &quot;-&quot;?_);@_)"/>
    <numFmt numFmtId="232" formatCode="\•\ \ @"/>
    <numFmt numFmtId="233" formatCode="#,##0_);[Red]\(#,##0\);&quot;-&quot;_);[Blue]&quot;Error-&quot;@"/>
    <numFmt numFmtId="234" formatCode="#,##0.0_);[Red]\(#,##0.0\);&quot;-&quot;_);[Blue]&quot;Error-&quot;@"/>
    <numFmt numFmtId="235" formatCode="#,##0.00_);[Red]\(#,##0.00\);&quot;-&quot;_);[Blue]&quot;Error-&quot;@"/>
    <numFmt numFmtId="236" formatCode="&quot;£&quot;* #,##0_);[Red]&quot;£&quot;* \(#,##0\);&quot;£&quot;* &quot;-&quot;_);[Blue]&quot;Error-&quot;@"/>
    <numFmt numFmtId="237" formatCode="&quot;£&quot;* #,##0.0_);[Red]&quot;£&quot;* \(#,##0.0\);&quot;£&quot;* &quot;-&quot;_);[Blue]&quot;Error-&quot;@"/>
    <numFmt numFmtId="238" formatCode="&quot;£&quot;* #,##0.00_);[Red]&quot;£&quot;* \(#,##0.00\);&quot;£&quot;* &quot;-&quot;_);[Blue]&quot;Error-&quot;@"/>
    <numFmt numFmtId="239" formatCode="dd\ mmm\ yyyy_)"/>
    <numFmt numFmtId="240" formatCode="dd/mm/yy_)"/>
    <numFmt numFmtId="241" formatCode="0%_);[Red]\-0%_);0%_);[Blue]&quot;Error-&quot;@"/>
    <numFmt numFmtId="242" formatCode="0.0%_);[Red]\-0.0%_);0.0%_);[Blue]&quot;Error-&quot;@"/>
    <numFmt numFmtId="243" formatCode="0.00%_);[Red]\-0.00%_);0.00%_);[Blue]&quot;Error-&quot;@"/>
    <numFmt numFmtId="244" formatCode="_-* #,##0_-;* \(#,##0\)_-;_-@_-"/>
    <numFmt numFmtId="245" formatCode="0.000_)"/>
    <numFmt numFmtId="246" formatCode="#,##0.000;[Red]\(#,##0.000\);\-"/>
    <numFmt numFmtId="247" formatCode="#,##0_%_);\(#,##0\)_%;**;@_%_)"/>
    <numFmt numFmtId="248" formatCode="#,##0.000_ ;\-#,##0.000\ "/>
    <numFmt numFmtId="249" formatCode="\$#,##0.0,,,&quot;bn&quot;"/>
    <numFmt numFmtId="250" formatCode="0.0_x_)_);&quot;NM&quot;_x_)_);0.0_x_)_);@_%_)"/>
    <numFmt numFmtId="251" formatCode="0.0\ \x;\(0.0\ \x\)"/>
    <numFmt numFmtId="252" formatCode="0.0_ ;\(0.0\)_ \ "/>
    <numFmt numFmtId="253" formatCode="#,##0.0_);\(#,##0.0\);&quot;--&quot;_)"/>
    <numFmt numFmtId="254" formatCode="#,##0.00_);\(#,##0.00\);&quot;--&quot;_)"/>
    <numFmt numFmtId="255" formatCode="General_)"/>
    <numFmt numFmtId="256" formatCode="#,##0.0"/>
    <numFmt numFmtId="257" formatCode="_(&quot;£&quot;* #,##0.00_);_(&quot;£&quot;* \(#,##0.00\);_(&quot;£&quot;* &quot;-&quot;??_);_(@_)"/>
    <numFmt numFmtId="258" formatCode="m/d"/>
    <numFmt numFmtId="259" formatCode="0.0\ \ \x\ ;\(0.0\)\ \ \x\ "/>
    <numFmt numFmtId="260" formatCode="@\ \ \ \ \ "/>
    <numFmt numFmtId="261" formatCode="\ \ _•\–\ \ \ \ @"/>
    <numFmt numFmtId="262" formatCode="000"/>
    <numFmt numFmtId="263" formatCode="#,##0.00;[Red]\(#,##0.00\)"/>
    <numFmt numFmtId="264" formatCode="d\-mmm\-yyyy"/>
    <numFmt numFmtId="265" formatCode="&quot;$&quot;#,##0.0;[Red]&quot;$&quot;#,##0.0"/>
    <numFmt numFmtId="266" formatCode="dd/mmm/yyyy_);;&quot;-  &quot;;&quot; &quot;@"/>
    <numFmt numFmtId="267" formatCode="dd/mmm/yyyy_);;&quot;-  &quot;;&quot; &quot;@&quot; &quot;"/>
    <numFmt numFmtId="268" formatCode="dd/mmm/yy_);;&quot;-  &quot;;&quot; &quot;@"/>
    <numFmt numFmtId="269" formatCode="dd/mmm/yy_);;&quot;-  &quot;;&quot; &quot;@&quot; &quot;"/>
    <numFmt numFmtId="270" formatCode="0.00,,;[Red]\(0.00,,\);\-"/>
    <numFmt numFmtId="271" formatCode="_(* #,##0_);_(* \(#,##0\);_(* &quot;&quot;\ \-\ &quot;&quot;_);_(@_)"/>
    <numFmt numFmtId="272" formatCode="_-* #,##0\ _D_M_-;\-* #,##0\ _D_M_-;_-* &quot;-&quot;\ _D_M_-;_-@_-"/>
    <numFmt numFmtId="273" formatCode="#,##0.00_)\ \ \ \ \ ;\(#,##0.00\)\ \ \ \ \ "/>
    <numFmt numFmtId="274" formatCode="&quot;$&quot;#,##0.00_)\ \ \ \ \ ;\(&quot;$&quot;#,##0.00\)\ \ \ \ \ "/>
    <numFmt numFmtId="275" formatCode="&quot;$&quot;#,##0.00\A\ \ \ \ ;\(&quot;$&quot;#,##0.00\A\)\ \ \ \ "/>
    <numFmt numFmtId="276" formatCode="&quot;$&quot;#,##0.00&quot;E&quot;\ \ \ \ ;\(&quot;$&quot;#,##0.00&quot;E&quot;\)\ \ \ \ "/>
    <numFmt numFmtId="277" formatCode="#,##0.00\A\ \ \ \ ;\(#,##0.00\A\)\ \ \ \ "/>
    <numFmt numFmtId="278" formatCode="#,##0.00&quot;E&quot;\ \ \ \ ;\(#,##0.00&quot;E&quot;\)\ \ \ \ "/>
    <numFmt numFmtId="279" formatCode="\€#,##0.0,,,&quot;bn&quot;"/>
    <numFmt numFmtId="280" formatCode="\€#,##0.0,,&quot;m&quot;"/>
    <numFmt numFmtId="281" formatCode="\€#,##0.0,&quot;k&quot;"/>
    <numFmt numFmtId="282" formatCode="[Magenta]&quot;Err&quot;;[Magenta]&quot;Err&quot;;[Blue]&quot;OK&quot;"/>
    <numFmt numFmtId="283" formatCode="[Blue]&quot;,&quot;;;[Red]&quot;/&quot;"/>
    <numFmt numFmtId="284" formatCode="General\ &quot;.&quot;"/>
    <numFmt numFmtId="285" formatCode="#,##0_);[Red]\(#,##0\);\-_)"/>
    <numFmt numFmtId="286" formatCode="0.0_)%;\(0.0%\);0.0_)%"/>
    <numFmt numFmtId="287" formatCode="#,##0_);\(#,##0\);\-_)"/>
    <numFmt numFmtId="288" formatCode="0.0_)%;[Red]\(0.0%\);0.0_)%"/>
    <numFmt numFmtId="289" formatCode="[Red][&gt;1]&quot;&gt;100 %&quot;;[Red]\(0.0%\);0.0_)%"/>
    <numFmt numFmtId="290" formatCode="#,##0.0000_);\(#,##0.0000\);&quot;-  &quot;;&quot; &quot;@"/>
    <numFmt numFmtId="291" formatCode="#,##0.0000_);\(#,##0.0000\);&quot;-  &quot;;&quot; &quot;@&quot; &quot;"/>
    <numFmt numFmtId="292" formatCode="0%\ \ \ \ \ \ \ "/>
    <numFmt numFmtId="293" formatCode="\£#,##0.00"/>
    <numFmt numFmtId="294" formatCode="\£#,##0.0,,,&quot;bn&quot;"/>
    <numFmt numFmtId="295" formatCode="\£#,##0.0,,&quot;m&quot;"/>
    <numFmt numFmtId="296" formatCode="\£#,##0.0,&quot;k&quot;"/>
    <numFmt numFmtId="297" formatCode="0.00%;\(0.00%\)"/>
    <numFmt numFmtId="298" formatCode="0.00_)"/>
    <numFmt numFmtId="299" formatCode="\ ;\ ;"/>
    <numFmt numFmtId="300" formatCode="_-* #,##0_-;\-* #,##0_-;_-* &quot;-&quot;??_-;_-@_-"/>
    <numFmt numFmtId="301" formatCode="#,##0.0;\(#,##0.0\);\-"/>
    <numFmt numFmtId="302" formatCode="&quot;$&quot;#,##0\ &quot;MM&quot;;\(&quot;$&quot;#,##0.00\ &quot;MM&quot;\)"/>
    <numFmt numFmtId="303" formatCode="_(&quot;$&quot;* #,##0_)\ &quot;millions&quot;;_(&quot;$&quot;* \(#,##0\)&quot; millions&quot;"/>
    <numFmt numFmtId="304" formatCode="#,##0.0,,&quot;m&quot;"/>
    <numFmt numFmtId="305" formatCode="#,##0\ &quot;MM&quot;"/>
    <numFmt numFmtId="306" formatCode="&quot;Cr$&quot;#,##0_);[Red]\(&quot;Cr$&quot;#,##0\)"/>
    <numFmt numFmtId="307" formatCode="&quot;Cr$&quot;#,##0.00_);[Red]\(&quot;Cr$&quot;#,##0.00\)"/>
    <numFmt numFmtId="308" formatCode="mmm\-yyyy"/>
    <numFmt numFmtId="309" formatCode="0.0\x"/>
    <numFmt numFmtId="310" formatCode="0.0\ \x"/>
    <numFmt numFmtId="311" formatCode="0%_);\(0%\);0%_);@_%_)"/>
    <numFmt numFmtId="312" formatCode="[Blue]#,##0;[Red]\(#,##0\);\-"/>
    <numFmt numFmtId="313" formatCode="[Blue]#,##0.0;[Red]\(#,##0.0\);\-"/>
    <numFmt numFmtId="314" formatCode="[Blue]#,##0.00;[Red]\(#,##0.00\);\-"/>
    <numFmt numFmtId="315" formatCode="[Blue]#,##0.000;[Red]\(#,##0.000\);\-"/>
    <numFmt numFmtId="316" formatCode="#,##0_);\-#,##0_);\-_)"/>
    <numFmt numFmtId="317" formatCode="#,##0.00_);\-#,##0.00_);\-_)"/>
    <numFmt numFmtId="318" formatCode="#,##0.0;[Red]\(#,##0.0\);\-"/>
    <numFmt numFmtId="319" formatCode="#,##0_ ;[Red]\(#,##0\);\-\ "/>
    <numFmt numFmtId="320" formatCode="#,##0;[Red]\(#,##0\)"/>
    <numFmt numFmtId="321" formatCode="0.0\ \ \ \ \ \ "/>
    <numFmt numFmtId="322" formatCode="0.0%\ \ \ \ \ "/>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dd\ mmm\ yyyy"/>
    <numFmt numFmtId="348" formatCode="_(* #,##0.000_);_(* \(#,##0.000\);_(* &quot;-&quot;??_);_(@_)"/>
    <numFmt numFmtId="349" formatCode="[$-F800]dddd\,\ mmmm\ dd\,\ yyyy"/>
    <numFmt numFmtId="350" formatCode="0.00000000%"/>
    <numFmt numFmtId="351" formatCode="_-* #,##0.0_-;\-* #,##0.0_-;_-* &quot;-&quot;?_-;_-@_-"/>
    <numFmt numFmtId="352" formatCode="&quot;£&quot;#,##0.0"/>
    <numFmt numFmtId="353" formatCode="0.00000"/>
    <numFmt numFmtId="354" formatCode="#,##0.0;\-#,##0.0;\-;@"/>
  </numFmts>
  <fonts count="288">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sz val="8"/>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6"/>
      <color theme="0"/>
      <name val="CG Omega"/>
    </font>
    <font>
      <sz val="16"/>
      <color theme="0"/>
      <name val="CG Omega"/>
    </font>
    <font>
      <vertAlign val="subscript"/>
      <sz val="10"/>
      <color theme="1"/>
      <name val="Verdana"/>
      <family val="2"/>
    </font>
    <font>
      <b/>
      <u/>
      <sz val="10"/>
      <color theme="1"/>
      <name val="Verdana"/>
      <family val="2"/>
    </font>
    <font>
      <b/>
      <vertAlign val="subscript"/>
      <sz val="14"/>
      <color theme="1"/>
      <name val="Verdana"/>
      <family val="2"/>
    </font>
    <font>
      <b/>
      <sz val="14"/>
      <color theme="1"/>
      <name val="Verdana"/>
      <family val="2"/>
    </font>
    <font>
      <b/>
      <sz val="6"/>
      <color rgb="FF202124"/>
      <name val="Arial"/>
      <family val="2"/>
    </font>
    <font>
      <b/>
      <sz val="10"/>
      <color rgb="FFFF0000"/>
      <name val="Verdana"/>
      <family val="2"/>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i/>
      <sz val="11"/>
      <name val="Calibri"/>
      <family val="2"/>
      <scheme val="minor"/>
    </font>
    <font>
      <b/>
      <sz val="9"/>
      <color theme="0" tint="-0.34998626667073579"/>
      <name val="CG Omega"/>
      <family val="2"/>
    </font>
    <font>
      <b/>
      <sz val="10"/>
      <name val="Gill Sans MT"/>
      <family val="2"/>
    </font>
    <font>
      <b/>
      <sz val="11"/>
      <name val="Calibri"/>
      <family val="2"/>
      <scheme val="minor"/>
    </font>
    <font>
      <b/>
      <sz val="9"/>
      <color theme="1"/>
      <name val="Verdana"/>
      <family val="2"/>
    </font>
    <font>
      <b/>
      <sz val="10"/>
      <color theme="0" tint="-0.34998626667073579"/>
      <name val="Verdana"/>
      <family val="2"/>
    </font>
    <font>
      <sz val="10"/>
      <color rgb="FFFF0000"/>
      <name val="Gill Sans MT"/>
      <family val="2"/>
    </font>
    <font>
      <b/>
      <sz val="12"/>
      <color theme="1"/>
      <name val="Calibri"/>
      <family val="2"/>
      <scheme val="minor"/>
    </font>
    <font>
      <sz val="12"/>
      <color theme="1"/>
      <name val="Calibri"/>
      <family val="2"/>
      <scheme val="minor"/>
    </font>
    <font>
      <b/>
      <sz val="12"/>
      <name val="Calibri"/>
      <family val="2"/>
      <scheme val="minor"/>
    </font>
    <font>
      <b/>
      <i/>
      <sz val="11"/>
      <name val="Calibri"/>
      <family val="2"/>
      <scheme val="minor"/>
    </font>
  </fonts>
  <fills count="137">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99CCFF"/>
        <bgColor indexed="64"/>
      </patternFill>
    </fill>
    <fill>
      <patternFill patternType="solid">
        <fgColor rgb="FFFFFFFF"/>
        <bgColor indexed="64"/>
      </patternFill>
    </fill>
    <fill>
      <patternFill patternType="solid">
        <fgColor rgb="FFD9D9D9"/>
        <bgColor indexed="64"/>
      </patternFill>
    </fill>
    <fill>
      <patternFill patternType="solid">
        <fgColor rgb="FFC0C0C0"/>
        <bgColor indexed="64"/>
      </patternFill>
    </fill>
    <fill>
      <patternFill patternType="solid">
        <fgColor theme="3" tint="0.79998168889431442"/>
        <bgColor indexed="64"/>
      </patternFill>
    </fill>
    <fill>
      <patternFill patternType="solid">
        <fgColor rgb="FFFFFFAB"/>
        <bgColor indexed="64"/>
      </patternFill>
    </fill>
  </fills>
  <borders count="1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style="thin">
        <color theme="0" tint="-0.499984740745262"/>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indexed="64"/>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medium">
        <color rgb="FF000000"/>
      </left>
      <right style="thin">
        <color theme="0" tint="-0.499984740745262"/>
      </right>
      <top style="thin">
        <color indexed="64"/>
      </top>
      <bottom style="thin">
        <color theme="0" tint="-0.499984740745262"/>
      </bottom>
      <diagonal/>
    </border>
    <border>
      <left style="thin">
        <color theme="0" tint="-0.499984740745262"/>
      </left>
      <right style="medium">
        <color rgb="FF000000"/>
      </right>
      <top style="thin">
        <color theme="0" tint="-0.499984740745262"/>
      </top>
      <bottom style="thin">
        <color theme="0" tint="-0.499984740745262"/>
      </bottom>
      <diagonal/>
    </border>
    <border>
      <left style="medium">
        <color rgb="FF000000"/>
      </left>
      <right style="thin">
        <color theme="0" tint="-0.499984740745262"/>
      </right>
      <top style="thin">
        <color theme="0" tint="-0.499984740745262"/>
      </top>
      <bottom style="thin">
        <color theme="0" tint="-0.499984740745262"/>
      </bottom>
      <diagonal/>
    </border>
    <border>
      <left style="medium">
        <color rgb="FF000000"/>
      </left>
      <right/>
      <top style="thin">
        <color theme="0" tint="-0.499984740745262"/>
      </top>
      <bottom style="thin">
        <color theme="0" tint="-0.499984740745262"/>
      </bottom>
      <diagonal/>
    </border>
    <border>
      <left style="medium">
        <color rgb="FF000000"/>
      </left>
      <right/>
      <top style="thin">
        <color theme="0" tint="-0.499984740745262"/>
      </top>
      <bottom style="medium">
        <color rgb="FF000000"/>
      </bottom>
      <diagonal/>
    </border>
    <border>
      <left style="thin">
        <color theme="0" tint="-0.499984740745262"/>
      </left>
      <right/>
      <top style="thin">
        <color theme="0" tint="-0.499984740745262"/>
      </top>
      <bottom style="medium">
        <color rgb="FF000000"/>
      </bottom>
      <diagonal/>
    </border>
    <border>
      <left style="thin">
        <color theme="0" tint="-0.499984740745262"/>
      </left>
      <right style="thin">
        <color theme="0" tint="-0.499984740745262"/>
      </right>
      <top style="thin">
        <color theme="0" tint="-0.499984740745262"/>
      </top>
      <bottom style="medium">
        <color rgb="FF000000"/>
      </bottom>
      <diagonal/>
    </border>
    <border>
      <left style="thin">
        <color theme="0" tint="-0.499984740745262"/>
      </left>
      <right style="medium">
        <color rgb="FF000000"/>
      </right>
      <top style="thin">
        <color theme="0" tint="-0.499984740745262"/>
      </top>
      <bottom style="medium">
        <color rgb="FF000000"/>
      </bottom>
      <diagonal/>
    </border>
    <border>
      <left style="medium">
        <color rgb="FF000000"/>
      </left>
      <right style="thin">
        <color theme="0" tint="-0.499984740745262"/>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theme="0" tint="-0.499984740745262"/>
      </left>
      <right style="thin">
        <color theme="0" tint="-0.499984740745262"/>
      </right>
      <top style="medium">
        <color rgb="FF000000"/>
      </top>
      <bottom style="medium">
        <color rgb="FF000000"/>
      </bottom>
      <diagonal/>
    </border>
    <border>
      <left style="thin">
        <color theme="0" tint="-0.499984740745262"/>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0" tint="-0.499984740745262"/>
      </right>
      <top style="medium">
        <color rgb="FF000000"/>
      </top>
      <bottom style="thin">
        <color theme="0" tint="-0.499984740745262"/>
      </bottom>
      <diagonal/>
    </border>
    <border>
      <left style="thin">
        <color theme="0" tint="-0.499984740745262"/>
      </left>
      <right style="thin">
        <color theme="0" tint="-0.499984740745262"/>
      </right>
      <top style="medium">
        <color rgb="FF000000"/>
      </top>
      <bottom style="thin">
        <color theme="0" tint="-0.499984740745262"/>
      </bottom>
      <diagonal/>
    </border>
    <border>
      <left style="thin">
        <color theme="0" tint="-0.499984740745262"/>
      </left>
      <right/>
      <top style="medium">
        <color rgb="FF000000"/>
      </top>
      <bottom style="thin">
        <color theme="0" tint="-0.499984740745262"/>
      </bottom>
      <diagonal/>
    </border>
    <border>
      <left style="thin">
        <color theme="0" tint="-0.499984740745262"/>
      </left>
      <right style="medium">
        <color rgb="FF000000"/>
      </right>
      <top style="medium">
        <color rgb="FF000000"/>
      </top>
      <bottom style="thin">
        <color theme="0" tint="-0.499984740745262"/>
      </bottom>
      <diagonal/>
    </border>
    <border>
      <left style="thin">
        <color theme="0" tint="-0.499984740745262"/>
      </left>
      <right style="thin">
        <color indexed="64"/>
      </right>
      <top style="medium">
        <color rgb="FF000000"/>
      </top>
      <bottom style="thin">
        <color theme="0" tint="-0.499984740745262"/>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theme="0" tint="-0.499984740745262"/>
      </right>
      <top style="thin">
        <color theme="0" tint="-0.499984740745262"/>
      </top>
      <bottom style="medium">
        <color rgb="FF000000"/>
      </bottom>
      <diagonal/>
    </border>
    <border>
      <left style="thin">
        <color theme="0" tint="-0.499984740745262"/>
      </left>
      <right style="thin">
        <color indexed="64"/>
      </right>
      <top style="thin">
        <color theme="0" tint="-0.499984740745262"/>
      </top>
      <bottom style="medium">
        <color rgb="FF000000"/>
      </bottom>
      <diagonal/>
    </border>
    <border>
      <left style="thin">
        <color rgb="FF000000"/>
      </left>
      <right style="medium">
        <color rgb="FF000000"/>
      </right>
      <top style="thin">
        <color rgb="FF000000"/>
      </top>
      <bottom style="medium">
        <color rgb="FF000000"/>
      </bottom>
      <diagonal/>
    </border>
    <border>
      <left style="thin">
        <color theme="0" tint="-0.499984740745262"/>
      </left>
      <right/>
      <top style="medium">
        <color rgb="FF000000"/>
      </top>
      <bottom style="medium">
        <color rgb="FF000000"/>
      </bottom>
      <diagonal/>
    </border>
    <border>
      <left style="thin">
        <color theme="0" tint="-0.499984740745262"/>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bottom style="thin">
        <color theme="0" tint="-0.499984740745262"/>
      </bottom>
      <diagonal/>
    </border>
    <border>
      <left style="thin">
        <color indexed="64"/>
      </left>
      <right style="thin">
        <color indexed="64"/>
      </right>
      <top/>
      <bottom style="thin">
        <color theme="0" tint="-0.499984740745262"/>
      </bottom>
      <diagonal/>
    </border>
    <border>
      <left style="thin">
        <color auto="1"/>
      </left>
      <right style="thin">
        <color auto="1"/>
      </right>
      <top/>
      <bottom/>
      <diagonal/>
    </border>
    <border>
      <left/>
      <right style="thin">
        <color theme="0" tint="-0.499984740745262"/>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s>
  <cellStyleXfs count="51693">
    <xf numFmtId="0" fontId="0" fillId="0" borderId="0"/>
    <xf numFmtId="169" fontId="7" fillId="0" borderId="0" applyFont="0" applyFill="0" applyBorder="0" applyAlignment="0" applyProtection="0"/>
    <xf numFmtId="169" fontId="9" fillId="0" borderId="0" applyFont="0" applyFill="0" applyBorder="0" applyAlignment="0" applyProtection="0"/>
    <xf numFmtId="0" fontId="9" fillId="0" borderId="0"/>
    <xf numFmtId="0" fontId="12" fillId="0" borderId="0"/>
    <xf numFmtId="0" fontId="9" fillId="0" borderId="0"/>
    <xf numFmtId="171" fontId="9" fillId="0" borderId="0" applyFont="0" applyFill="0" applyBorder="0" applyAlignment="0" applyProtection="0"/>
    <xf numFmtId="0" fontId="12" fillId="0" borderId="0"/>
    <xf numFmtId="0" fontId="12" fillId="0" borderId="0"/>
    <xf numFmtId="0" fontId="1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9" fontId="10" fillId="0" borderId="0" applyFont="0" applyFill="0" applyBorder="0" applyAlignment="0" applyProtection="0"/>
    <xf numFmtId="4" fontId="16" fillId="18" borderId="3" applyNumberFormat="0" applyProtection="0">
      <alignment vertical="center"/>
    </xf>
    <xf numFmtId="4" fontId="17" fillId="18" borderId="3" applyNumberFormat="0" applyProtection="0">
      <alignment vertical="center"/>
    </xf>
    <xf numFmtId="4" fontId="16" fillId="18" borderId="3" applyNumberFormat="0" applyProtection="0">
      <alignment horizontal="left" vertical="center" indent="1"/>
    </xf>
    <xf numFmtId="0" fontId="16" fillId="18" borderId="3" applyNumberFormat="0" applyProtection="0">
      <alignment horizontal="left" vertical="top" indent="1"/>
    </xf>
    <xf numFmtId="4" fontId="16" fillId="19" borderId="0" applyNumberFormat="0" applyProtection="0">
      <alignment horizontal="left" vertical="center" indent="1"/>
    </xf>
    <xf numFmtId="4" fontId="18" fillId="20" borderId="3" applyNumberFormat="0" applyProtection="0">
      <alignment horizontal="right" vertical="center"/>
    </xf>
    <xf numFmtId="4" fontId="18" fillId="21" borderId="3" applyNumberFormat="0" applyProtection="0">
      <alignment horizontal="right" vertical="center"/>
    </xf>
    <xf numFmtId="4" fontId="18" fillId="22" borderId="3" applyNumberFormat="0" applyProtection="0">
      <alignment horizontal="right" vertical="center"/>
    </xf>
    <xf numFmtId="4" fontId="18" fillId="23" borderId="3" applyNumberFormat="0" applyProtection="0">
      <alignment horizontal="right" vertical="center"/>
    </xf>
    <xf numFmtId="4" fontId="18" fillId="24" borderId="3" applyNumberFormat="0" applyProtection="0">
      <alignment horizontal="right" vertical="center"/>
    </xf>
    <xf numFmtId="4" fontId="18" fillId="25" borderId="3" applyNumberFormat="0" applyProtection="0">
      <alignment horizontal="right" vertical="center"/>
    </xf>
    <xf numFmtId="4" fontId="18" fillId="26" borderId="3" applyNumberFormat="0" applyProtection="0">
      <alignment horizontal="right" vertical="center"/>
    </xf>
    <xf numFmtId="4" fontId="18" fillId="27" borderId="3" applyNumberFormat="0" applyProtection="0">
      <alignment horizontal="right" vertical="center"/>
    </xf>
    <xf numFmtId="4" fontId="18" fillId="28" borderId="3" applyNumberFormat="0" applyProtection="0">
      <alignment horizontal="right" vertical="center"/>
    </xf>
    <xf numFmtId="4" fontId="16" fillId="29" borderId="4" applyNumberFormat="0" applyProtection="0">
      <alignment horizontal="left" vertical="center" indent="1"/>
    </xf>
    <xf numFmtId="4" fontId="18" fillId="30" borderId="0" applyNumberFormat="0" applyProtection="0">
      <alignment horizontal="left" vertical="center" indent="1"/>
    </xf>
    <xf numFmtId="4" fontId="19" fillId="31" borderId="0" applyNumberFormat="0" applyProtection="0">
      <alignment horizontal="left" vertical="center" indent="1"/>
    </xf>
    <xf numFmtId="4" fontId="18" fillId="19" borderId="3" applyNumberFormat="0" applyProtection="0">
      <alignment horizontal="right" vertical="center"/>
    </xf>
    <xf numFmtId="4" fontId="18" fillId="30" borderId="0" applyNumberFormat="0" applyProtection="0">
      <alignment horizontal="left" vertical="center" indent="1"/>
    </xf>
    <xf numFmtId="4" fontId="18" fillId="19" borderId="0"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top" indent="1"/>
    </xf>
    <xf numFmtId="0" fontId="9" fillId="33" borderId="1" applyNumberFormat="0">
      <protection locked="0"/>
    </xf>
    <xf numFmtId="4" fontId="18" fillId="34" borderId="3" applyNumberFormat="0" applyProtection="0">
      <alignment vertical="center"/>
    </xf>
    <xf numFmtId="4" fontId="20" fillId="34" borderId="3" applyNumberFormat="0" applyProtection="0">
      <alignment vertical="center"/>
    </xf>
    <xf numFmtId="4" fontId="18" fillId="34" borderId="3" applyNumberFormat="0" applyProtection="0">
      <alignment horizontal="left" vertical="center" indent="1"/>
    </xf>
    <xf numFmtId="0" fontId="18" fillId="34" borderId="3" applyNumberFormat="0" applyProtection="0">
      <alignment horizontal="left" vertical="top" indent="1"/>
    </xf>
    <xf numFmtId="4" fontId="18" fillId="30" borderId="3" applyNumberFormat="0" applyProtection="0">
      <alignment horizontal="right" vertical="center"/>
    </xf>
    <xf numFmtId="4" fontId="20" fillId="30" borderId="3" applyNumberFormat="0" applyProtection="0">
      <alignment horizontal="right" vertical="center"/>
    </xf>
    <xf numFmtId="4" fontId="18" fillId="19" borderId="3" applyNumberFormat="0" applyProtection="0">
      <alignment horizontal="left" vertical="center" indent="1"/>
    </xf>
    <xf numFmtId="0" fontId="18" fillId="19" borderId="3" applyNumberFormat="0" applyProtection="0">
      <alignment horizontal="left" vertical="top" indent="1"/>
    </xf>
    <xf numFmtId="4" fontId="21" fillId="35" borderId="0" applyNumberFormat="0" applyProtection="0">
      <alignment horizontal="left" vertical="center" indent="1"/>
    </xf>
    <xf numFmtId="4" fontId="22" fillId="30" borderId="3" applyNumberFormat="0" applyProtection="0">
      <alignment horizontal="right" vertical="center"/>
    </xf>
    <xf numFmtId="0" fontId="23" fillId="0" borderId="0" applyNumberFormat="0" applyFill="0" applyBorder="0" applyAlignment="0" applyProtection="0"/>
    <xf numFmtId="0" fontId="9" fillId="0" borderId="0"/>
    <xf numFmtId="9" fontId="24" fillId="0" borderId="0" applyFont="0" applyFill="0" applyBorder="0" applyAlignment="0" applyProtection="0"/>
    <xf numFmtId="0" fontId="7" fillId="0" borderId="0"/>
    <xf numFmtId="0" fontId="9" fillId="33" borderId="6" applyNumberFormat="0">
      <protection locked="0"/>
    </xf>
    <xf numFmtId="9" fontId="7" fillId="0" borderId="0" applyFont="0" applyFill="0" applyBorder="0" applyAlignment="0" applyProtection="0"/>
    <xf numFmtId="0" fontId="9" fillId="0" borderId="0"/>
    <xf numFmtId="0" fontId="7" fillId="0" borderId="0"/>
    <xf numFmtId="0" fontId="9" fillId="0" borderId="0"/>
    <xf numFmtId="172" fontId="7" fillId="3" borderId="6">
      <alignment vertical="center"/>
      <protection locked="0"/>
    </xf>
    <xf numFmtId="172" fontId="7" fillId="43" borderId="6">
      <alignment vertical="center"/>
    </xf>
    <xf numFmtId="9" fontId="12" fillId="0" borderId="0" applyFont="0" applyFill="0" applyBorder="0" applyAlignment="0" applyProtection="0"/>
    <xf numFmtId="0" fontId="25" fillId="0" borderId="0">
      <alignment vertical="top"/>
    </xf>
    <xf numFmtId="0" fontId="12" fillId="0" borderId="0"/>
    <xf numFmtId="0" fontId="7" fillId="0" borderId="0"/>
    <xf numFmtId="0" fontId="28" fillId="0" borderId="0"/>
    <xf numFmtId="0" fontId="9" fillId="0" borderId="0"/>
    <xf numFmtId="0" fontId="9" fillId="0" borderId="0"/>
    <xf numFmtId="0" fontId="25" fillId="0" borderId="0"/>
    <xf numFmtId="172" fontId="7" fillId="3" borderId="6">
      <alignment vertical="center"/>
      <protection locked="0"/>
    </xf>
    <xf numFmtId="0" fontId="34" fillId="0" borderId="0" applyNumberFormat="0" applyFill="0" applyBorder="0" applyAlignment="0" applyProtection="0"/>
    <xf numFmtId="0" fontId="25" fillId="0" borderId="0"/>
    <xf numFmtId="173" fontId="37" fillId="48" borderId="0" applyBorder="0">
      <alignment vertical="center"/>
    </xf>
    <xf numFmtId="169" fontId="7" fillId="0" borderId="0" applyFont="0" applyFill="0" applyBorder="0" applyAlignment="0" applyProtection="0"/>
    <xf numFmtId="173" fontId="38" fillId="49" borderId="0"/>
    <xf numFmtId="0" fontId="12" fillId="0" borderId="0"/>
    <xf numFmtId="0" fontId="28" fillId="0" borderId="0"/>
    <xf numFmtId="0" fontId="7" fillId="0" borderId="0"/>
    <xf numFmtId="0" fontId="7"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9" fillId="0" borderId="0">
      <alignment vertical="top"/>
    </xf>
    <xf numFmtId="185" fontId="9" fillId="0" borderId="0">
      <alignment vertical="top"/>
    </xf>
    <xf numFmtId="186" fontId="43" fillId="0" borderId="0"/>
    <xf numFmtId="187" fontId="9" fillId="0" borderId="0"/>
    <xf numFmtId="187" fontId="9" fillId="0" borderId="0"/>
    <xf numFmtId="187" fontId="9" fillId="0" borderId="0"/>
    <xf numFmtId="187" fontId="9" fillId="0" borderId="0"/>
    <xf numFmtId="187" fontId="9" fillId="0" borderId="0"/>
    <xf numFmtId="185" fontId="44" fillId="0" borderId="0"/>
    <xf numFmtId="186" fontId="43" fillId="0" borderId="0"/>
    <xf numFmtId="187" fontId="9" fillId="0" borderId="0"/>
    <xf numFmtId="187" fontId="9" fillId="0" borderId="0"/>
    <xf numFmtId="187" fontId="9" fillId="0" borderId="0"/>
    <xf numFmtId="187" fontId="9" fillId="0" borderId="0"/>
    <xf numFmtId="187" fontId="9" fillId="0" borderId="0"/>
    <xf numFmtId="188" fontId="45" fillId="0" borderId="0" applyFont="0" applyFill="0" applyBorder="0" applyAlignment="0" applyProtection="0">
      <protection locked="0"/>
    </xf>
    <xf numFmtId="189" fontId="44" fillId="0" borderId="0">
      <alignment horizontal="right"/>
    </xf>
    <xf numFmtId="190" fontId="44" fillId="46" borderId="0"/>
    <xf numFmtId="191" fontId="44" fillId="46" borderId="0"/>
    <xf numFmtId="192" fontId="44" fillId="46" borderId="0"/>
    <xf numFmtId="193" fontId="44" fillId="46" borderId="0">
      <alignment horizontal="right"/>
    </xf>
    <xf numFmtId="0" fontId="12" fillId="0" borderId="0"/>
    <xf numFmtId="179" fontId="12" fillId="0" borderId="0"/>
    <xf numFmtId="179"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185" fontId="9" fillId="0" borderId="0"/>
    <xf numFmtId="0" fontId="9" fillId="0" borderId="0"/>
    <xf numFmtId="185" fontId="12" fillId="0" borderId="0"/>
    <xf numFmtId="185" fontId="9" fillId="0" borderId="0"/>
    <xf numFmtId="185" fontId="9" fillId="0" borderId="0"/>
    <xf numFmtId="185" fontId="9"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185" fontId="12" fillId="0" borderId="0"/>
    <xf numFmtId="0" fontId="9" fillId="0" borderId="0"/>
    <xf numFmtId="0" fontId="9" fillId="0" borderId="0"/>
    <xf numFmtId="0" fontId="9" fillId="0" borderId="0"/>
    <xf numFmtId="19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85"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185" fontId="9" fillId="0" borderId="0" applyBorder="0"/>
    <xf numFmtId="185" fontId="46" fillId="0" borderId="0" applyNumberFormat="0" applyFont="0" applyFill="0" applyBorder="0" applyAlignment="0" applyProtection="0"/>
    <xf numFmtId="167" fontId="9" fillId="0" borderId="0" applyFont="0" applyFill="0" applyBorder="0" applyAlignment="0" applyProtection="0"/>
    <xf numFmtId="185" fontId="41"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47" fillId="0" borderId="0">
      <alignment horizontal="right" vertical="center"/>
    </xf>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185"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38" fontId="49" fillId="0" borderId="0" applyFont="0" applyFill="0" applyBorder="0" applyAlignment="0" applyProtection="0"/>
    <xf numFmtId="38" fontId="49" fillId="0" borderId="0" applyFont="0" applyFill="0" applyBorder="0" applyAlignment="0" applyProtection="0"/>
    <xf numFmtId="185" fontId="48" fillId="0" borderId="0"/>
    <xf numFmtId="185" fontId="9" fillId="0" borderId="0" applyFont="0" applyFill="0" applyBorder="0" applyAlignment="0" applyProtection="0"/>
    <xf numFmtId="185" fontId="48" fillId="0" borderId="0"/>
    <xf numFmtId="185" fontId="48"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applyFont="0" applyFill="0" applyBorder="0" applyAlignment="0" applyProtection="0"/>
    <xf numFmtId="0" fontId="48" fillId="0" borderId="0"/>
    <xf numFmtId="185" fontId="9" fillId="0" borderId="0"/>
    <xf numFmtId="185" fontId="9"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49" fillId="0" borderId="0" applyFont="0" applyFill="0" applyBorder="0" applyAlignment="0" applyProtection="0"/>
    <xf numFmtId="197" fontId="9" fillId="0" borderId="0" applyFont="0" applyFill="0" applyBorder="0" applyAlignment="0" applyProtection="0"/>
    <xf numFmtId="185" fontId="43" fillId="0" borderId="0" applyFont="0" applyFill="0" applyBorder="0" applyAlignment="0" applyProtection="0"/>
    <xf numFmtId="197" fontId="9" fillId="0" borderId="0" applyFont="0" applyFill="0" applyBorder="0" applyAlignment="0" applyProtection="0"/>
    <xf numFmtId="185" fontId="9" fillId="0" borderId="0"/>
    <xf numFmtId="185" fontId="9" fillId="0" borderId="0"/>
    <xf numFmtId="0" fontId="9" fillId="0" borderId="0"/>
    <xf numFmtId="185" fontId="48" fillId="0" borderId="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98" fontId="9" fillId="0" borderId="0" applyFont="0" applyFill="0" applyBorder="0" applyAlignment="0" applyProtection="0"/>
    <xf numFmtId="185" fontId="43" fillId="0" borderId="0" applyFont="0" applyFill="0" applyBorder="0" applyAlignment="0" applyProtection="0"/>
    <xf numFmtId="199"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39" fontId="9" fillId="0" borderId="0" applyFont="0" applyFill="0" applyBorder="0" applyAlignment="0" applyProtection="0"/>
    <xf numFmtId="185" fontId="43" fillId="0" borderId="0" applyFont="0" applyFill="0" applyBorder="0" applyAlignment="0" applyProtection="0"/>
    <xf numFmtId="39" fontId="9" fillId="0" borderId="0" applyFont="0" applyFill="0" applyBorder="0" applyAlignment="0" applyProtection="0"/>
    <xf numFmtId="185"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48" fillId="0" borderId="0"/>
    <xf numFmtId="185" fontId="41" fillId="0" borderId="0"/>
    <xf numFmtId="185" fontId="41" fillId="0" borderId="0"/>
    <xf numFmtId="38" fontId="49" fillId="0" borderId="0" applyAlignment="0" applyProtection="0"/>
    <xf numFmtId="38" fontId="49" fillId="0" borderId="0" applyFont="0" applyBorder="0" applyAlignment="0" applyProtection="0"/>
    <xf numFmtId="200" fontId="9" fillId="0" borderId="0" applyFont="0" applyFill="0" applyBorder="0" applyProtection="0">
      <alignment vertical="top"/>
    </xf>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48"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48" fillId="0" borderId="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38" fontId="40" fillId="0" borderId="0" applyAlignment="0" applyProtection="0"/>
    <xf numFmtId="0" fontId="9" fillId="0" borderId="0" applyFont="0" applyFill="0" applyBorder="0" applyAlignment="0" applyProtection="0"/>
    <xf numFmtId="200" fontId="9" fillId="0" borderId="0" applyFont="0" applyFill="0" applyBorder="0" applyProtection="0">
      <alignment vertical="top"/>
    </xf>
    <xf numFmtId="38" fontId="40" fillId="0" borderId="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0" fontId="9" fillId="0" borderId="0"/>
    <xf numFmtId="185" fontId="48" fillId="0" borderId="0"/>
    <xf numFmtId="201" fontId="9" fillId="0" borderId="0" applyFont="0" applyFill="0" applyBorder="0" applyAlignment="0" applyProtection="0"/>
    <xf numFmtId="185" fontId="43" fillId="0" borderId="0" applyFont="0" applyFill="0" applyBorder="0" applyAlignment="0" applyProtection="0"/>
    <xf numFmtId="202"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185" fontId="43" fillId="0" borderId="0" applyFont="0" applyFill="0" applyBorder="0" applyAlignment="0" applyProtection="0"/>
    <xf numFmtId="204"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9" fillId="0" borderId="0" applyFont="0" applyFill="0" applyBorder="0" applyAlignment="0" applyProtection="0"/>
    <xf numFmtId="185" fontId="48" fillId="0" borderId="0"/>
    <xf numFmtId="185" fontId="48" fillId="0" borderId="0"/>
    <xf numFmtId="185" fontId="9" fillId="0" borderId="0"/>
    <xf numFmtId="0" fontId="9" fillId="0" borderId="0" applyFont="0" applyFill="0" applyBorder="0" applyAlignment="0" applyProtection="0"/>
    <xf numFmtId="185" fontId="48" fillId="0" borderId="0"/>
    <xf numFmtId="38" fontId="40" fillId="0" borderId="0" applyAlignment="0" applyProtection="0"/>
    <xf numFmtId="185" fontId="9" fillId="0" borderId="0"/>
    <xf numFmtId="185" fontId="9" fillId="0" borderId="0"/>
    <xf numFmtId="38" fontId="49" fillId="0" borderId="0" applyFont="0" applyFill="0" applyBorder="0" applyAlignment="0" applyProtection="0"/>
    <xf numFmtId="38" fontId="49" fillId="0" borderId="0" applyFont="0" applyFill="0" applyBorder="0" applyAlignment="0" applyProtection="0"/>
    <xf numFmtId="205" fontId="9" fillId="0" borderId="0" applyFont="0" applyFill="0" applyBorder="0" applyAlignment="0" applyProtection="0"/>
    <xf numFmtId="185" fontId="43" fillId="0" borderId="0" applyFont="0" applyFill="0" applyBorder="0" applyAlignment="0" applyProtection="0"/>
    <xf numFmtId="181" fontId="9" fillId="0" borderId="0" applyFont="0" applyFill="0" applyBorder="0" applyAlignment="0" applyProtection="0"/>
    <xf numFmtId="205" fontId="9" fillId="0" borderId="0" applyFont="0" applyFill="0" applyBorder="0" applyAlignment="0" applyProtection="0"/>
    <xf numFmtId="181" fontId="9" fillId="0" borderId="0" applyFont="0" applyFill="0" applyBorder="0" applyAlignment="0" applyProtection="0"/>
    <xf numFmtId="206" fontId="9" fillId="0" borderId="0" applyFont="0" applyFill="0" applyBorder="0" applyAlignment="0" applyProtection="0"/>
    <xf numFmtId="185" fontId="43" fillId="0" borderId="0" applyFont="0" applyFill="0" applyBorder="0" applyAlignment="0" applyProtection="0"/>
    <xf numFmtId="207"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185" fontId="50" fillId="0" borderId="0"/>
    <xf numFmtId="185" fontId="50" fillId="0" borderId="0"/>
    <xf numFmtId="185" fontId="50" fillId="0" borderId="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48" fillId="0" borderId="0"/>
    <xf numFmtId="0"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85" fontId="51" fillId="0" borderId="0" applyNumberFormat="0" applyFill="0" applyBorder="0" applyProtection="0">
      <alignment horizontal="left"/>
    </xf>
    <xf numFmtId="185" fontId="52"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50" fillId="0" borderId="0"/>
    <xf numFmtId="185" fontId="50" fillId="0" borderId="0"/>
    <xf numFmtId="208" fontId="53" fillId="0" borderId="0"/>
    <xf numFmtId="185" fontId="41" fillId="0" borderId="0"/>
    <xf numFmtId="185" fontId="41" fillId="0" borderId="0"/>
    <xf numFmtId="185" fontId="50" fillId="0" borderId="0"/>
    <xf numFmtId="185" fontId="50" fillId="0" borderId="0"/>
    <xf numFmtId="185" fontId="50" fillId="0" borderId="0"/>
    <xf numFmtId="0" fontId="9" fillId="0" borderId="0" applyFont="0" applyFill="0" applyBorder="0" applyAlignment="0" applyProtection="0"/>
    <xf numFmtId="185" fontId="9" fillId="0" borderId="0"/>
    <xf numFmtId="185" fontId="48" fillId="0" borderId="0"/>
    <xf numFmtId="208" fontId="5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209" fontId="54" fillId="0" borderId="0" applyFont="0" applyFill="0" applyBorder="0" applyAlignment="0" applyProtection="0"/>
    <xf numFmtId="210" fontId="41" fillId="0" borderId="0" applyFont="0" applyFill="0" applyBorder="0" applyAlignment="0" applyProtection="0"/>
    <xf numFmtId="211" fontId="55" fillId="0" borderId="0"/>
    <xf numFmtId="212" fontId="41" fillId="0" borderId="0" applyFont="0" applyFill="0" applyBorder="0" applyAlignment="0" applyProtection="0"/>
    <xf numFmtId="213" fontId="54" fillId="0" borderId="0" applyFont="0" applyFill="0" applyBorder="0" applyAlignment="0" applyProtection="0"/>
    <xf numFmtId="0" fontId="12" fillId="0" borderId="0"/>
    <xf numFmtId="0" fontId="9" fillId="0" borderId="0"/>
    <xf numFmtId="0" fontId="9" fillId="0" borderId="0"/>
    <xf numFmtId="0" fontId="9" fillId="0" borderId="0"/>
    <xf numFmtId="19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185" fontId="9" fillId="0" borderId="0"/>
    <xf numFmtId="214" fontId="9" fillId="0" borderId="0" applyBorder="0"/>
    <xf numFmtId="0" fontId="9" fillId="0" borderId="0"/>
    <xf numFmtId="0" fontId="9" fillId="0" borderId="0"/>
    <xf numFmtId="185" fontId="9" fillId="0" borderId="0" applyBorder="0"/>
    <xf numFmtId="214" fontId="9" fillId="0" borderId="0" applyBorder="0"/>
    <xf numFmtId="208" fontId="53" fillId="0" borderId="0"/>
    <xf numFmtId="215" fontId="55" fillId="0" borderId="0"/>
    <xf numFmtId="215" fontId="56" fillId="0" borderId="0"/>
    <xf numFmtId="216" fontId="55" fillId="0" borderId="0"/>
    <xf numFmtId="217" fontId="45" fillId="0" borderId="0" applyFont="0" applyFill="0" applyBorder="0" applyAlignment="0" applyProtection="0">
      <protection locked="0"/>
    </xf>
    <xf numFmtId="218" fontId="57" fillId="0" borderId="0"/>
    <xf numFmtId="185" fontId="56" fillId="0" borderId="0"/>
    <xf numFmtId="218" fontId="58" fillId="0" borderId="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194" fontId="59" fillId="56"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94" fontId="59" fillId="20"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194" fontId="59" fillId="57"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194" fontId="59" fillId="59"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194" fontId="59" fillId="60" borderId="0" applyNumberFormat="0" applyBorder="0" applyAlignment="0" applyProtection="0"/>
    <xf numFmtId="219" fontId="55" fillId="0" borderId="0"/>
    <xf numFmtId="220" fontId="56" fillId="0" borderId="0"/>
    <xf numFmtId="219" fontId="60" fillId="0" borderId="0"/>
    <xf numFmtId="0" fontId="9" fillId="0" borderId="0"/>
    <xf numFmtId="0" fontId="9" fillId="0" borderId="0"/>
    <xf numFmtId="221" fontId="55" fillId="0" borderId="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94" fontId="59" fillId="21"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94" fontId="59" fillId="2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94" fontId="59" fillId="23"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194" fontId="62" fillId="62"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94" fontId="62" fillId="21"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94" fontId="62" fillId="28"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94" fontId="62" fillId="24" borderId="0" applyNumberFormat="0" applyBorder="0" applyAlignment="0" applyProtection="0"/>
    <xf numFmtId="0" fontId="43" fillId="0" borderId="0"/>
    <xf numFmtId="0" fontId="13" fillId="65" borderId="0" applyNumberFormat="0" applyBorder="0" applyAlignment="0" applyProtection="0"/>
    <xf numFmtId="0" fontId="13" fillId="12"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194" fontId="62" fillId="67" borderId="0" applyNumberFormat="0" applyBorder="0" applyAlignment="0" applyProtection="0"/>
    <xf numFmtId="0" fontId="13" fillId="68" borderId="0" applyNumberFormat="0" applyBorder="0" applyAlignment="0" applyProtection="0"/>
    <xf numFmtId="0" fontId="13" fillId="11"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94" fontId="62" fillId="22" borderId="0" applyNumberFormat="0" applyBorder="0" applyAlignment="0" applyProtection="0"/>
    <xf numFmtId="0" fontId="13" fillId="70" borderId="0" applyNumberFormat="0" applyBorder="0" applyAlignment="0" applyProtection="0"/>
    <xf numFmtId="0" fontId="13" fillId="71"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94" fontId="62" fillId="26" borderId="0" applyNumberFormat="0" applyBorder="0" applyAlignment="0" applyProtection="0"/>
    <xf numFmtId="0" fontId="13" fillId="68" borderId="0" applyNumberFormat="0" applyBorder="0" applyAlignment="0" applyProtection="0"/>
    <xf numFmtId="0" fontId="13" fillId="9"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94" fontId="62" fillId="25" borderId="0" applyNumberFormat="0" applyBorder="0" applyAlignment="0" applyProtection="0"/>
    <xf numFmtId="222" fontId="63" fillId="0" borderId="9">
      <alignment horizontal="centerContinuous"/>
    </xf>
    <xf numFmtId="223" fontId="64" fillId="40" borderId="12">
      <alignment horizontal="center" vertical="center"/>
    </xf>
    <xf numFmtId="214" fontId="45" fillId="0" borderId="0" applyFont="0" applyFill="0" applyBorder="0" applyAlignment="0" applyProtection="0"/>
    <xf numFmtId="185" fontId="45" fillId="0" borderId="0" applyFont="0" applyFill="0" applyBorder="0" applyAlignment="0" applyProtection="0"/>
    <xf numFmtId="208" fontId="65" fillId="0" borderId="0" applyNumberFormat="0" applyFont="0" applyFill="0" applyBorder="0" applyProtection="0">
      <alignment horizontal="center"/>
    </xf>
    <xf numFmtId="224" fontId="66" fillId="0" borderId="0">
      <alignment horizontal="left"/>
    </xf>
    <xf numFmtId="0" fontId="57" fillId="0" borderId="0"/>
    <xf numFmtId="225" fontId="67" fillId="0" borderId="0" applyFont="0" applyFill="0" applyBorder="0" applyAlignment="0" applyProtection="0"/>
    <xf numFmtId="185" fontId="45" fillId="0" borderId="0" applyFont="0" applyFill="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0" fillId="55"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94" fontId="72" fillId="20" borderId="0" applyNumberFormat="0" applyBorder="0" applyAlignment="0" applyProtection="0"/>
    <xf numFmtId="226" fontId="73" fillId="75" borderId="7" applyNumberFormat="0" applyBorder="0" applyAlignment="0">
      <alignment horizontal="centerContinuous" vertical="center"/>
      <protection hidden="1"/>
    </xf>
    <xf numFmtId="1" fontId="74" fillId="76" borderId="10" applyNumberFormat="0" applyBorder="0" applyAlignment="0">
      <alignment horizontal="center" vertical="top" wrapText="1"/>
      <protection hidden="1"/>
    </xf>
    <xf numFmtId="227" fontId="9" fillId="0" borderId="0" applyFont="0" applyFill="0" applyBorder="0" applyAlignment="0" applyProtection="0"/>
    <xf numFmtId="197" fontId="9" fillId="0" borderId="0" applyNumberFormat="0" applyFont="0" applyAlignment="0" applyProtection="0"/>
    <xf numFmtId="185" fontId="75" fillId="77" borderId="0">
      <alignment horizontal="left"/>
    </xf>
    <xf numFmtId="228" fontId="76" fillId="0" borderId="0" applyFill="0" applyBorder="0" applyAlignment="0" applyProtection="0"/>
    <xf numFmtId="2" fontId="77" fillId="50" borderId="11" applyProtection="0">
      <alignment horizontal="left"/>
      <protection locked="0"/>
    </xf>
    <xf numFmtId="185" fontId="64" fillId="40" borderId="0" applyNumberFormat="0" applyFont="0" applyAlignment="0">
      <alignment horizontal="center"/>
    </xf>
    <xf numFmtId="229" fontId="78" fillId="40" borderId="0" applyFont="0" applyFill="0" applyBorder="0" applyAlignment="0" applyProtection="0"/>
    <xf numFmtId="185" fontId="79" fillId="0" borderId="0" applyNumberFormat="0" applyFill="0" applyBorder="0" applyAlignment="0" applyProtection="0"/>
    <xf numFmtId="185" fontId="80" fillId="0" borderId="9" applyNumberFormat="0" applyFill="0" applyAlignment="0" applyProtection="0"/>
    <xf numFmtId="185" fontId="55" fillId="0" borderId="0"/>
    <xf numFmtId="230" fontId="81" fillId="45" borderId="0" applyFont="0" applyFill="0" applyBorder="0" applyAlignment="0" applyProtection="0"/>
    <xf numFmtId="231" fontId="43" fillId="0" borderId="0" applyAlignment="0" applyProtection="0"/>
    <xf numFmtId="49" fontId="53" fillId="0" borderId="0" applyNumberFormat="0" applyAlignment="0" applyProtection="0">
      <alignment horizontal="left"/>
    </xf>
    <xf numFmtId="49" fontId="82" fillId="0" borderId="13" applyNumberFormat="0" applyAlignment="0" applyProtection="0">
      <alignment horizontal="left" wrapText="1"/>
    </xf>
    <xf numFmtId="49" fontId="83" fillId="0" borderId="0" applyAlignment="0" applyProtection="0">
      <alignment horizontal="left"/>
    </xf>
    <xf numFmtId="232" fontId="41" fillId="0" borderId="0" applyFont="0" applyFill="0" applyBorder="0" applyAlignment="0" applyProtection="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5" fillId="0" borderId="0"/>
    <xf numFmtId="233" fontId="43" fillId="0" borderId="0"/>
    <xf numFmtId="234" fontId="43" fillId="0" borderId="0"/>
    <xf numFmtId="235" fontId="43" fillId="0" borderId="0"/>
    <xf numFmtId="233" fontId="43" fillId="0" borderId="8"/>
    <xf numFmtId="234" fontId="43" fillId="0" borderId="8"/>
    <xf numFmtId="234" fontId="43" fillId="0" borderId="8"/>
    <xf numFmtId="235" fontId="43" fillId="0" borderId="8"/>
    <xf numFmtId="235" fontId="43" fillId="0" borderId="8"/>
    <xf numFmtId="233" fontId="43" fillId="0" borderId="8"/>
    <xf numFmtId="233" fontId="43" fillId="0" borderId="8"/>
    <xf numFmtId="233" fontId="43" fillId="0" borderId="0"/>
    <xf numFmtId="236" fontId="43" fillId="0" borderId="0"/>
    <xf numFmtId="185" fontId="45" fillId="0" borderId="0" applyFill="0" applyBorder="0" applyAlignment="0"/>
    <xf numFmtId="237" fontId="43" fillId="0" borderId="0"/>
    <xf numFmtId="238" fontId="43" fillId="0" borderId="0"/>
    <xf numFmtId="236" fontId="43" fillId="0" borderId="8"/>
    <xf numFmtId="237" fontId="43" fillId="0" borderId="8"/>
    <xf numFmtId="237" fontId="43" fillId="0" borderId="8"/>
    <xf numFmtId="238" fontId="43" fillId="0" borderId="8"/>
    <xf numFmtId="238" fontId="43" fillId="0" borderId="8"/>
    <xf numFmtId="236" fontId="43" fillId="0" borderId="8"/>
    <xf numFmtId="236" fontId="43" fillId="0" borderId="8"/>
    <xf numFmtId="236" fontId="43" fillId="0" borderId="0"/>
    <xf numFmtId="239" fontId="43" fillId="0" borderId="0">
      <alignment horizontal="right"/>
      <protection locked="0"/>
    </xf>
    <xf numFmtId="240" fontId="43" fillId="0" borderId="0">
      <alignment horizontal="right"/>
      <protection locked="0"/>
    </xf>
    <xf numFmtId="241" fontId="43" fillId="0" borderId="0"/>
    <xf numFmtId="242" fontId="43" fillId="0" borderId="0"/>
    <xf numFmtId="243" fontId="43" fillId="0" borderId="0"/>
    <xf numFmtId="241" fontId="43" fillId="0" borderId="8"/>
    <xf numFmtId="242" fontId="43" fillId="0" borderId="8"/>
    <xf numFmtId="242" fontId="43" fillId="0" borderId="8"/>
    <xf numFmtId="243" fontId="43" fillId="0" borderId="8"/>
    <xf numFmtId="243" fontId="43" fillId="0" borderId="8"/>
    <xf numFmtId="241" fontId="43" fillId="0" borderId="8"/>
    <xf numFmtId="241" fontId="43" fillId="0" borderId="8"/>
    <xf numFmtId="241" fontId="43" fillId="0" borderId="0"/>
    <xf numFmtId="244" fontId="9" fillId="46" borderId="0"/>
    <xf numFmtId="185" fontId="9" fillId="0" borderId="0">
      <alignment vertical="center"/>
    </xf>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194" fontId="88" fillId="61" borderId="14" applyNumberFormat="0" applyAlignment="0" applyProtection="0"/>
    <xf numFmtId="194" fontId="88" fillId="61" borderId="14" applyNumberFormat="0" applyAlignment="0" applyProtection="0"/>
    <xf numFmtId="38" fontId="89" fillId="0" borderId="0" applyNumberFormat="0" applyFill="0" applyBorder="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194" fontId="91" fillId="79" borderId="15" applyNumberFormat="0" applyAlignment="0" applyProtection="0"/>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7" fontId="64" fillId="0" borderId="9">
      <alignment horizontal="center"/>
    </xf>
    <xf numFmtId="37" fontId="64" fillId="0" borderId="0">
      <alignment horizontal="center" vertical="center" wrapText="1"/>
    </xf>
    <xf numFmtId="1" fontId="92" fillId="0" borderId="16">
      <alignment vertical="top"/>
    </xf>
    <xf numFmtId="178" fontId="93" fillId="0" borderId="0" applyBorder="0">
      <alignment horizontal="right"/>
    </xf>
    <xf numFmtId="178" fontId="93" fillId="0" borderId="17" applyAlignment="0">
      <alignment horizontal="right"/>
    </xf>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38" fontId="9" fillId="0" borderId="0" applyFont="0" applyFill="0" applyBorder="0" applyAlignment="0" applyProtection="0"/>
    <xf numFmtId="208" fontId="45" fillId="0" borderId="0" applyFont="0" applyFill="0" applyBorder="0" applyAlignment="0" applyProtection="0">
      <protection locked="0"/>
    </xf>
    <xf numFmtId="40" fontId="45" fillId="0" borderId="0" applyFont="0" applyFill="0" applyBorder="0" applyAlignment="0" applyProtection="0">
      <protection locked="0"/>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applyNumberFormat="0" applyFont="0" applyBorder="0" applyAlignment="0"/>
    <xf numFmtId="211" fontId="55" fillId="0" borderId="0"/>
    <xf numFmtId="246" fontId="57" fillId="0" borderId="0"/>
    <xf numFmtId="185" fontId="94" fillId="0" borderId="0" applyFont="0" applyFill="0" applyBorder="0" applyAlignment="0" applyProtection="0">
      <alignment horizontal="right"/>
    </xf>
    <xf numFmtId="247" fontId="94" fillId="0" borderId="0" applyFont="0" applyFill="0" applyBorder="0" applyAlignment="0" applyProtection="0"/>
    <xf numFmtId="185" fontId="94" fillId="0" borderId="0" applyFont="0" applyFill="0" applyBorder="0" applyAlignment="0" applyProtection="0">
      <alignment horizontal="right"/>
    </xf>
    <xf numFmtId="0"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246" fontId="12" fillId="0" borderId="0" applyFont="0" applyFill="0" applyBorder="0" applyAlignment="0" applyProtection="0"/>
    <xf numFmtId="179" fontId="12" fillId="0" borderId="0" applyFont="0" applyFill="0" applyBorder="0" applyAlignment="0" applyProtection="0"/>
    <xf numFmtId="197" fontId="12" fillId="0" borderId="0" applyFont="0" applyFill="0" applyBorder="0" applyAlignment="0" applyProtection="0"/>
    <xf numFmtId="179"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178" fontId="12" fillId="0" borderId="0" applyFont="0" applyFill="0" applyBorder="0" applyAlignment="0" applyProtection="0"/>
    <xf numFmtId="193"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250"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51" fontId="9" fillId="0" borderId="0" applyFont="0" applyFill="0" applyBorder="0" applyAlignment="0" applyProtection="0"/>
    <xf numFmtId="169" fontId="18"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2" fontId="9" fillId="0" borderId="0" applyFont="0" applyFill="0" applyBorder="0" applyAlignment="0" applyProtection="0"/>
    <xf numFmtId="38" fontId="41" fillId="0" borderId="0" applyFill="0" applyBorder="0" applyProtection="0">
      <alignment horizontal="center"/>
    </xf>
    <xf numFmtId="185" fontId="95" fillId="0" borderId="0">
      <protection locked="0"/>
    </xf>
    <xf numFmtId="253" fontId="9" fillId="0" borderId="0" applyBorder="0"/>
    <xf numFmtId="254" fontId="53" fillId="0" borderId="0" applyBorder="0"/>
    <xf numFmtId="255" fontId="9" fillId="0" borderId="0" applyFill="0" applyBorder="0">
      <alignment horizontal="left"/>
    </xf>
    <xf numFmtId="185" fontId="96" fillId="0" borderId="0" applyNumberFormat="0" applyAlignment="0">
      <alignment horizontal="left"/>
    </xf>
    <xf numFmtId="37" fontId="9" fillId="80" borderId="0" applyFont="0" applyBorder="0" applyAlignment="0" applyProtection="0"/>
    <xf numFmtId="197" fontId="50" fillId="80" borderId="0" applyFont="0" applyBorder="0" applyAlignment="0" applyProtection="0"/>
    <xf numFmtId="39" fontId="50" fillId="80" borderId="0" applyFont="0" applyBorder="0" applyAlignment="0" applyProtection="0"/>
    <xf numFmtId="256" fontId="97" fillId="0" borderId="0"/>
    <xf numFmtId="164" fontId="45" fillId="0" borderId="0" applyFont="0" applyFill="0" applyBorder="0" applyAlignment="0" applyProtection="0">
      <protection locked="0"/>
    </xf>
    <xf numFmtId="165" fontId="45" fillId="0" borderId="0" applyFont="0" applyFill="0" applyBorder="0" applyAlignment="0" applyProtection="0">
      <protection locked="0"/>
    </xf>
    <xf numFmtId="166" fontId="9" fillId="0" borderId="0">
      <alignment horizontal="right"/>
    </xf>
    <xf numFmtId="185" fontId="94" fillId="0" borderId="0" applyFont="0" applyFill="0" applyBorder="0" applyAlignment="0" applyProtection="0">
      <alignment horizontal="right"/>
    </xf>
    <xf numFmtId="257" fontId="28" fillId="0" borderId="0" applyFont="0" applyFill="0" applyBorder="0" applyAlignment="0" applyProtection="0"/>
    <xf numFmtId="258" fontId="9" fillId="0" borderId="0" applyFont="0" applyFill="0" applyBorder="0" applyAlignment="0" applyProtection="0"/>
    <xf numFmtId="185" fontId="94" fillId="0" borderId="0" applyFont="0" applyFill="0" applyBorder="0" applyAlignment="0" applyProtection="0">
      <alignment horizontal="right"/>
    </xf>
    <xf numFmtId="257" fontId="13" fillId="0" borderId="0" applyFont="0" applyFill="0" applyBorder="0" applyAlignment="0" applyProtection="0"/>
    <xf numFmtId="255" fontId="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9" fontId="9" fillId="0" borderId="0" applyFont="0" applyFill="0" applyBorder="0" applyAlignment="0" applyProtection="0"/>
    <xf numFmtId="185" fontId="9" fillId="0" borderId="0" applyFont="0" applyFill="0" applyBorder="0" applyAlignment="0" applyProtection="0"/>
    <xf numFmtId="49" fontId="98" fillId="81" borderId="0" applyAlignment="0" applyProtection="0">
      <alignment vertical="center"/>
    </xf>
    <xf numFmtId="260" fontId="44" fillId="46" borderId="11">
      <alignment horizontal="right"/>
    </xf>
    <xf numFmtId="261" fontId="41" fillId="0" borderId="0" applyFont="0" applyFill="0" applyBorder="0" applyAlignment="0" applyProtection="0"/>
    <xf numFmtId="233" fontId="43" fillId="45" borderId="18">
      <protection locked="0"/>
    </xf>
    <xf numFmtId="234" fontId="43" fillId="45" borderId="18">
      <protection locked="0"/>
    </xf>
    <xf numFmtId="235" fontId="43" fillId="45" borderId="18">
      <protection locked="0"/>
    </xf>
    <xf numFmtId="233" fontId="43" fillId="45" borderId="18">
      <protection locked="0"/>
    </xf>
    <xf numFmtId="236" fontId="43" fillId="45" borderId="18">
      <protection locked="0"/>
    </xf>
    <xf numFmtId="237" fontId="43" fillId="45" borderId="18">
      <protection locked="0"/>
    </xf>
    <xf numFmtId="238" fontId="43" fillId="45" borderId="18">
      <protection locked="0"/>
    </xf>
    <xf numFmtId="236" fontId="43" fillId="45" borderId="18">
      <protection locked="0"/>
    </xf>
    <xf numFmtId="239" fontId="43" fillId="37" borderId="18">
      <alignment horizontal="right"/>
      <protection locked="0"/>
    </xf>
    <xf numFmtId="240" fontId="43" fillId="37" borderId="18">
      <alignment horizontal="right"/>
      <protection locked="0"/>
    </xf>
    <xf numFmtId="0" fontId="43" fillId="82" borderId="18">
      <alignment horizontal="left"/>
      <protection locked="0"/>
    </xf>
    <xf numFmtId="49" fontId="43" fillId="38" borderId="18">
      <alignment horizontal="left" vertical="top" wrapText="1"/>
      <protection locked="0"/>
    </xf>
    <xf numFmtId="241" fontId="43" fillId="45" borderId="18">
      <protection locked="0"/>
    </xf>
    <xf numFmtId="242" fontId="43" fillId="45" borderId="18">
      <protection locked="0"/>
    </xf>
    <xf numFmtId="243" fontId="43" fillId="45" borderId="18">
      <protection locked="0"/>
    </xf>
    <xf numFmtId="241" fontId="43" fillId="45" borderId="18">
      <protection locked="0"/>
    </xf>
    <xf numFmtId="49" fontId="43" fillId="38" borderId="18">
      <alignment horizontal="left"/>
      <protection locked="0"/>
    </xf>
    <xf numFmtId="262" fontId="43" fillId="45" borderId="18">
      <alignment horizontal="left" indent="1"/>
      <protection locked="0"/>
    </xf>
    <xf numFmtId="263" fontId="9" fillId="45" borderId="19"/>
    <xf numFmtId="263" fontId="9" fillId="45" borderId="19"/>
    <xf numFmtId="263" fontId="9" fillId="45" borderId="19"/>
    <xf numFmtId="263" fontId="9" fillId="45" borderId="19"/>
    <xf numFmtId="263" fontId="9" fillId="45" borderId="19"/>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185" fontId="94" fillId="0" borderId="0" applyFont="0" applyFill="0" applyBorder="0" applyAlignment="0" applyProtection="0"/>
    <xf numFmtId="265" fontId="9" fillId="0" borderId="0" applyFont="0" applyFill="0" applyBorder="0" applyAlignment="0" applyProtection="0"/>
    <xf numFmtId="185" fontId="94" fillId="0" borderId="0" applyFont="0" applyFill="0" applyBorder="0" applyAlignment="0" applyProtection="0"/>
    <xf numFmtId="185" fontId="93" fillId="50" borderId="0">
      <alignment horizontal="left"/>
    </xf>
    <xf numFmtId="264" fontId="9" fillId="0" borderId="0" applyFill="0" applyBorder="0"/>
    <xf numFmtId="14" fontId="9" fillId="0" borderId="0"/>
    <xf numFmtId="266" fontId="9" fillId="0" borderId="0" applyFont="0" applyFill="0" applyBorder="0" applyAlignment="0" applyProtection="0"/>
    <xf numFmtId="267" fontId="9" fillId="0" borderId="0" applyFont="0" applyFill="0" applyBorder="0" applyProtection="0">
      <alignment vertical="top"/>
    </xf>
    <xf numFmtId="267" fontId="9" fillId="0" borderId="0" applyFont="0" applyFill="0" applyBorder="0" applyProtection="0">
      <alignment vertical="top"/>
    </xf>
    <xf numFmtId="267" fontId="9" fillId="0" borderId="0" applyFont="0" applyFill="0" applyBorder="0" applyProtection="0">
      <alignment vertical="top"/>
    </xf>
    <xf numFmtId="268" fontId="9" fillId="0" borderId="0" applyFont="0" applyFill="0" applyBorder="0" applyAlignment="0" applyProtection="0"/>
    <xf numFmtId="267" fontId="9" fillId="0" borderId="0" applyFont="0" applyFill="0" applyBorder="0" applyProtection="0">
      <alignment vertical="top"/>
    </xf>
    <xf numFmtId="268" fontId="9" fillId="0" borderId="0" applyFont="0" applyFill="0" applyBorder="0" applyAlignment="0" applyProtection="0"/>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16" fontId="57" fillId="0" borderId="0">
      <alignment horizontal="right"/>
    </xf>
    <xf numFmtId="211" fontId="57" fillId="0" borderId="0">
      <alignment horizontal="right"/>
      <protection locked="0"/>
    </xf>
    <xf numFmtId="211" fontId="57" fillId="0" borderId="0"/>
    <xf numFmtId="270" fontId="57" fillId="0" borderId="0">
      <alignment horizontal="right"/>
      <protection locked="0"/>
    </xf>
    <xf numFmtId="211" fontId="58" fillId="0" borderId="0"/>
    <xf numFmtId="271" fontId="53" fillId="83" borderId="0" applyAlignment="0" applyProtection="0">
      <alignment horizontal="right"/>
    </xf>
    <xf numFmtId="272" fontId="9" fillId="0" borderId="0" applyFont="0" applyFill="0" applyBorder="0" applyAlignment="0" applyProtection="0"/>
    <xf numFmtId="171" fontId="9" fillId="0" borderId="0" applyFont="0" applyFill="0" applyBorder="0" applyAlignment="0" applyProtection="0"/>
    <xf numFmtId="208" fontId="65" fillId="46" borderId="0" applyNumberFormat="0" applyFont="0" applyBorder="0" applyAlignment="0" applyProtection="0"/>
    <xf numFmtId="165" fontId="41" fillId="0" borderId="0" applyFill="0" applyBorder="0" applyProtection="0">
      <alignment horizontal="center"/>
    </xf>
    <xf numFmtId="164" fontId="41" fillId="0" borderId="0">
      <alignment horizontal="center"/>
    </xf>
    <xf numFmtId="165" fontId="41" fillId="0" borderId="0" applyFill="0" applyBorder="0" applyProtection="0">
      <alignment horizontal="center"/>
    </xf>
    <xf numFmtId="255" fontId="99" fillId="0" borderId="0">
      <alignment horizontal="center"/>
    </xf>
    <xf numFmtId="185" fontId="94" fillId="0" borderId="20" applyNumberFormat="0" applyFont="0" applyFill="0" applyAlignment="0" applyProtection="0"/>
    <xf numFmtId="214" fontId="100" fillId="0" borderId="21"/>
    <xf numFmtId="215" fontId="57" fillId="0" borderId="0"/>
    <xf numFmtId="38" fontId="49" fillId="0" borderId="0" applyFont="0" applyFill="0" applyBorder="0" applyAlignment="0" applyProtection="0"/>
    <xf numFmtId="185" fontId="101" fillId="0" borderId="0" applyFont="0" applyFill="0" applyBorder="0" applyAlignment="0" applyProtection="0"/>
    <xf numFmtId="185" fontId="102" fillId="0" borderId="0" applyNumberFormat="0" applyAlignment="0">
      <alignment horizontal="left"/>
    </xf>
    <xf numFmtId="273" fontId="44" fillId="0" borderId="0"/>
    <xf numFmtId="274" fontId="44" fillId="0" borderId="0"/>
    <xf numFmtId="275" fontId="44" fillId="0" borderId="0"/>
    <xf numFmtId="276" fontId="44" fillId="0" borderId="0"/>
    <xf numFmtId="277" fontId="44" fillId="0" borderId="0"/>
    <xf numFmtId="278" fontId="44" fillId="0" borderId="0"/>
    <xf numFmtId="194" fontId="4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279" fontId="9" fillId="0" borderId="0" applyFont="0" applyFill="0" applyBorder="0" applyAlignment="0" applyProtection="0"/>
    <xf numFmtId="280" fontId="9" fillId="0" borderId="0" applyFont="0" applyFill="0" applyBorder="0" applyAlignment="0" applyProtection="0"/>
    <xf numFmtId="281" fontId="9" fillId="0" borderId="0" applyFont="0" applyFill="0" applyBorder="0" applyAlignment="0" applyProtection="0"/>
    <xf numFmtId="185" fontId="9"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94" fontId="105" fillId="0" borderId="0" applyNumberFormat="0" applyFill="0" applyBorder="0" applyAlignment="0" applyProtection="0"/>
    <xf numFmtId="0" fontId="41" fillId="79" borderId="0" applyNumberFormat="0" applyFont="0" applyBorder="0" applyAlignment="0" applyProtection="0"/>
    <xf numFmtId="0" fontId="41" fillId="79" borderId="0" applyNumberFormat="0" applyFont="0" applyBorder="0" applyAlignment="0" applyProtection="0"/>
    <xf numFmtId="0" fontId="106" fillId="0" borderId="0" applyNumberFormat="0" applyFill="0" applyBorder="0" applyAlignment="0" applyProtection="0"/>
    <xf numFmtId="282" fontId="107" fillId="0" borderId="0" applyFill="0" applyBorder="0"/>
    <xf numFmtId="15" fontId="18" fillId="0" borderId="0" applyFill="0" applyBorder="0" applyProtection="0">
      <alignment horizontal="center"/>
    </xf>
    <xf numFmtId="0" fontId="41" fillId="20" borderId="0" applyNumberFormat="0" applyFont="0" applyBorder="0" applyAlignment="0" applyProtection="0"/>
    <xf numFmtId="0" fontId="41" fillId="20" borderId="0" applyNumberFormat="0" applyFont="0" applyBorder="0" applyAlignment="0" applyProtection="0"/>
    <xf numFmtId="283" fontId="108" fillId="0" borderId="0" applyFill="0" applyBorder="0" applyProtection="0"/>
    <xf numFmtId="284" fontId="19" fillId="61" borderId="2" applyAlignment="0" applyProtection="0"/>
    <xf numFmtId="284" fontId="19" fillId="61" borderId="2" applyAlignment="0" applyProtection="0"/>
    <xf numFmtId="285" fontId="109" fillId="0" borderId="0" applyNumberFormat="0" applyFill="0" applyBorder="0" applyAlignment="0" applyProtection="0"/>
    <xf numFmtId="285" fontId="110" fillId="0" borderId="0" applyNumberFormat="0" applyFill="0" applyBorder="0" applyAlignment="0" applyProtection="0"/>
    <xf numFmtId="15" fontId="106" fillId="45" borderId="18">
      <alignment horizontal="center"/>
      <protection locked="0"/>
    </xf>
    <xf numFmtId="286" fontId="106" fillId="45" borderId="18" applyAlignment="0">
      <protection locked="0"/>
    </xf>
    <xf numFmtId="287" fontId="106" fillId="45" borderId="18" applyAlignment="0">
      <protection locked="0"/>
    </xf>
    <xf numFmtId="287" fontId="18" fillId="0" borderId="0" applyFill="0" applyBorder="0" applyAlignment="0" applyProtection="0"/>
    <xf numFmtId="288" fontId="18" fillId="0" borderId="0" applyFill="0" applyBorder="0" applyAlignment="0" applyProtection="0"/>
    <xf numFmtId="288" fontId="18" fillId="0" borderId="0" applyFill="0" applyBorder="0" applyAlignment="0" applyProtection="0"/>
    <xf numFmtId="289" fontId="18" fillId="0" borderId="0" applyFill="0" applyBorder="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28" borderId="0" applyNumberFormat="0" applyFont="0" applyBorder="0" applyAlignment="0" applyProtection="0"/>
    <xf numFmtId="0" fontId="41" fillId="28" borderId="0" applyNumberFormat="0" applyFont="0" applyBorder="0" applyAlignment="0" applyProtection="0"/>
    <xf numFmtId="167" fontId="9" fillId="0" borderId="0" applyFont="0" applyFill="0" applyBorder="0" applyAlignment="0" applyProtection="0"/>
    <xf numFmtId="169" fontId="9" fillId="0" borderId="0" applyFont="0" applyFill="0" applyBorder="0" applyAlignment="0" applyProtection="0"/>
    <xf numFmtId="290" fontId="9" fillId="0" borderId="0" applyFont="0" applyFill="0" applyBorder="0" applyAlignment="0" applyProtection="0"/>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1" fontId="111" fillId="84" borderId="24" applyNumberFormat="0" applyBorder="0" applyAlignment="0">
      <alignment horizontal="centerContinuous" vertical="center"/>
      <protection locked="0"/>
    </xf>
    <xf numFmtId="185" fontId="95" fillId="0" borderId="0">
      <protection locked="0"/>
    </xf>
    <xf numFmtId="255" fontId="112" fillId="0" borderId="0"/>
    <xf numFmtId="255" fontId="112" fillId="0" borderId="0"/>
    <xf numFmtId="185" fontId="113" fillId="0" borderId="0"/>
    <xf numFmtId="185" fontId="114" fillId="0" borderId="0" applyFill="0" applyBorder="0" applyProtection="0">
      <alignment horizontal="left"/>
    </xf>
    <xf numFmtId="4" fontId="115" fillId="0" borderId="0">
      <protection locked="0"/>
    </xf>
    <xf numFmtId="0" fontId="98" fillId="19" borderId="0" applyAlignment="0" applyProtection="0">
      <alignment horizontal="right" vertical="center"/>
    </xf>
    <xf numFmtId="256" fontId="116" fillId="0" borderId="0"/>
    <xf numFmtId="274" fontId="44" fillId="0" borderId="25"/>
    <xf numFmtId="292" fontId="44" fillId="46" borderId="11">
      <alignment horizontal="right"/>
    </xf>
    <xf numFmtId="293" fontId="9" fillId="0" borderId="0" applyFont="0" applyFill="0" applyBorder="0" applyAlignment="0" applyProtection="0"/>
    <xf numFmtId="294" fontId="117" fillId="0" borderId="0" applyFont="0" applyFill="0" applyBorder="0" applyAlignment="0" applyProtection="0"/>
    <xf numFmtId="295" fontId="9" fillId="0" borderId="0" applyFont="0" applyFill="0" applyBorder="0" applyAlignment="0" applyProtection="0"/>
    <xf numFmtId="296" fontId="117"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194" fontId="119" fillId="57" borderId="0" applyNumberFormat="0" applyBorder="0" applyAlignment="0" applyProtection="0"/>
    <xf numFmtId="2" fontId="120" fillId="50" borderId="11" applyProtection="0">
      <alignment horizontal="left"/>
      <protection locked="0"/>
    </xf>
    <xf numFmtId="38" fontId="53" fillId="46" borderId="0" applyNumberFormat="0" applyBorder="0" applyAlignment="0" applyProtection="0"/>
    <xf numFmtId="0" fontId="9" fillId="61" borderId="0" applyNumberFormat="0" applyFont="0" applyBorder="0" applyAlignment="0" applyProtection="0"/>
    <xf numFmtId="297" fontId="93" fillId="36" borderId="26" applyNumberFormat="0" applyFont="0" applyAlignment="0"/>
    <xf numFmtId="185" fontId="94" fillId="0" borderId="0" applyFont="0" applyFill="0" applyBorder="0" applyAlignment="0" applyProtection="0">
      <alignment horizontal="right"/>
    </xf>
    <xf numFmtId="185" fontId="121" fillId="0" borderId="0" applyProtection="0">
      <alignment horizontal="right"/>
    </xf>
    <xf numFmtId="185" fontId="78" fillId="0" borderId="27" applyNumberFormat="0" applyAlignment="0" applyProtection="0">
      <alignment horizontal="left" vertical="center"/>
    </xf>
    <xf numFmtId="185" fontId="78" fillId="0" borderId="28">
      <alignment horizontal="left" vertical="center"/>
    </xf>
    <xf numFmtId="2" fontId="74" fillId="76" borderId="0" applyAlignment="0">
      <alignment horizontal="right"/>
      <protection locked="0"/>
    </xf>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194" fontId="124" fillId="0" borderId="30"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194" fontId="127" fillId="0" borderId="31"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194" fontId="130" fillId="0" borderId="32"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94" fontId="130" fillId="0" borderId="0" applyNumberFormat="0" applyFill="0" applyBorder="0" applyAlignment="0" applyProtection="0"/>
    <xf numFmtId="185" fontId="41" fillId="0" borderId="0">
      <protection locked="0"/>
    </xf>
    <xf numFmtId="185" fontId="41" fillId="0" borderId="0">
      <protection locked="0"/>
    </xf>
    <xf numFmtId="298" fontId="131" fillId="0" borderId="0">
      <alignment horizontal="right"/>
    </xf>
    <xf numFmtId="299" fontId="61" fillId="0" borderId="0" applyAlignment="0">
      <alignment horizontal="right"/>
      <protection hidden="1"/>
    </xf>
    <xf numFmtId="185" fontId="106" fillId="0" borderId="33" applyNumberFormat="0" applyFill="0" applyAlignment="0" applyProtection="0"/>
    <xf numFmtId="208" fontId="132" fillId="0" borderId="0" applyNumberFormat="0" applyBorder="0" applyAlignment="0" applyProtection="0">
      <alignment horizontal="right" wrapText="1"/>
    </xf>
    <xf numFmtId="0" fontId="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94"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94" fontId="140" fillId="0" borderId="0" applyNumberFormat="0" applyFill="0" applyBorder="0" applyAlignment="0" applyProtection="0">
      <alignment vertical="top"/>
      <protection locked="0"/>
    </xf>
    <xf numFmtId="185" fontId="141" fillId="0" borderId="0">
      <alignment wrapText="1"/>
    </xf>
    <xf numFmtId="10" fontId="53" fillId="36" borderId="26" applyNumberFormat="0" applyBorder="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194" fontId="144" fillId="60" borderId="34" applyNumberFormat="0" applyAlignment="0" applyProtection="0"/>
    <xf numFmtId="194" fontId="144" fillId="60" borderId="34" applyNumberFormat="0" applyAlignment="0" applyProtection="0"/>
    <xf numFmtId="0" fontId="53" fillId="0" borderId="0" applyNumberFormat="0" applyFill="0" applyBorder="0" applyAlignment="0">
      <protection locked="0"/>
    </xf>
    <xf numFmtId="0" fontId="145" fillId="34" borderId="0"/>
    <xf numFmtId="244" fontId="64" fillId="86" borderId="0">
      <protection locked="0"/>
    </xf>
    <xf numFmtId="300" fontId="41" fillId="0" borderId="0"/>
    <xf numFmtId="0" fontId="146" fillId="0" borderId="0"/>
    <xf numFmtId="38" fontId="147" fillId="0" borderId="0"/>
    <xf numFmtId="38" fontId="148" fillId="0" borderId="0"/>
    <xf numFmtId="38" fontId="149" fillId="0" borderId="0"/>
    <xf numFmtId="38" fontId="150" fillId="0" borderId="0"/>
    <xf numFmtId="0" fontId="67" fillId="0" borderId="0"/>
    <xf numFmtId="0" fontId="67" fillId="0" borderId="0"/>
    <xf numFmtId="0" fontId="67" fillId="0" borderId="0"/>
    <xf numFmtId="0" fontId="43" fillId="0" borderId="0"/>
    <xf numFmtId="0" fontId="151" fillId="0" borderId="0"/>
    <xf numFmtId="0" fontId="152" fillId="0" borderId="0">
      <alignment horizontal="center"/>
    </xf>
    <xf numFmtId="301" fontId="153" fillId="0" borderId="0" applyFont="0" applyFill="0" applyBorder="0" applyAlignment="0" applyProtection="0"/>
    <xf numFmtId="185" fontId="9" fillId="0" borderId="0" applyNumberFormat="0" applyFont="0" applyFill="0" applyBorder="0" applyProtection="0">
      <alignment horizontal="left" vertical="center"/>
    </xf>
    <xf numFmtId="173" fontId="36" fillId="2" borderId="0"/>
    <xf numFmtId="173" fontId="37" fillId="53" borderId="0"/>
    <xf numFmtId="185" fontId="53" fillId="46" borderId="0"/>
    <xf numFmtId="38" fontId="154" fillId="0" borderId="0" applyNumberFormat="0" applyFill="0" applyBorder="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194" fontId="157" fillId="0" borderId="36" applyNumberFormat="0" applyFill="0" applyAlignment="0" applyProtection="0"/>
    <xf numFmtId="0" fontId="98" fillId="87" borderId="0" applyAlignment="0" applyProtection="0">
      <alignment horizontal="right" vertical="center"/>
    </xf>
    <xf numFmtId="201" fontId="54" fillId="0" borderId="0" applyFont="0" applyFill="0" applyBorder="0" applyAlignment="0" applyProtection="0">
      <alignment horizontal="right"/>
    </xf>
    <xf numFmtId="302"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303"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40" fontId="158" fillId="0" borderId="0">
      <alignment horizontal="right"/>
    </xf>
    <xf numFmtId="37" fontId="159" fillId="0" borderId="0"/>
    <xf numFmtId="185" fontId="160" fillId="0" borderId="0">
      <alignment vertical="center"/>
    </xf>
    <xf numFmtId="185" fontId="9" fillId="0" borderId="0" applyNumberFormat="0" applyFill="0" applyBorder="0" applyAlignment="0" applyProtection="0"/>
    <xf numFmtId="16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4" fontId="9" fillId="0" borderId="0" applyFont="0" applyFill="0" applyBorder="0" applyAlignment="0" applyProtection="0"/>
    <xf numFmtId="305" fontId="44" fillId="0" borderId="0">
      <alignment horizontal="right"/>
    </xf>
    <xf numFmtId="185" fontId="161" fillId="0" borderId="17"/>
    <xf numFmtId="306" fontId="49" fillId="0" borderId="0" applyFont="0" applyFill="0" applyBorder="0" applyAlignment="0" applyProtection="0"/>
    <xf numFmtId="307" fontId="4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8" fontId="53" fillId="36" borderId="0">
      <alignment horizontal="center"/>
    </xf>
    <xf numFmtId="309" fontId="41" fillId="0" borderId="0" applyFill="0" applyBorder="0" applyProtection="0">
      <alignment horizontal="center"/>
    </xf>
    <xf numFmtId="310" fontId="41" fillId="0" borderId="0" applyFont="0" applyFill="0" applyBorder="0" applyAlignment="0" applyProtection="0">
      <alignment horizontal="centerContinuous"/>
      <protection locked="0"/>
    </xf>
    <xf numFmtId="49" fontId="162" fillId="81" borderId="0" applyAlignment="0" applyProtection="0">
      <alignment horizontal="centerContinuous" vertical="center"/>
    </xf>
    <xf numFmtId="311" fontId="53" fillId="0" borderId="0" applyFont="0" applyFill="0" applyBorder="0" applyAlignment="0" applyProtection="0">
      <alignment horizontal="right"/>
    </xf>
    <xf numFmtId="0" fontId="81" fillId="0" borderId="0">
      <alignment horizontal="right"/>
    </xf>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194" fontId="164" fillId="18" borderId="0" applyNumberFormat="0" applyBorder="0" applyAlignment="0" applyProtection="0"/>
    <xf numFmtId="37" fontId="165" fillId="0" borderId="0"/>
    <xf numFmtId="298" fontId="166" fillId="0" borderId="0"/>
    <xf numFmtId="312" fontId="45" fillId="0" borderId="0"/>
    <xf numFmtId="312" fontId="45" fillId="0" borderId="9"/>
    <xf numFmtId="312" fontId="45" fillId="0" borderId="37"/>
    <xf numFmtId="312" fontId="45" fillId="0" borderId="0"/>
    <xf numFmtId="313" fontId="57" fillId="0" borderId="0"/>
    <xf numFmtId="314" fontId="57" fillId="0" borderId="0"/>
    <xf numFmtId="315" fontId="57" fillId="0" borderId="0"/>
    <xf numFmtId="316" fontId="53" fillId="0" borderId="0"/>
    <xf numFmtId="317" fontId="53" fillId="0" borderId="0"/>
    <xf numFmtId="38" fontId="9" fillId="0" borderId="0" applyFont="0" applyFill="0" applyBorder="0" applyAlignment="0" applyProtection="0"/>
    <xf numFmtId="0" fontId="7" fillId="0" borderId="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7"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2" fillId="0" borderId="0"/>
    <xf numFmtId="0" fontId="13"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24"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12" fillId="0" borderId="0"/>
    <xf numFmtId="0" fontId="12" fillId="0" borderId="0"/>
    <xf numFmtId="0" fontId="12" fillId="0" borderId="0"/>
    <xf numFmtId="0" fontId="12" fillId="0" borderId="0"/>
    <xf numFmtId="0" fontId="12" fillId="0" borderId="0"/>
    <xf numFmtId="185"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9" fillId="0" borderId="0"/>
    <xf numFmtId="0" fontId="12" fillId="0" borderId="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12" fillId="0" borderId="0"/>
    <xf numFmtId="0" fontId="12" fillId="0" borderId="0" applyFont="0" applyFill="0" applyBorder="0" applyAlignment="0" applyProtection="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94"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10" fillId="0" borderId="0"/>
    <xf numFmtId="194" fontId="10"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6" fillId="0" borderId="0"/>
    <xf numFmtId="0" fontId="9" fillId="0" borderId="0"/>
    <xf numFmtId="185" fontId="9"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194"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9" fontId="7" fillId="0" borderId="0"/>
    <xf numFmtId="179" fontId="24" fillId="0" borderId="0"/>
    <xf numFmtId="179" fontId="24" fillId="0" borderId="0"/>
    <xf numFmtId="179" fontId="24" fillId="0" borderId="0"/>
    <xf numFmtId="179" fontId="24" fillId="0" borderId="0"/>
    <xf numFmtId="179" fontId="24"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7" fillId="0" borderId="0"/>
    <xf numFmtId="0" fontId="28" fillId="0" borderId="0" applyFill="0" applyBorder="0" applyAlignment="0" applyProtection="0"/>
    <xf numFmtId="0" fontId="28"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applyFill="0" applyBorder="0" applyAlignment="0" applyProtection="0"/>
    <xf numFmtId="0" fontId="28"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24" fillId="0" borderId="0"/>
    <xf numFmtId="0" fontId="9" fillId="0" borderId="0"/>
    <xf numFmtId="0" fontId="9" fillId="0" borderId="0"/>
    <xf numFmtId="0" fontId="7" fillId="0" borderId="0"/>
    <xf numFmtId="0" fontId="9"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8" fillId="0" borderId="0"/>
    <xf numFmtId="0" fontId="9" fillId="0" borderId="0" applyNumberFormat="0" applyFont="0" applyFill="0" applyBorder="0" applyAlignment="0" applyProtection="0"/>
    <xf numFmtId="0" fontId="18" fillId="0" borderId="0"/>
    <xf numFmtId="0" fontId="18" fillId="0" borderId="0"/>
    <xf numFmtId="0" fontId="18" fillId="0" borderId="0"/>
    <xf numFmtId="0" fontId="6" fillId="0" borderId="0"/>
    <xf numFmtId="0" fontId="28" fillId="0" borderId="0"/>
    <xf numFmtId="0" fontId="28" fillId="0" borderId="0"/>
    <xf numFmtId="0" fontId="9" fillId="0" borderId="0" applyNumberFormat="0" applyFont="0" applyFill="0" applyBorder="0" applyAlignment="0" applyProtection="0"/>
    <xf numFmtId="0" fontId="28"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8"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25"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318" fontId="55" fillId="0" borderId="37"/>
    <xf numFmtId="0" fontId="106" fillId="0" borderId="0" applyFill="0" applyBorder="0">
      <protection locked="0"/>
    </xf>
    <xf numFmtId="185" fontId="9" fillId="0" borderId="0"/>
    <xf numFmtId="185" fontId="168" fillId="0" borderId="0"/>
    <xf numFmtId="185" fontId="169" fillId="0" borderId="0"/>
    <xf numFmtId="185" fontId="170" fillId="0" borderId="0"/>
    <xf numFmtId="185" fontId="171" fillId="0" borderId="0"/>
    <xf numFmtId="185" fontId="50" fillId="0" borderId="0"/>
    <xf numFmtId="38" fontId="172" fillId="0" borderId="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194" fontId="9" fillId="34" borderId="38" applyNumberFormat="0" applyFont="0" applyAlignment="0" applyProtection="0"/>
    <xf numFmtId="194" fontId="9" fillId="34" borderId="38" applyNumberFormat="0" applyFont="0" applyAlignment="0" applyProtection="0"/>
    <xf numFmtId="0" fontId="173" fillId="83" borderId="0" applyAlignment="0" applyProtection="0">
      <alignment horizontal="left" vertical="top" wrapText="1"/>
    </xf>
    <xf numFmtId="285" fontId="9" fillId="45" borderId="39" applyFont="0" applyFill="0" applyBorder="0" applyAlignment="0" applyProtection="0">
      <protection locked="0"/>
    </xf>
    <xf numFmtId="37" fontId="9" fillId="0" borderId="0"/>
    <xf numFmtId="319" fontId="40" fillId="50" borderId="40" applyNumberFormat="0">
      <alignment vertical="center"/>
    </xf>
    <xf numFmtId="319" fontId="40" fillId="88" borderId="40" applyNumberFormat="0">
      <alignment vertical="center"/>
    </xf>
    <xf numFmtId="319" fontId="40" fillId="40" borderId="40" applyNumberFormat="0">
      <alignment vertical="center"/>
    </xf>
    <xf numFmtId="319" fontId="40" fillId="38" borderId="40" applyNumberFormat="0">
      <alignment vertical="center"/>
    </xf>
    <xf numFmtId="319" fontId="40" fillId="89" borderId="40" applyNumberFormat="0">
      <alignment vertical="center"/>
    </xf>
    <xf numFmtId="319" fontId="40" fillId="46" borderId="40" applyNumberFormat="0">
      <alignment vertical="center"/>
    </xf>
    <xf numFmtId="319" fontId="40" fillId="90" borderId="40" applyNumberFormat="0">
      <alignment vertical="center"/>
    </xf>
    <xf numFmtId="319" fontId="40" fillId="80" borderId="40" applyNumberFormat="0">
      <alignment vertical="center"/>
    </xf>
    <xf numFmtId="319" fontId="40" fillId="91" borderId="40" applyNumberFormat="0">
      <alignment vertical="center"/>
    </xf>
    <xf numFmtId="319" fontId="40" fillId="92" borderId="40" applyNumberFormat="0">
      <alignment vertical="center"/>
    </xf>
    <xf numFmtId="319" fontId="174" fillId="45" borderId="40">
      <protection locked="0"/>
    </xf>
    <xf numFmtId="319" fontId="174" fillId="37" borderId="40">
      <protection locked="0"/>
    </xf>
    <xf numFmtId="319" fontId="175" fillId="37" borderId="41" applyNumberFormat="0" applyFont="0" applyFill="0" applyAlignment="0" applyProtection="0">
      <protection locked="0"/>
    </xf>
    <xf numFmtId="319" fontId="81" fillId="0" borderId="0" applyNumberFormat="0" applyFill="0">
      <alignment horizontal="left" vertical="top"/>
    </xf>
    <xf numFmtId="0" fontId="176" fillId="93" borderId="0" applyNumberFormat="0">
      <alignment horizontal="left" vertical="center" indent="1"/>
    </xf>
    <xf numFmtId="0" fontId="177" fillId="94" borderId="0" applyNumberFormat="0">
      <alignment vertical="center"/>
    </xf>
    <xf numFmtId="0" fontId="78" fillId="46" borderId="0">
      <alignment vertical="center"/>
    </xf>
    <xf numFmtId="0" fontId="178" fillId="0" borderId="42">
      <alignment vertical="center"/>
    </xf>
    <xf numFmtId="0" fontId="39" fillId="95" borderId="26" applyNumberFormat="0" applyFont="0" applyAlignment="0">
      <alignment vertical="center"/>
    </xf>
    <xf numFmtId="0" fontId="39" fillId="45" borderId="26" applyNumberFormat="0" applyFont="0" applyAlignment="0">
      <alignment vertical="center"/>
    </xf>
    <xf numFmtId="0" fontId="39" fillId="37" borderId="26" applyNumberFormat="0" applyFont="0" applyAlignment="0">
      <alignment vertical="center"/>
    </xf>
    <xf numFmtId="0" fontId="39" fillId="96" borderId="26" applyNumberFormat="0" applyFont="0" applyAlignment="0">
      <alignment vertical="center"/>
    </xf>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97" borderId="0">
      <alignment horizontal="right"/>
    </xf>
    <xf numFmtId="0" fontId="179" fillId="0" borderId="0">
      <alignment horizontal="left"/>
    </xf>
    <xf numFmtId="3" fontId="180" fillId="0" borderId="0" applyFill="0" applyBorder="0" applyAlignment="0" applyProtection="0"/>
    <xf numFmtId="185" fontId="181" fillId="12" borderId="43" applyNumberFormat="0" applyBorder="0" applyAlignment="0">
      <alignment horizontal="center"/>
      <protection hidden="1"/>
    </xf>
    <xf numFmtId="185" fontId="182" fillId="0" borderId="43" applyNumberFormat="0" applyBorder="0" applyAlignment="0">
      <alignment horizontal="center"/>
      <protection locked="0"/>
    </xf>
    <xf numFmtId="2" fontId="183" fillId="50" borderId="11">
      <alignment horizontal="left"/>
    </xf>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194" fontId="185" fillId="61" borderId="44" applyNumberFormat="0" applyAlignment="0" applyProtection="0"/>
    <xf numFmtId="194" fontId="185" fillId="61" borderId="44" applyNumberFormat="0" applyAlignment="0" applyProtection="0"/>
    <xf numFmtId="40" fontId="18" fillId="33" borderId="0">
      <alignment horizontal="right"/>
    </xf>
    <xf numFmtId="185" fontId="186" fillId="98" borderId="0">
      <alignment horizontal="center"/>
    </xf>
    <xf numFmtId="185" fontId="187" fillId="99" borderId="0"/>
    <xf numFmtId="185" fontId="188" fillId="33" borderId="0" applyBorder="0">
      <alignment horizontal="centerContinuous"/>
    </xf>
    <xf numFmtId="185" fontId="189" fillId="99" borderId="0" applyBorder="0">
      <alignment horizontal="centerContinuous"/>
    </xf>
    <xf numFmtId="320" fontId="9" fillId="0" borderId="0"/>
    <xf numFmtId="320" fontId="9" fillId="0" borderId="0"/>
    <xf numFmtId="320" fontId="9" fillId="0" borderId="0"/>
    <xf numFmtId="320" fontId="9" fillId="0" borderId="0"/>
    <xf numFmtId="176" fontId="9" fillId="0" borderId="0"/>
    <xf numFmtId="176" fontId="9" fillId="0" borderId="0"/>
    <xf numFmtId="176" fontId="9" fillId="0" borderId="0"/>
    <xf numFmtId="176" fontId="9" fillId="0" borderId="0"/>
    <xf numFmtId="176" fontId="9" fillId="0" borderId="0"/>
    <xf numFmtId="320" fontId="9" fillId="0" borderId="0"/>
    <xf numFmtId="185" fontId="41" fillId="100" borderId="0" applyNumberFormat="0" applyFont="0" applyBorder="0" applyAlignment="0"/>
    <xf numFmtId="1" fontId="190" fillId="0" borderId="0" applyProtection="0">
      <alignment horizontal="right" vertical="center"/>
    </xf>
    <xf numFmtId="197" fontId="191" fillId="0" borderId="0">
      <alignment horizontal="left"/>
    </xf>
    <xf numFmtId="321" fontId="44" fillId="0" borderId="0"/>
    <xf numFmtId="322" fontId="44" fillId="0" borderId="0"/>
    <xf numFmtId="166" fontId="9" fillId="0" borderId="0" applyFont="0" applyFill="0" applyBorder="0" applyAlignment="0" applyProtection="0"/>
    <xf numFmtId="168" fontId="9" fillId="0" borderId="0" applyFont="0" applyFill="0" applyBorder="0" applyAlignment="0" applyProtection="0"/>
    <xf numFmtId="175" fontId="45" fillId="0" borderId="0" applyFont="0" applyFill="0" applyBorder="0" applyAlignment="0" applyProtection="0">
      <protection locked="0"/>
    </xf>
    <xf numFmtId="10" fontId="45" fillId="0" borderId="0" applyFont="0" applyFill="0" applyBorder="0" applyAlignment="0" applyProtection="0">
      <protection locked="0"/>
    </xf>
    <xf numFmtId="10" fontId="9"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23" fontId="57" fillId="0" borderId="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24" fontId="64" fillId="80" borderId="0" applyBorder="0" applyAlignment="0">
      <protection locked="0"/>
    </xf>
    <xf numFmtId="9" fontId="57" fillId="0" borderId="0"/>
    <xf numFmtId="175" fontId="57" fillId="0" borderId="0"/>
    <xf numFmtId="10" fontId="57" fillId="0" borderId="0"/>
    <xf numFmtId="325" fontId="9" fillId="0" borderId="0" applyFont="0" applyFill="0" applyBorder="0" applyAlignment="0" applyProtection="0"/>
    <xf numFmtId="326" fontId="55" fillId="0" borderId="0"/>
    <xf numFmtId="327" fontId="55" fillId="0" borderId="0"/>
    <xf numFmtId="327" fontId="57" fillId="0" borderId="0"/>
    <xf numFmtId="328" fontId="9" fillId="0" borderId="0" applyBorder="0">
      <alignment horizontal="right"/>
    </xf>
    <xf numFmtId="329" fontId="53" fillId="0" borderId="0" applyBorder="0"/>
    <xf numFmtId="10" fontId="9" fillId="50" borderId="0"/>
    <xf numFmtId="185" fontId="9" fillId="0" borderId="0">
      <protection locked="0"/>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330" fontId="7" fillId="101" borderId="6">
      <alignment vertical="center"/>
    </xf>
    <xf numFmtId="0"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2"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0" fontId="9" fillId="32" borderId="3" applyNumberFormat="0" applyProtection="0">
      <alignment horizontal="left" vertical="center" indent="1"/>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2"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101" borderId="6">
      <alignment vertical="center"/>
    </xf>
    <xf numFmtId="331"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101" borderId="6">
      <alignment vertical="center"/>
    </xf>
    <xf numFmtId="331" fontId="24"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332" fontId="44" fillId="0" borderId="0">
      <alignment horizontal="right"/>
    </xf>
    <xf numFmtId="40" fontId="9" fillId="0" borderId="0"/>
    <xf numFmtId="1" fontId="192" fillId="46" borderId="0">
      <alignment horizontal="center"/>
    </xf>
    <xf numFmtId="185"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185" fontId="193" fillId="0" borderId="17">
      <alignment horizontal="center"/>
    </xf>
    <xf numFmtId="3" fontId="49" fillId="0" borderId="0" applyFont="0" applyFill="0" applyBorder="0" applyAlignment="0" applyProtection="0"/>
    <xf numFmtId="185" fontId="49" fillId="102" borderId="0" applyNumberFormat="0" applyFont="0" applyBorder="0" applyAlignment="0" applyProtection="0"/>
    <xf numFmtId="333" fontId="44" fillId="46" borderId="0"/>
    <xf numFmtId="334" fontId="20" fillId="46" borderId="0" applyFill="0"/>
    <xf numFmtId="185" fontId="194" fillId="0" borderId="0">
      <alignment horizontal="left" indent="7"/>
    </xf>
    <xf numFmtId="185" fontId="20" fillId="0" borderId="0" applyFill="0">
      <alignment horizontal="left" indent="7"/>
    </xf>
    <xf numFmtId="334" fontId="64" fillId="0" borderId="28">
      <alignment horizontal="right"/>
    </xf>
    <xf numFmtId="185" fontId="64" fillId="0" borderId="26" applyNumberFormat="0" applyFont="0" applyBorder="0">
      <alignment horizontal="right"/>
    </xf>
    <xf numFmtId="185" fontId="195" fillId="0" borderId="0" applyFill="0"/>
    <xf numFmtId="185" fontId="64" fillId="0" borderId="0" applyFill="0"/>
    <xf numFmtId="334" fontId="17" fillId="0" borderId="28" applyFill="0"/>
    <xf numFmtId="185" fontId="9" fillId="0" borderId="0" applyNumberFormat="0" applyFont="0" applyBorder="0" applyAlignment="0"/>
    <xf numFmtId="185" fontId="196" fillId="0" borderId="0" applyFill="0">
      <alignment horizontal="left" indent="1"/>
    </xf>
    <xf numFmtId="185" fontId="17" fillId="0" borderId="0">
      <alignment horizontal="left" indent="1"/>
    </xf>
    <xf numFmtId="334" fontId="64" fillId="0" borderId="28" applyFill="0"/>
    <xf numFmtId="185" fontId="9" fillId="0" borderId="0" applyNumberFormat="0" applyFont="0" applyFill="0" applyBorder="0" applyAlignment="0"/>
    <xf numFmtId="185" fontId="195" fillId="0" borderId="0" applyFill="0">
      <alignment horizontal="left" indent="2"/>
    </xf>
    <xf numFmtId="185" fontId="64" fillId="0" borderId="0" applyFill="0">
      <alignment horizontal="left" indent="2"/>
    </xf>
    <xf numFmtId="334" fontId="17" fillId="0" borderId="28" applyFill="0"/>
    <xf numFmtId="185" fontId="9" fillId="0" borderId="0" applyNumberFormat="0" applyFont="0" applyBorder="0" applyAlignment="0"/>
    <xf numFmtId="185" fontId="196" fillId="0" borderId="0">
      <alignment horizontal="left" indent="3"/>
    </xf>
    <xf numFmtId="185" fontId="17" fillId="0" borderId="0" applyFill="0">
      <alignment horizontal="left" indent="3"/>
    </xf>
    <xf numFmtId="334" fontId="64" fillId="0" borderId="28" applyFill="0"/>
    <xf numFmtId="185" fontId="9" fillId="0" borderId="0" applyNumberFormat="0" applyFont="0" applyBorder="0" applyAlignment="0"/>
    <xf numFmtId="185" fontId="195" fillId="0" borderId="0">
      <alignment horizontal="left" indent="4"/>
    </xf>
    <xf numFmtId="185" fontId="64" fillId="0" borderId="0" applyFill="0">
      <alignment horizontal="left" indent="4"/>
    </xf>
    <xf numFmtId="334" fontId="17" fillId="0" borderId="28" applyFill="0"/>
    <xf numFmtId="185" fontId="9" fillId="0" borderId="0" applyNumberFormat="0" applyFont="0" applyBorder="0" applyAlignment="0"/>
    <xf numFmtId="185" fontId="196" fillId="0" borderId="0">
      <alignment horizontal="left" indent="5"/>
    </xf>
    <xf numFmtId="185" fontId="17" fillId="0" borderId="0" applyFill="0">
      <alignment horizontal="left" indent="5"/>
    </xf>
    <xf numFmtId="334" fontId="64" fillId="0" borderId="28" applyFill="0"/>
    <xf numFmtId="185" fontId="9" fillId="0" borderId="0" applyNumberFormat="0" applyFont="0" applyFill="0" applyBorder="0" applyAlignment="0"/>
    <xf numFmtId="185" fontId="64" fillId="0" borderId="0" applyFill="0">
      <alignment horizontal="left" indent="6"/>
    </xf>
    <xf numFmtId="335" fontId="44" fillId="46" borderId="11">
      <alignment horizontal="right"/>
    </xf>
    <xf numFmtId="0" fontId="197" fillId="0" borderId="0"/>
    <xf numFmtId="14" fontId="198" fillId="0" borderId="0" applyNumberFormat="0" applyFill="0" applyBorder="0" applyAlignment="0" applyProtection="0">
      <alignment horizontal="left"/>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4"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3" borderId="26">
      <alignment vertical="center"/>
    </xf>
    <xf numFmtId="331" fontId="24"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43" borderId="26">
      <alignment vertical="center"/>
    </xf>
    <xf numFmtId="331" fontId="24"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336" fontId="24" fillId="0" borderId="0">
      <protection locked="0"/>
    </xf>
    <xf numFmtId="338" fontId="199"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1" fillId="0" borderId="46">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9" fillId="45"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202"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4" fontId="203" fillId="45"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4" fontId="203" fillId="103" borderId="0" applyNumberFormat="0" applyProtection="0">
      <alignment horizontal="left" vertical="center" indent="1"/>
    </xf>
    <xf numFmtId="4" fontId="203" fillId="103" borderId="0" applyNumberFormat="0" applyProtection="0">
      <alignment horizontal="left" vertical="center" indent="1"/>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203" fillId="104"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203" fillId="89"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203" fillId="86"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203" fillId="38"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203" fillId="90"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203" fillId="37"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203" fillId="91"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203" fillId="105"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203" fillId="97"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19" fillId="106" borderId="4" applyNumberFormat="0" applyProtection="0">
      <alignment horizontal="left" vertical="center" indent="1"/>
    </xf>
    <xf numFmtId="4" fontId="19" fillId="106" borderId="4" applyNumberFormat="0" applyProtection="0">
      <alignment horizontal="left" vertical="center" indent="1"/>
    </xf>
    <xf numFmtId="4" fontId="19" fillId="40" borderId="0" applyNumberFormat="0" applyProtection="0">
      <alignment horizontal="left" vertical="center" indent="1"/>
    </xf>
    <xf numFmtId="4" fontId="19" fillId="40" borderId="0" applyNumberFormat="0" applyProtection="0">
      <alignment horizontal="left" vertical="center" indent="1"/>
    </xf>
    <xf numFmtId="4" fontId="19" fillId="103" borderId="0" applyNumberFormat="0" applyProtection="0">
      <alignment horizontal="left" vertical="center" indent="1"/>
    </xf>
    <xf numFmtId="4" fontId="19" fillId="103" borderId="0" applyNumberFormat="0" applyProtection="0">
      <alignment horizontal="left" vertical="center" indent="1"/>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203" fillId="40"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18" fillId="30" borderId="0" applyNumberFormat="0" applyProtection="0">
      <alignment horizontal="left" vertical="center" indent="1"/>
    </xf>
    <xf numFmtId="4" fontId="53" fillId="30" borderId="47" applyNumberFormat="0" applyProtection="0">
      <alignment horizontal="left" vertical="center" indent="1"/>
    </xf>
    <xf numFmtId="4" fontId="18" fillId="19" borderId="0" applyNumberFormat="0" applyProtection="0">
      <alignment horizontal="left" vertical="center" indent="1"/>
    </xf>
    <xf numFmtId="4" fontId="53" fillId="19" borderId="47"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53" fillId="61" borderId="48" applyNumberFormat="0" applyProtection="0">
      <alignment horizontal="left" vertical="center"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53"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53" fillId="83" borderId="48" applyNumberFormat="0" applyProtection="0">
      <alignment horizontal="left" vertical="center"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53"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53" fillId="32" borderId="48" applyNumberFormat="0" applyProtection="0">
      <alignment horizontal="left" vertical="center"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53"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53" fillId="30" borderId="48" applyNumberFormat="0" applyProtection="0">
      <alignment horizontal="left" vertical="center"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53" fillId="30" borderId="3" applyNumberFormat="0" applyProtection="0">
      <alignment horizontal="left" vertical="top" indent="1"/>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53" fillId="33" borderId="49" applyNumberFormat="0">
      <protection locked="0"/>
    </xf>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3" fillId="107"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204"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4" fontId="19" fillId="40" borderId="51"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3" fillId="107"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204"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4" fontId="19" fillId="40"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185" fontId="53" fillId="109" borderId="6"/>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05" fillId="107" borderId="3" applyNumberFormat="0" applyProtection="0">
      <alignment horizontal="right" vertical="center"/>
    </xf>
    <xf numFmtId="38" fontId="206" fillId="0" borderId="52">
      <alignment horizontal="center"/>
    </xf>
    <xf numFmtId="185" fontId="207" fillId="110" borderId="0"/>
    <xf numFmtId="185" fontId="78" fillId="0" borderId="0"/>
    <xf numFmtId="38" fontId="49" fillId="0" borderId="0" applyFont="0" applyFill="0" applyBorder="0" applyAlignment="0" applyProtection="0"/>
    <xf numFmtId="40" fontId="146" fillId="0" borderId="0" applyFont="0" applyFill="0" applyBorder="0" applyAlignment="0" applyProtection="0"/>
    <xf numFmtId="318" fontId="55" fillId="111" borderId="0" applyFont="0"/>
    <xf numFmtId="185" fontId="208" fillId="0" borderId="0"/>
    <xf numFmtId="0" fontId="9" fillId="0" borderId="0" applyNumberFormat="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 fontId="9" fillId="0" borderId="0"/>
    <xf numFmtId="185" fontId="49" fillId="0" borderId="0">
      <alignment textRotation="90"/>
    </xf>
    <xf numFmtId="0" fontId="98" fillId="81" borderId="0" applyAlignment="0" applyProtection="0">
      <alignment horizontal="right" vertical="center"/>
    </xf>
    <xf numFmtId="195" fontId="58" fillId="0" borderId="0">
      <alignment vertical="center"/>
    </xf>
    <xf numFmtId="0" fontId="9" fillId="112" borderId="0"/>
    <xf numFmtId="339" fontId="18" fillId="0" borderId="0" applyFill="0" applyBorder="0" applyAlignment="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85" fontId="9" fillId="0" borderId="0" applyFont="0" applyFill="0" applyBorder="0" applyAlignment="0" applyProtection="0"/>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38" fontId="9" fillId="0" borderId="0" applyFont="0" applyFill="0" applyBorder="0" applyAlignment="0" applyProtection="0"/>
    <xf numFmtId="185" fontId="9" fillId="0" borderId="0">
      <alignment vertical="top"/>
    </xf>
    <xf numFmtId="185" fontId="210" fillId="50" borderId="0" applyNumberFormat="0" applyProtection="0">
      <alignment horizontal="center" vertical="center"/>
    </xf>
    <xf numFmtId="4" fontId="18" fillId="50" borderId="0" applyProtection="0">
      <alignment horizontal="center" vertical="center"/>
    </xf>
    <xf numFmtId="185" fontId="211" fillId="50" borderId="0" applyNumberFormat="0" applyProtection="0">
      <alignment horizontal="center" vertical="center"/>
    </xf>
    <xf numFmtId="4" fontId="20" fillId="50" borderId="0" applyProtection="0">
      <alignment horizontal="center" vertical="center"/>
    </xf>
    <xf numFmtId="185" fontId="212" fillId="113" borderId="0" applyNumberFormat="0" applyProtection="0">
      <alignment horizontal="center" vertical="center"/>
    </xf>
    <xf numFmtId="4" fontId="22" fillId="113" borderId="0" applyProtection="0">
      <alignment horizontal="center" vertical="center"/>
    </xf>
    <xf numFmtId="185" fontId="209" fillId="50" borderId="0" applyNumberFormat="0" applyProtection="0">
      <alignment horizontal="center" vertical="center"/>
    </xf>
    <xf numFmtId="4" fontId="213" fillId="50" borderId="0" applyProtection="0">
      <alignment horizontal="center" vertical="center"/>
    </xf>
    <xf numFmtId="185" fontId="214" fillId="114" borderId="0" applyNumberFormat="0" applyProtection="0">
      <alignment horizontal="center" vertical="center"/>
    </xf>
    <xf numFmtId="4" fontId="61" fillId="114" borderId="0" applyProtection="0">
      <alignment horizontal="center" vertical="center"/>
    </xf>
    <xf numFmtId="185" fontId="16" fillId="50" borderId="0" applyNumberFormat="0" applyProtection="0">
      <alignment horizontal="center" vertical="center" wrapText="1"/>
    </xf>
    <xf numFmtId="185" fontId="17" fillId="50" borderId="0" applyNumberFormat="0" applyProtection="0">
      <alignment horizontal="center" vertical="center" wrapText="1"/>
    </xf>
    <xf numFmtId="185" fontId="141" fillId="113" borderId="0" applyNumberFormat="0" applyProtection="0">
      <alignment horizontal="center" vertical="center" wrapText="1"/>
    </xf>
    <xf numFmtId="185" fontId="215" fillId="50" borderId="0" applyNumberFormat="0" applyProtection="0">
      <alignment horizontal="center" vertical="center" wrapText="1"/>
    </xf>
    <xf numFmtId="185" fontId="16" fillId="50" borderId="0" applyNumberFormat="0" applyProtection="0">
      <alignment horizontal="center" vertical="center" wrapText="1"/>
    </xf>
    <xf numFmtId="4" fontId="216" fillId="50" borderId="0" applyProtection="0">
      <alignment horizontal="center" vertical="top" wrapText="1"/>
    </xf>
    <xf numFmtId="185" fontId="17" fillId="50" borderId="0" applyNumberFormat="0" applyProtection="0">
      <alignment horizontal="center" vertical="center" wrapText="1"/>
    </xf>
    <xf numFmtId="4" fontId="217" fillId="50" borderId="0" applyProtection="0">
      <alignment horizontal="center" vertical="top" wrapText="1"/>
    </xf>
    <xf numFmtId="185" fontId="141" fillId="113" borderId="0" applyNumberFormat="0" applyProtection="0">
      <alignment horizontal="center" vertical="center" wrapText="1"/>
    </xf>
    <xf numFmtId="4" fontId="218" fillId="113" borderId="0" applyProtection="0">
      <alignment horizontal="center" vertical="top" wrapText="1"/>
    </xf>
    <xf numFmtId="185" fontId="215" fillId="50" borderId="0" applyNumberFormat="0" applyProtection="0">
      <alignment horizontal="center" vertical="center" wrapText="1"/>
    </xf>
    <xf numFmtId="4" fontId="219" fillId="50" borderId="0" applyProtection="0">
      <alignment horizontal="center" vertical="top" wrapText="1"/>
    </xf>
    <xf numFmtId="185" fontId="187" fillId="114" borderId="0" applyNumberFormat="0" applyProtection="0">
      <alignment horizontal="center" vertical="center" wrapText="1"/>
    </xf>
    <xf numFmtId="4" fontId="220" fillId="114" borderId="0" applyProtection="0">
      <alignment horizontal="center" vertical="top" wrapText="1"/>
    </xf>
    <xf numFmtId="185" fontId="16" fillId="104" borderId="0" applyNumberFormat="0" applyProtection="0">
      <alignment horizontal="center" vertical="center" wrapText="1"/>
    </xf>
    <xf numFmtId="4" fontId="216" fillId="104" borderId="0" applyProtection="0">
      <alignment horizontal="center" vertical="top" wrapText="1"/>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85" fontId="221" fillId="0" borderId="0"/>
    <xf numFmtId="185" fontId="222" fillId="40" borderId="0"/>
    <xf numFmtId="185" fontId="223" fillId="0" borderId="0">
      <alignment horizontal="left" vertical="center"/>
    </xf>
    <xf numFmtId="256" fontId="78" fillId="0" borderId="0"/>
    <xf numFmtId="185" fontId="107" fillId="0" borderId="0"/>
    <xf numFmtId="185" fontId="78" fillId="0" borderId="0">
      <alignment horizontal="center"/>
    </xf>
    <xf numFmtId="37" fontId="64" fillId="0" borderId="53" applyNumberFormat="0"/>
    <xf numFmtId="40" fontId="9" fillId="0" borderId="0" applyBorder="0">
      <alignment horizontal="right"/>
    </xf>
    <xf numFmtId="37" fontId="64" fillId="0" borderId="53" applyNumberFormat="0"/>
    <xf numFmtId="40" fontId="224" fillId="0" borderId="0" applyBorder="0">
      <alignment horizontal="right"/>
    </xf>
    <xf numFmtId="0" fontId="225" fillId="0" borderId="5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16" fillId="46" borderId="6">
      <protection locked="0"/>
    </xf>
    <xf numFmtId="0" fontId="216" fillId="46" borderId="6">
      <protection locked="0"/>
    </xf>
    <xf numFmtId="185" fontId="226" fillId="0" borderId="0" applyBorder="0" applyProtection="0">
      <alignment vertical="center"/>
    </xf>
    <xf numFmtId="185" fontId="226" fillId="0" borderId="9" applyBorder="0" applyProtection="0">
      <alignment horizontal="right" vertical="center"/>
    </xf>
    <xf numFmtId="185" fontId="227" fillId="115" borderId="0" applyBorder="0" applyProtection="0">
      <alignment horizontal="centerContinuous" vertical="center"/>
    </xf>
    <xf numFmtId="185" fontId="227" fillId="114" borderId="9" applyBorder="0" applyProtection="0">
      <alignment horizontal="centerContinuous" vertical="center"/>
    </xf>
    <xf numFmtId="185" fontId="228" fillId="0" borderId="0"/>
    <xf numFmtId="185" fontId="169" fillId="0" borderId="0"/>
    <xf numFmtId="185" fontId="229" fillId="0" borderId="0" applyFill="0" applyBorder="0" applyProtection="0">
      <alignment horizontal="left"/>
    </xf>
    <xf numFmtId="185" fontId="114" fillId="0" borderId="10" applyFill="0" applyBorder="0" applyProtection="0">
      <alignment horizontal="left" vertical="top"/>
    </xf>
    <xf numFmtId="185" fontId="230" fillId="0" borderId="0">
      <alignment horizontal="centerContinuous"/>
    </xf>
    <xf numFmtId="49" fontId="231" fillId="0" borderId="0"/>
    <xf numFmtId="49" fontId="41" fillId="0" borderId="0" applyFont="0" applyFill="0" applyBorder="0" applyAlignment="0" applyProtection="0"/>
    <xf numFmtId="185" fontId="232" fillId="0" borderId="0"/>
    <xf numFmtId="49" fontId="41" fillId="0" borderId="0" applyFont="0" applyFill="0" applyBorder="0" applyAlignment="0" applyProtection="0"/>
    <xf numFmtId="185" fontId="233" fillId="0" borderId="0"/>
    <xf numFmtId="0" fontId="93" fillId="83" borderId="0" applyAlignment="0" applyProtection="0"/>
    <xf numFmtId="0" fontId="53" fillId="83" borderId="0" applyAlignment="0" applyProtection="0">
      <alignment horizontal="left"/>
    </xf>
    <xf numFmtId="0" fontId="53" fillId="83" borderId="0" applyAlignment="0" applyProtection="0">
      <alignment horizontal="left" indent="1"/>
    </xf>
    <xf numFmtId="0" fontId="53" fillId="83" borderId="0" applyAlignment="0" applyProtection="0">
      <alignment horizontal="left" vertical="center" indent="2"/>
    </xf>
    <xf numFmtId="340" fontId="78" fillId="0" borderId="0" applyFont="0" applyFill="0" applyBorder="0" applyAlignment="0" applyProtection="0"/>
    <xf numFmtId="0" fontId="234" fillId="0" borderId="0">
      <alignment horizontal="center"/>
    </xf>
    <xf numFmtId="15" fontId="234" fillId="0" borderId="0">
      <alignment horizontal="center"/>
    </xf>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35"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5" fillId="0" borderId="0" applyNumberFormat="0" applyFill="0" applyBorder="0" applyAlignment="0" applyProtection="0"/>
    <xf numFmtId="0" fontId="9" fillId="0" borderId="0" applyNumberFormat="0" applyFont="0" applyFill="0" applyBorder="0" applyAlignment="0" applyProtection="0"/>
    <xf numFmtId="185" fontId="236" fillId="36" borderId="0">
      <alignment horizontal="right"/>
    </xf>
    <xf numFmtId="178" fontId="182" fillId="0" borderId="0"/>
    <xf numFmtId="185" fontId="237" fillId="0" borderId="0"/>
    <xf numFmtId="341" fontId="238" fillId="0" borderId="0"/>
    <xf numFmtId="197" fontId="9" fillId="0" borderId="53" applyNumberFormat="0" applyFont="0" applyFill="0" applyAlignment="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6"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9" fillId="0" borderId="56" applyNumberFormat="0" applyFill="0" applyAlignment="0" applyProtection="0"/>
    <xf numFmtId="194" fontId="239" fillId="0" borderId="56" applyNumberFormat="0" applyFill="0" applyAlignment="0" applyProtection="0"/>
    <xf numFmtId="0" fontId="9" fillId="0" borderId="0" applyNumberFormat="0" applyFont="0" applyFill="0" applyBorder="0" applyAlignment="0" applyProtection="0"/>
    <xf numFmtId="37" fontId="64" fillId="0" borderId="57" applyNumberFormat="0" applyFill="0"/>
    <xf numFmtId="316" fontId="92" fillId="0" borderId="58" applyAlignment="0"/>
    <xf numFmtId="317" fontId="92" fillId="0" borderId="58" applyAlignment="0"/>
    <xf numFmtId="178" fontId="51" fillId="0" borderId="58"/>
    <xf numFmtId="342" fontId="54" fillId="0" borderId="0" applyFont="0" applyFill="0" applyBorder="0" applyAlignment="0" applyProtection="0">
      <alignment horizontal="right"/>
    </xf>
    <xf numFmtId="185" fontId="240" fillId="0" borderId="0">
      <alignment horizontal="fill"/>
    </xf>
    <xf numFmtId="37" fontId="53" fillId="45" borderId="0" applyNumberFormat="0" applyBorder="0" applyAlignment="0" applyProtection="0"/>
    <xf numFmtId="37" fontId="53" fillId="0" borderId="0"/>
    <xf numFmtId="37" fontId="53" fillId="46" borderId="0" applyNumberFormat="0" applyBorder="0" applyAlignment="0" applyProtection="0"/>
    <xf numFmtId="3" fontId="132" fillId="0" borderId="33" applyProtection="0"/>
    <xf numFmtId="4" fontId="51" fillId="0" borderId="0">
      <protection locked="0"/>
    </xf>
    <xf numFmtId="343" fontId="192" fillId="46" borderId="10" applyBorder="0">
      <alignment horizontal="right" vertical="center"/>
      <protection locked="0"/>
    </xf>
    <xf numFmtId="185" fontId="9" fillId="0" borderId="0">
      <alignment vertical="top"/>
    </xf>
    <xf numFmtId="185" fontId="241" fillId="0" borderId="0" applyFont="0" applyFill="0" applyBorder="0" applyAlignment="0" applyProtection="0"/>
    <xf numFmtId="249" fontId="117" fillId="0" borderId="0" applyFont="0" applyFill="0" applyBorder="0" applyAlignment="0" applyProtection="0"/>
    <xf numFmtId="344" fontId="117" fillId="0" borderId="0" applyFont="0" applyFill="0" applyBorder="0" applyAlignment="0" applyProtection="0"/>
    <xf numFmtId="345" fontId="117" fillId="0" borderId="0" applyFont="0" applyFill="0" applyBorder="0" applyAlignment="0" applyProtection="0"/>
    <xf numFmtId="208" fontId="53" fillId="0" borderId="0"/>
    <xf numFmtId="185" fontId="242" fillId="0" borderId="0"/>
    <xf numFmtId="346" fontId="9" fillId="0" borderId="0" applyFont="0" applyFill="0" applyBorder="0" applyAlignment="0" applyProtection="0"/>
    <xf numFmtId="257" fontId="9" fillId="0" borderId="0" applyFont="0" applyFill="0" applyBorder="0" applyAlignment="0" applyProtection="0"/>
    <xf numFmtId="0" fontId="24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3" fillId="0" borderId="0" applyNumberFormat="0" applyFill="0" applyBorder="0" applyAlignment="0" applyProtection="0"/>
    <xf numFmtId="0" fontId="9" fillId="34" borderId="0" applyNumberFormat="0" applyFont="0" applyBorder="0" applyAlignment="0" applyProtection="0"/>
    <xf numFmtId="172" fontId="7" fillId="43" borderId="26">
      <alignment vertical="center"/>
    </xf>
    <xf numFmtId="172" fontId="7" fillId="3" borderId="26">
      <alignment vertical="center"/>
      <protection locked="0"/>
    </xf>
    <xf numFmtId="0" fontId="12" fillId="0" borderId="0"/>
    <xf numFmtId="0" fontId="28" fillId="0" borderId="0"/>
    <xf numFmtId="173" fontId="252" fillId="0" borderId="0" applyFill="0" applyBorder="0">
      <alignment vertical="center"/>
    </xf>
    <xf numFmtId="10" fontId="36" fillId="0" borderId="0" applyFont="0" applyFill="0" applyBorder="0" applyAlignment="0" applyProtection="0">
      <alignment vertical="center"/>
    </xf>
    <xf numFmtId="169" fontId="7" fillId="0" borderId="0" applyFont="0" applyFill="0" applyBorder="0" applyAlignment="0" applyProtection="0"/>
    <xf numFmtId="169" fontId="6" fillId="0" borderId="0" applyFont="0" applyFill="0" applyBorder="0" applyAlignment="0" applyProtection="0"/>
    <xf numFmtId="176" fontId="7" fillId="101" borderId="26">
      <alignment vertical="center"/>
    </xf>
    <xf numFmtId="10" fontId="36" fillId="0" borderId="0" applyFont="0" applyFill="0" applyBorder="0" applyAlignment="0" applyProtection="0">
      <alignment vertical="center"/>
    </xf>
    <xf numFmtId="349" fontId="9" fillId="0" borderId="0"/>
    <xf numFmtId="349" fontId="9" fillId="0" borderId="0"/>
    <xf numFmtId="349" fontId="12"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12" fillId="0" borderId="0"/>
    <xf numFmtId="349" fontId="9" fillId="0" borderId="0"/>
    <xf numFmtId="349" fontId="12" fillId="0" borderId="0"/>
    <xf numFmtId="349" fontId="9" fillId="0" borderId="0"/>
    <xf numFmtId="349" fontId="12"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lignment vertical="center"/>
    </xf>
    <xf numFmtId="349" fontId="12" fillId="0" borderId="0"/>
    <xf numFmtId="349" fontId="12" fillId="0" borderId="0"/>
    <xf numFmtId="349" fontId="12" fillId="0" borderId="0"/>
    <xf numFmtId="349" fontId="12" fillId="0" borderId="0"/>
    <xf numFmtId="349" fontId="9" fillId="0" borderId="0">
      <alignment vertical="center"/>
    </xf>
    <xf numFmtId="349" fontId="9" fillId="0" borderId="0">
      <alignment vertical="center"/>
    </xf>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12" fillId="0" borderId="0">
      <alignment vertical="justify"/>
    </xf>
    <xf numFmtId="349" fontId="18" fillId="30" borderId="0" applyNumberFormat="0" applyBorder="0" applyAlignment="0" applyProtection="0"/>
    <xf numFmtId="349" fontId="18" fillId="30"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7" borderId="0" applyNumberFormat="0" applyBorder="0" applyAlignment="0" applyProtection="0"/>
    <xf numFmtId="349" fontId="18" fillId="27" borderId="0" applyNumberFormat="0" applyBorder="0" applyAlignment="0" applyProtection="0"/>
    <xf numFmtId="349" fontId="18" fillId="118" borderId="0" applyNumberFormat="0" applyBorder="0" applyAlignment="0" applyProtection="0"/>
    <xf numFmtId="349" fontId="18" fillId="118" borderId="0" applyNumberFormat="0" applyBorder="0" applyAlignment="0" applyProtection="0"/>
    <xf numFmtId="349" fontId="18" fillId="30" borderId="0" applyNumberFormat="0" applyBorder="0" applyAlignment="0" applyProtection="0"/>
    <xf numFmtId="349" fontId="18" fillId="30"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18" fillId="61" borderId="0" applyNumberFormat="0" applyBorder="0" applyAlignment="0" applyProtection="0"/>
    <xf numFmtId="349" fontId="18" fillId="61"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6" borderId="0" applyNumberFormat="0" applyBorder="0" applyAlignment="0" applyProtection="0"/>
    <xf numFmtId="349" fontId="18" fillId="26" borderId="0" applyNumberFormat="0" applyBorder="0" applyAlignment="0" applyProtection="0"/>
    <xf numFmtId="349" fontId="18" fillId="119" borderId="0" applyNumberFormat="0" applyBorder="0" applyAlignment="0" applyProtection="0"/>
    <xf numFmtId="349" fontId="18" fillId="119" borderId="0" applyNumberFormat="0" applyBorder="0" applyAlignment="0" applyProtection="0"/>
    <xf numFmtId="349" fontId="18" fillId="31" borderId="0" applyNumberFormat="0" applyBorder="0" applyAlignment="0" applyProtection="0"/>
    <xf numFmtId="349" fontId="18" fillId="31"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19" borderId="0" applyNumberFormat="0" applyBorder="0" applyAlignment="0" applyProtection="0"/>
    <xf numFmtId="349" fontId="61" fillId="19" borderId="0" applyNumberFormat="0" applyBorder="0" applyAlignment="0" applyProtection="0"/>
    <xf numFmtId="349" fontId="61" fillId="26" borderId="0" applyNumberFormat="0" applyBorder="0" applyAlignment="0" applyProtection="0"/>
    <xf numFmtId="349" fontId="61" fillId="26" borderId="0" applyNumberFormat="0" applyBorder="0" applyAlignment="0" applyProtection="0"/>
    <xf numFmtId="349" fontId="61" fillId="119" borderId="0" applyNumberFormat="0" applyBorder="0" applyAlignment="0" applyProtection="0"/>
    <xf numFmtId="349" fontId="61" fillId="119"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23" borderId="0" applyNumberFormat="0" applyBorder="0" applyAlignment="0" applyProtection="0"/>
    <xf numFmtId="349" fontId="61" fillId="23" borderId="0" applyNumberFormat="0" applyBorder="0" applyAlignment="0" applyProtection="0"/>
    <xf numFmtId="349" fontId="13" fillId="65" borderId="0" applyNumberFormat="0" applyBorder="0" applyAlignment="0" applyProtection="0"/>
    <xf numFmtId="349" fontId="13" fillId="12" borderId="0" applyNumberFormat="0" applyBorder="0" applyAlignment="0" applyProtection="0"/>
    <xf numFmtId="349" fontId="14" fillId="121" borderId="0" applyNumberFormat="0" applyBorder="0" applyAlignment="0" applyProtection="0"/>
    <xf numFmtId="349" fontId="14" fillId="66" borderId="0" applyNumberFormat="0" applyBorder="0" applyAlignment="0" applyProtection="0"/>
    <xf numFmtId="349" fontId="14" fillId="66" borderId="0" applyNumberFormat="0" applyBorder="0" applyAlignment="0" applyProtection="0"/>
    <xf numFmtId="349" fontId="13" fillId="68" borderId="0" applyNumberFormat="0" applyBorder="0" applyAlignment="0" applyProtection="0"/>
    <xf numFmtId="349" fontId="13" fillId="11" borderId="0" applyNumberFormat="0" applyBorder="0" applyAlignment="0" applyProtection="0"/>
    <xf numFmtId="349" fontId="14" fillId="8" borderId="0" applyNumberFormat="0" applyBorder="0" applyAlignment="0" applyProtection="0"/>
    <xf numFmtId="349" fontId="14" fillId="69" borderId="0" applyNumberFormat="0" applyBorder="0" applyAlignment="0" applyProtection="0"/>
    <xf numFmtId="349" fontId="14" fillId="69" borderId="0" applyNumberFormat="0" applyBorder="0" applyAlignment="0" applyProtection="0"/>
    <xf numFmtId="349" fontId="13" fillId="70" borderId="0" applyNumberFormat="0" applyBorder="0" applyAlignment="0" applyProtection="0"/>
    <xf numFmtId="349" fontId="13" fillId="71" borderId="0" applyNumberFormat="0" applyBorder="0" applyAlignment="0" applyProtection="0"/>
    <xf numFmtId="349" fontId="14" fillId="122" borderId="0" applyNumberFormat="0" applyBorder="0" applyAlignment="0" applyProtection="0"/>
    <xf numFmtId="349" fontId="14" fillId="123" borderId="0" applyNumberFormat="0" applyBorder="0" applyAlignment="0" applyProtection="0"/>
    <xf numFmtId="349" fontId="14" fillId="123" borderId="0" applyNumberFormat="0" applyBorder="0" applyAlignment="0" applyProtection="0"/>
    <xf numFmtId="349" fontId="13" fillId="68" borderId="0" applyNumberFormat="0" applyBorder="0" applyAlignment="0" applyProtection="0"/>
    <xf numFmtId="349" fontId="13" fillId="9" borderId="0" applyNumberFormat="0" applyBorder="0" applyAlignment="0" applyProtection="0"/>
    <xf numFmtId="349" fontId="14" fillId="11" borderId="0" applyNumberFormat="0" applyBorder="0" applyAlignment="0" applyProtection="0"/>
    <xf numFmtId="349" fontId="14" fillId="124" borderId="0" applyNumberFormat="0" applyBorder="0" applyAlignment="0" applyProtection="0"/>
    <xf numFmtId="349" fontId="14" fillId="124" borderId="0" applyNumberFormat="0" applyBorder="0" applyAlignment="0" applyProtection="0"/>
    <xf numFmtId="349" fontId="13" fillId="10" borderId="0" applyNumberFormat="0" applyBorder="0" applyAlignment="0" applyProtection="0"/>
    <xf numFmtId="349" fontId="13" fillId="5"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3" fillId="13" borderId="0" applyNumberFormat="0" applyBorder="0" applyAlignment="0" applyProtection="0"/>
    <xf numFmtId="349" fontId="13" fillId="14" borderId="0" applyNumberFormat="0" applyBorder="0" applyAlignment="0" applyProtection="0"/>
    <xf numFmtId="349" fontId="14" fillId="125" borderId="0" applyNumberFormat="0" applyBorder="0" applyAlignment="0" applyProtection="0"/>
    <xf numFmtId="349" fontId="14" fillId="126" borderId="0" applyNumberFormat="0" applyBorder="0" applyAlignment="0" applyProtection="0"/>
    <xf numFmtId="349" fontId="14" fillId="126" borderId="0" applyNumberFormat="0" applyBorder="0" applyAlignment="0" applyProtection="0"/>
    <xf numFmtId="349" fontId="253" fillId="13" borderId="0" applyNumberFormat="0" applyBorder="0" applyAlignment="0" applyProtection="0"/>
    <xf numFmtId="349" fontId="253" fillId="13" borderId="0" applyNumberFormat="0" applyBorder="0" applyAlignment="0" applyProtection="0"/>
    <xf numFmtId="349" fontId="254" fillId="127" borderId="107" applyNumberFormat="0" applyAlignment="0" applyProtection="0"/>
    <xf numFmtId="349" fontId="254" fillId="127" borderId="107" applyNumberFormat="0" applyAlignment="0" applyProtection="0"/>
    <xf numFmtId="349" fontId="90" fillId="124" borderId="15" applyNumberFormat="0" applyAlignment="0" applyProtection="0"/>
    <xf numFmtId="349" fontId="90" fillId="124" borderId="15" applyNumberFormat="0" applyAlignment="0" applyProtection="0"/>
    <xf numFmtId="37" fontId="64" fillId="0" borderId="88">
      <alignment horizontal="center"/>
    </xf>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15" fillId="128" borderId="0" applyNumberFormat="0" applyBorder="0" applyAlignment="0" applyProtection="0"/>
    <xf numFmtId="349" fontId="15" fillId="129" borderId="0" applyNumberFormat="0" applyBorder="0" applyAlignment="0" applyProtection="0"/>
    <xf numFmtId="349" fontId="15" fillId="17" borderId="0" applyNumberFormat="0" applyBorder="0" applyAlignment="0" applyProtection="0"/>
    <xf numFmtId="349" fontId="49" fillId="0" borderId="0" applyFont="0" applyFill="0" applyBorder="0" applyAlignment="0" applyProtection="0"/>
    <xf numFmtId="349" fontId="255" fillId="0" borderId="0" applyNumberFormat="0" applyFill="0" applyBorder="0" applyAlignment="0" applyProtection="0"/>
    <xf numFmtId="349" fontId="255" fillId="0" borderId="0" applyNumberFormat="0" applyFill="0" applyBorder="0" applyAlignment="0" applyProtection="0"/>
    <xf numFmtId="349" fontId="13" fillId="71" borderId="0" applyNumberFormat="0" applyBorder="0" applyAlignment="0" applyProtection="0"/>
    <xf numFmtId="349" fontId="13" fillId="71" borderId="0" applyNumberForma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122" fillId="0" borderId="29" applyNumberFormat="0" applyFill="0" applyAlignment="0" applyProtection="0"/>
    <xf numFmtId="349" fontId="122" fillId="0" borderId="29" applyNumberFormat="0" applyFill="0" applyAlignment="0" applyProtection="0"/>
    <xf numFmtId="349" fontId="125" fillId="0" borderId="108" applyNumberFormat="0" applyFill="0" applyAlignment="0" applyProtection="0"/>
    <xf numFmtId="349" fontId="125" fillId="0" borderId="108" applyNumberFormat="0" applyFill="0" applyAlignment="0" applyProtection="0"/>
    <xf numFmtId="349" fontId="128" fillId="0" borderId="109" applyNumberFormat="0" applyFill="0" applyAlignment="0" applyProtection="0"/>
    <xf numFmtId="349" fontId="128" fillId="0" borderId="109" applyNumberFormat="0" applyFill="0" applyAlignment="0" applyProtection="0"/>
    <xf numFmtId="349" fontId="128" fillId="0" borderId="0" applyNumberFormat="0" applyFill="0" applyBorder="0" applyAlignment="0" applyProtection="0"/>
    <xf numFmtId="349" fontId="128" fillId="0" borderId="0" applyNumberFormat="0" applyFill="0" applyBorder="0" applyAlignment="0" applyProtection="0"/>
    <xf numFmtId="349" fontId="142" fillId="14" borderId="107" applyNumberFormat="0" applyAlignment="0" applyProtection="0"/>
    <xf numFmtId="349" fontId="142" fillId="14" borderId="107" applyNumberFormat="0" applyAlignment="0" applyProtection="0"/>
    <xf numFmtId="349" fontId="145" fillId="34" borderId="0"/>
    <xf numFmtId="349" fontId="118" fillId="0" borderId="110" applyNumberFormat="0" applyFill="0" applyAlignment="0" applyProtection="0"/>
    <xf numFmtId="349" fontId="118" fillId="0" borderId="110" applyNumberFormat="0" applyFill="0" applyAlignment="0" applyProtection="0"/>
    <xf numFmtId="349" fontId="118" fillId="14" borderId="0" applyNumberFormat="0" applyBorder="0" applyAlignment="0" applyProtection="0"/>
    <xf numFmtId="349" fontId="118" fillId="14" borderId="0" applyNumberFormat="0" applyBorder="0" applyAlignment="0" applyProtection="0"/>
    <xf numFmtId="349" fontId="24" fillId="0" borderId="0"/>
    <xf numFmtId="349" fontId="24" fillId="0" borderId="0"/>
    <xf numFmtId="349" fontId="24" fillId="0" borderId="0"/>
    <xf numFmtId="349" fontId="24" fillId="0" borderId="0"/>
    <xf numFmtId="349" fontId="24" fillId="0" borderId="0"/>
    <xf numFmtId="349" fontId="9" fillId="0" borderId="0"/>
    <xf numFmtId="349" fontId="9" fillId="0" borderId="0"/>
    <xf numFmtId="349" fontId="9" fillId="0" borderId="0"/>
    <xf numFmtId="349" fontId="9" fillId="0" borderId="0"/>
    <xf numFmtId="0" fontId="7"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xf numFmtId="349" fontId="13" fillId="0" borderId="0" applyFill="0" applyBorder="0" applyAlignment="0" applyProtection="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7"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28" fillId="0" borderId="0"/>
    <xf numFmtId="349" fontId="6" fillId="0" borderId="0"/>
    <xf numFmtId="349" fontId="9"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6" fillId="0" borderId="0"/>
    <xf numFmtId="349" fontId="6" fillId="0" borderId="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13" fillId="0" borderId="0" applyFill="0" applyBorder="0" applyAlignment="0" applyProtection="0"/>
    <xf numFmtId="349" fontId="24"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2" fillId="0" borderId="0">
      <alignment vertical="top"/>
    </xf>
    <xf numFmtId="349" fontId="106" fillId="0" borderId="0" applyFill="0" applyBorder="0">
      <protection locked="0"/>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330" fontId="24" fillId="90" borderId="26">
      <alignment vertical="center"/>
    </xf>
    <xf numFmtId="172" fontId="24" fillId="90" borderId="26">
      <alignment vertical="center"/>
    </xf>
    <xf numFmtId="172"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176" fontId="24" fillId="90" borderId="26">
      <alignment vertical="center"/>
    </xf>
    <xf numFmtId="176" fontId="24" fillId="90" borderId="26">
      <alignment vertical="center"/>
    </xf>
    <xf numFmtId="330" fontId="24" fillId="90" borderId="26">
      <alignment vertical="center"/>
    </xf>
    <xf numFmtId="349" fontId="197" fillId="0" borderId="0"/>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30"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9" borderId="26">
      <alignment horizontal="right" vertical="center"/>
      <protection locked="0"/>
    </xf>
    <xf numFmtId="349" fontId="24" fillId="39" borderId="26">
      <alignment horizontal="right" vertical="center"/>
      <protection locked="0"/>
    </xf>
    <xf numFmtId="330" fontId="24" fillId="39" borderId="26">
      <alignment horizontal="right" vertical="center"/>
      <protection locked="0"/>
    </xf>
    <xf numFmtId="330" fontId="24" fillId="39" borderId="26">
      <alignment horizontal="right" vertical="center"/>
      <protection locked="0"/>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3" borderId="49" applyNumberFormat="0">
      <protection locked="0"/>
    </xf>
    <xf numFmtId="349" fontId="9" fillId="33" borderId="26"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93" fillId="31" borderId="114" applyBorder="0"/>
    <xf numFmtId="4" fontId="258" fillId="34" borderId="112" applyNumberFormat="0" applyProtection="0">
      <alignment vertical="center"/>
    </xf>
    <xf numFmtId="4" fontId="256" fillId="36" borderId="26"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49" fontId="53" fillId="109" borderId="26"/>
    <xf numFmtId="4" fontId="260" fillId="33" borderId="107" applyNumberFormat="0" applyProtection="0">
      <alignment horizontal="right" vertical="center"/>
    </xf>
    <xf numFmtId="349" fontId="23" fillId="0" borderId="0" applyNumberFormat="0" applyFill="0" applyBorder="0" applyAlignment="0" applyProtection="0"/>
    <xf numFmtId="349" fontId="9" fillId="0" borderId="0" applyFont="0" applyFill="0" applyBorder="0" applyAlignment="0" applyProtection="0"/>
    <xf numFmtId="37" fontId="64" fillId="0" borderId="115" applyNumberFormat="0"/>
    <xf numFmtId="349" fontId="225" fillId="0" borderId="54" applyNumberFormat="0" applyAlignment="0" applyProtection="0"/>
    <xf numFmtId="349" fontId="23" fillId="0" borderId="0" applyNumberFormat="0" applyFill="0" applyBorder="0" applyAlignment="0" applyProtection="0"/>
    <xf numFmtId="349" fontId="23" fillId="0" borderId="0" applyNumberFormat="0" applyFill="0" applyBorder="0" applyAlignment="0" applyProtection="0"/>
    <xf numFmtId="214" fontId="64" fillId="0" borderId="28" applyFill="0"/>
    <xf numFmtId="349" fontId="15" fillId="0" borderId="116" applyNumberFormat="0" applyFill="0" applyAlignment="0" applyProtection="0"/>
    <xf numFmtId="349" fontId="15" fillId="0" borderId="116" applyNumberFormat="0" applyFill="0" applyAlignment="0" applyProtection="0"/>
    <xf numFmtId="349" fontId="261" fillId="0" borderId="0" applyNumberFormat="0" applyFill="0" applyBorder="0" applyAlignment="0" applyProtection="0"/>
    <xf numFmtId="349" fontId="261" fillId="0" borderId="0" applyNumberFormat="0" applyFill="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0" fontId="12" fillId="0" borderId="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2" fontId="7" fillId="101" borderId="26">
      <alignment vertical="center"/>
    </xf>
    <xf numFmtId="176" fontId="7" fillId="101" borderId="26">
      <alignment vertical="center"/>
    </xf>
    <xf numFmtId="330" fontId="7" fillId="101" borderId="26">
      <alignment vertical="center"/>
    </xf>
    <xf numFmtId="330" fontId="7" fillId="43" borderId="26">
      <alignment vertical="center"/>
    </xf>
    <xf numFmtId="330" fontId="7" fillId="44" borderId="26">
      <alignment horizontal="right" vertical="center"/>
      <protection locked="0"/>
    </xf>
    <xf numFmtId="0" fontId="12" fillId="0" borderId="0"/>
    <xf numFmtId="0" fontId="12" fillId="0" borderId="0"/>
    <xf numFmtId="0" fontId="12" fillId="0" borderId="0"/>
    <xf numFmtId="0" fontId="12" fillId="0" borderId="0"/>
    <xf numFmtId="0" fontId="12" fillId="0" borderId="0"/>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214" fontId="64" fillId="0" borderId="28" applyFill="0"/>
    <xf numFmtId="0" fontId="12" fillId="0" borderId="0"/>
    <xf numFmtId="0" fontId="12" fillId="0" borderId="0"/>
    <xf numFmtId="169" fontId="7" fillId="0" borderId="0" applyFont="0" applyFill="0" applyBorder="0" applyAlignment="0" applyProtection="0"/>
    <xf numFmtId="0" fontId="12"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214" fontId="64" fillId="0" borderId="28" applyFill="0"/>
    <xf numFmtId="349" fontId="28"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8" fillId="0" borderId="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07" applyNumberFormat="0" applyProtection="0">
      <alignment horizontal="left" vertical="center" indent="1"/>
    </xf>
    <xf numFmtId="214" fontId="64" fillId="0" borderId="28" applyFill="0"/>
    <xf numFmtId="349" fontId="254" fillId="127" borderId="107" applyNumberFormat="0" applyAlignment="0" applyProtection="0"/>
    <xf numFmtId="349" fontId="254" fillId="127" borderId="107" applyNumberForma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169" fontId="7" fillId="0" borderId="0" applyFont="0" applyFill="0" applyBorder="0" applyAlignment="0" applyProtection="0"/>
    <xf numFmtId="349" fontId="53" fillId="30" borderId="112" applyNumberFormat="0" applyProtection="0">
      <alignment horizontal="left" vertical="top" indent="1"/>
    </xf>
    <xf numFmtId="169" fontId="6" fillId="0" borderId="0" applyFont="0" applyFill="0" applyBorder="0" applyAlignment="0" applyProtection="0"/>
    <xf numFmtId="349" fontId="93" fillId="31" borderId="114" applyBorder="0"/>
    <xf numFmtId="4" fontId="53" fillId="24" borderId="107" applyNumberFormat="0" applyProtection="0">
      <alignment horizontal="right" vertical="center"/>
    </xf>
    <xf numFmtId="349" fontId="53" fillId="13" borderId="107" applyNumberFormat="0" applyFont="0" applyAlignment="0" applyProtection="0"/>
    <xf numFmtId="4" fontId="53" fillId="19" borderId="113" applyNumberFormat="0" applyProtection="0">
      <alignment horizontal="left" vertical="center" indent="1"/>
    </xf>
    <xf numFmtId="4" fontId="53" fillId="25" borderId="107" applyNumberFormat="0" applyProtection="0">
      <alignment horizontal="right" vertical="center"/>
    </xf>
    <xf numFmtId="349" fontId="53" fillId="61" borderId="107" applyNumberFormat="0" applyProtection="0">
      <alignment horizontal="left" vertical="center" indent="1"/>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34" borderId="112" applyNumberFormat="0" applyProtection="0">
      <alignment vertical="center"/>
    </xf>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214" fontId="64" fillId="0" borderId="28" applyFill="0"/>
    <xf numFmtId="349" fontId="53" fillId="83" borderId="107" applyNumberFormat="0" applyProtection="0">
      <alignment horizontal="left" vertical="center" indent="1"/>
    </xf>
    <xf numFmtId="4" fontId="53" fillId="23" borderId="107" applyNumberFormat="0" applyProtection="0">
      <alignment horizontal="right" vertical="center"/>
    </xf>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169" fontId="13" fillId="0" borderId="0" applyFont="0" applyFill="0" applyBorder="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1" borderId="112" applyNumberFormat="0" applyProtection="0">
      <alignment horizontal="left" vertical="top" indent="1"/>
    </xf>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4" fontId="53" fillId="26" borderId="107" applyNumberFormat="0" applyProtection="0">
      <alignment horizontal="right" vertical="center"/>
    </xf>
    <xf numFmtId="214" fontId="64" fillId="0" borderId="28" applyFill="0"/>
    <xf numFmtId="349" fontId="53" fillId="83" borderId="107" applyNumberFormat="0" applyProtection="0">
      <alignment horizontal="left" vertical="center" indent="1"/>
    </xf>
    <xf numFmtId="4" fontId="53" fillId="24" borderId="107" applyNumberFormat="0" applyProtection="0">
      <alignment horizontal="right" vertical="center"/>
    </xf>
    <xf numFmtId="4" fontId="53" fillId="2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53" fillId="61" borderId="107" applyNumberFormat="0" applyProtection="0">
      <alignment horizontal="left" vertical="center" indent="1"/>
    </xf>
    <xf numFmtId="4" fontId="53" fillId="19" borderId="107" applyNumberFormat="0" applyProtection="0">
      <alignment horizontal="right" vertical="center"/>
    </xf>
    <xf numFmtId="4" fontId="53" fillId="28" borderId="107" applyNumberFormat="0" applyProtection="0">
      <alignment horizontal="right" vertical="center"/>
    </xf>
    <xf numFmtId="4" fontId="53" fillId="27"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61" borderId="112" applyNumberFormat="0" applyProtection="0">
      <alignment horizontal="left" vertical="center" indent="1"/>
    </xf>
    <xf numFmtId="214" fontId="64" fillId="0" borderId="28" applyFill="0"/>
    <xf numFmtId="349" fontId="53" fillId="30" borderId="112" applyNumberFormat="0" applyProtection="0">
      <alignment horizontal="left" vertical="top" indent="1"/>
    </xf>
    <xf numFmtId="349" fontId="258"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7" borderId="107" applyNumberFormat="0" applyProtection="0">
      <alignment horizontal="right" vertical="center"/>
    </xf>
    <xf numFmtId="349" fontId="53" fillId="19" borderId="112" applyNumberFormat="0" applyProtection="0">
      <alignment horizontal="left" vertical="top" indent="1"/>
    </xf>
    <xf numFmtId="169" fontId="12" fillId="0" borderId="0" applyFont="0" applyFill="0" applyBorder="0" applyAlignment="0" applyProtection="0"/>
    <xf numFmtId="349" fontId="53" fillId="19"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53" fillId="32" borderId="112" applyNumberFormat="0" applyProtection="0">
      <alignment horizontal="left" vertical="top" indent="1"/>
    </xf>
    <xf numFmtId="349" fontId="15" fillId="0" borderId="116" applyNumberFormat="0" applyFill="0" applyAlignment="0" applyProtection="0"/>
    <xf numFmtId="349" fontId="15" fillId="0" borderId="116" applyNumberFormat="0" applyFill="0" applyAlignment="0" applyProtection="0"/>
    <xf numFmtId="4" fontId="53" fillId="28" borderId="107" applyNumberFormat="0" applyProtection="0">
      <alignment horizontal="right" vertical="center"/>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257" fillId="18" borderId="112" applyNumberFormat="0" applyProtection="0">
      <alignment horizontal="left" vertical="top" indent="1"/>
    </xf>
    <xf numFmtId="349" fontId="53" fillId="13" borderId="107" applyNumberFormat="0" applyFont="0" applyAlignment="0" applyProtection="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4" fontId="53" fillId="25"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7" borderId="107" applyNumberFormat="0" applyProtection="0">
      <alignment horizontal="right" vertical="center"/>
    </xf>
    <xf numFmtId="4" fontId="53" fillId="25" borderId="107" applyNumberFormat="0" applyProtection="0">
      <alignment horizontal="right" vertical="center"/>
    </xf>
    <xf numFmtId="349" fontId="184" fillId="127" borderId="111" applyNumberFormat="0" applyAlignment="0" applyProtection="0"/>
    <xf numFmtId="349" fontId="53" fillId="61" borderId="107" applyNumberFormat="0" applyProtection="0">
      <alignment horizontal="left" vertical="center" indent="1"/>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18" borderId="107" applyNumberFormat="0" applyProtection="0">
      <alignment vertical="center"/>
    </xf>
    <xf numFmtId="4" fontId="53" fillId="24" borderId="107" applyNumberFormat="0" applyProtection="0">
      <alignment horizontal="right" vertical="center"/>
    </xf>
    <xf numFmtId="4" fontId="256" fillId="45" borderId="107" applyNumberFormat="0" applyProtection="0">
      <alignment vertical="center"/>
    </xf>
    <xf numFmtId="169" fontId="12" fillId="0" borderId="0" applyFont="0" applyFill="0" applyBorder="0" applyAlignment="0" applyProtection="0"/>
    <xf numFmtId="349" fontId="142" fillId="14" borderId="107" applyNumberFormat="0" applyAlignment="0" applyProtection="0"/>
    <xf numFmtId="349" fontId="53" fillId="61"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4" fontId="256" fillId="45" borderId="107" applyNumberFormat="0" applyProtection="0">
      <alignment vertical="center"/>
    </xf>
    <xf numFmtId="169" fontId="12" fillId="0" borderId="0" applyFont="0" applyFill="0" applyBorder="0" applyAlignment="0" applyProtection="0"/>
    <xf numFmtId="4" fontId="53" fillId="19" borderId="107" applyNumberFormat="0" applyProtection="0">
      <alignment horizontal="right" vertical="center"/>
    </xf>
    <xf numFmtId="4" fontId="53" fillId="18" borderId="107" applyNumberFormat="0" applyProtection="0">
      <alignment vertical="center"/>
    </xf>
    <xf numFmtId="4" fontId="53" fillId="18" borderId="107" applyNumberFormat="0" applyProtection="0">
      <alignment vertical="center"/>
    </xf>
    <xf numFmtId="4" fontId="53" fillId="19" borderId="107" applyNumberFormat="0" applyProtection="0">
      <alignment horizontal="right" vertical="center"/>
    </xf>
    <xf numFmtId="4" fontId="53" fillId="23"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349" fontId="53" fillId="32" borderId="107" applyNumberFormat="0" applyProtection="0">
      <alignment horizontal="left" vertical="center" indent="1"/>
    </xf>
    <xf numFmtId="349" fontId="53" fillId="13" borderId="107" applyNumberFormat="0" applyFont="0" applyAlignment="0" applyProtection="0"/>
    <xf numFmtId="349" fontId="93" fillId="31" borderId="114" applyBorder="0"/>
    <xf numFmtId="349" fontId="15" fillId="0" borderId="116" applyNumberFormat="0" applyFill="0" applyAlignment="0" applyProtection="0"/>
    <xf numFmtId="169" fontId="12" fillId="0" borderId="0" applyFont="0" applyFill="0" applyBorder="0" applyAlignment="0" applyProtection="0"/>
    <xf numFmtId="349" fontId="254" fillId="127" borderId="107" applyNumberFormat="0" applyAlignment="0" applyProtection="0"/>
    <xf numFmtId="4" fontId="53" fillId="24" borderId="107" applyNumberFormat="0" applyProtection="0">
      <alignment horizontal="right" vertical="center"/>
    </xf>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258" fillId="19"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4" fontId="256" fillId="45" borderId="107" applyNumberFormat="0" applyProtection="0">
      <alignment vertical="center"/>
    </xf>
    <xf numFmtId="349" fontId="53" fillId="83" borderId="107" applyNumberFormat="0" applyProtection="0">
      <alignment horizontal="left" vertical="center" indent="1"/>
    </xf>
    <xf numFmtId="37" fontId="64" fillId="0" borderId="115" applyNumberFormat="0"/>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130" borderId="107" applyNumberFormat="0" applyProtection="0">
      <alignment horizontal="right" vertical="center"/>
    </xf>
    <xf numFmtId="4" fontId="53" fillId="64" borderId="107" applyNumberFormat="0" applyProtection="0">
      <alignment horizontal="left" vertical="center" indent="1"/>
    </xf>
    <xf numFmtId="4" fontId="256" fillId="45" borderId="107" applyNumberFormat="0" applyProtection="0">
      <alignment vertical="center"/>
    </xf>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169" fontId="12" fillId="0" borderId="0" applyFont="0" applyFill="0" applyBorder="0" applyAlignment="0" applyProtection="0"/>
    <xf numFmtId="4" fontId="53" fillId="64" borderId="107" applyNumberFormat="0" applyProtection="0">
      <alignment horizontal="left" vertical="center" indent="1"/>
    </xf>
    <xf numFmtId="4" fontId="258" fillId="61" borderId="112" applyNumberFormat="0" applyProtection="0">
      <alignment horizontal="left" vertical="center" indent="1"/>
    </xf>
    <xf numFmtId="4" fontId="53" fillId="26" borderId="107" applyNumberFormat="0" applyProtection="0">
      <alignment horizontal="right" vertical="center"/>
    </xf>
    <xf numFmtId="4" fontId="53" fillId="24" borderId="107" applyNumberFormat="0" applyProtection="0">
      <alignment horizontal="right" vertical="center"/>
    </xf>
    <xf numFmtId="349" fontId="254" fillId="127" borderId="107" applyNumberFormat="0" applyAlignment="0" applyProtection="0"/>
    <xf numFmtId="169" fontId="12" fillId="0" borderId="0" applyFont="0" applyFill="0" applyBorder="0" applyAlignment="0" applyProtection="0"/>
    <xf numFmtId="169" fontId="12" fillId="0" borderId="0" applyFont="0" applyFill="0" applyBorder="0" applyAlignment="0" applyProtection="0"/>
    <xf numFmtId="349" fontId="53" fillId="30" borderId="112" applyNumberFormat="0" applyProtection="0">
      <alignment horizontal="left" vertical="top" indent="1"/>
    </xf>
    <xf numFmtId="4" fontId="256" fillId="45" borderId="107" applyNumberFormat="0" applyProtection="0">
      <alignment vertical="center"/>
    </xf>
    <xf numFmtId="4" fontId="53" fillId="20" borderId="107" applyNumberFormat="0" applyProtection="0">
      <alignment horizontal="right" vertical="center"/>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7" borderId="107" applyNumberFormat="0" applyProtection="0">
      <alignment horizontal="right" vertical="center"/>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07" applyNumberFormat="0" applyProtection="0">
      <alignment horizontal="left" vertical="center"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184" fillId="127" borderId="111" applyNumberFormat="0" applyAlignment="0" applyProtection="0"/>
    <xf numFmtId="4" fontId="53" fillId="19" borderId="107" applyNumberFormat="0" applyProtection="0">
      <alignment horizontal="right" vertical="center"/>
    </xf>
    <xf numFmtId="169" fontId="7" fillId="0" borderId="0" applyFont="0" applyFill="0" applyBorder="0" applyAlignment="0" applyProtection="0"/>
    <xf numFmtId="4" fontId="53" fillId="23" borderId="107" applyNumberFormat="0" applyProtection="0">
      <alignment horizontal="right" vertical="center"/>
    </xf>
    <xf numFmtId="349" fontId="9" fillId="19" borderId="112" applyNumberFormat="0" applyProtection="0">
      <alignment horizontal="left" vertical="top" indent="1"/>
    </xf>
    <xf numFmtId="349" fontId="142" fillId="14" borderId="107" applyNumberFormat="0" applyAlignment="0" applyProtection="0"/>
    <xf numFmtId="349" fontId="15" fillId="0" borderId="116" applyNumberFormat="0" applyFill="0" applyAlignment="0" applyProtection="0"/>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45" borderId="107" applyNumberFormat="0" applyProtection="0">
      <alignment horizontal="left" vertical="center"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184" fillId="127" borderId="111" applyNumberFormat="0" applyAlignment="0" applyProtection="0"/>
    <xf numFmtId="4" fontId="258" fillId="34" borderId="112" applyNumberFormat="0" applyProtection="0">
      <alignment vertical="center"/>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349" fontId="53" fillId="30" borderId="107" applyNumberFormat="0" applyProtection="0">
      <alignment horizontal="left" vertical="center" indent="1"/>
    </xf>
    <xf numFmtId="4" fontId="53" fillId="20" borderId="107" applyNumberFormat="0" applyProtection="0">
      <alignment horizontal="right" vertical="center"/>
    </xf>
    <xf numFmtId="4" fontId="53" fillId="0" borderId="107" applyNumberFormat="0" applyProtection="0">
      <alignment horizontal="right" vertical="center"/>
    </xf>
    <xf numFmtId="214" fontId="64" fillId="0" borderId="28" applyFill="0"/>
    <xf numFmtId="349" fontId="53" fillId="13" borderId="107" applyNumberFormat="0" applyFont="0" applyAlignment="0" applyProtection="0"/>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3" borderId="107" applyNumberFormat="0" applyFont="0" applyAlignment="0" applyProtection="0"/>
    <xf numFmtId="4" fontId="53" fillId="24" borderId="107" applyNumberFormat="0" applyProtection="0">
      <alignment horizontal="right" vertical="center"/>
    </xf>
    <xf numFmtId="349" fontId="53" fillId="32" borderId="112" applyNumberFormat="0" applyProtection="0">
      <alignment horizontal="left" vertical="top"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254" fillId="127" borderId="107" applyNumberFormat="0" applyAlignment="0" applyProtection="0"/>
    <xf numFmtId="4" fontId="258" fillId="61" borderId="112" applyNumberFormat="0" applyProtection="0">
      <alignment horizontal="left" vertical="center" indent="1"/>
    </xf>
    <xf numFmtId="349" fontId="15" fillId="0" borderId="116" applyNumberFormat="0" applyFill="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254" fillId="127" borderId="107" applyNumberFormat="0" applyAlignment="0" applyProtection="0"/>
    <xf numFmtId="4" fontId="260" fillId="33" borderId="107" applyNumberFormat="0" applyProtection="0">
      <alignment horizontal="right" vertical="center"/>
    </xf>
    <xf numFmtId="349" fontId="93" fillId="31" borderId="114" applyBorder="0"/>
    <xf numFmtId="349" fontId="53" fillId="13" borderId="107" applyNumberFormat="0" applyFont="0" applyAlignment="0" applyProtection="0"/>
    <xf numFmtId="4" fontId="53" fillId="64" borderId="107" applyNumberFormat="0" applyProtection="0">
      <alignment horizontal="left" vertical="center"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3" borderId="107" applyNumberFormat="0" applyFont="0" applyAlignment="0" applyProtection="0"/>
    <xf numFmtId="349" fontId="184" fillId="127" borderId="111" applyNumberFormat="0" applyAlignment="0" applyProtection="0"/>
    <xf numFmtId="4" fontId="53" fillId="20" borderId="107" applyNumberFormat="0" applyProtection="0">
      <alignment horizontal="right" vertical="center"/>
    </xf>
    <xf numFmtId="349" fontId="53" fillId="31" borderId="112" applyNumberFormat="0" applyProtection="0">
      <alignment horizontal="left" vertical="top" indent="1"/>
    </xf>
    <xf numFmtId="349" fontId="93" fillId="31" borderId="114" applyBorder="0"/>
    <xf numFmtId="4" fontId="53" fillId="28"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53" fillId="26" borderId="107" applyNumberFormat="0" applyProtection="0">
      <alignment horizontal="right" vertical="center"/>
    </xf>
    <xf numFmtId="349" fontId="53" fillId="32" borderId="112" applyNumberFormat="0" applyProtection="0">
      <alignment horizontal="left" vertical="top" indent="1"/>
    </xf>
    <xf numFmtId="349" fontId="9" fillId="32" borderId="112" applyNumberFormat="0" applyProtection="0">
      <alignment horizontal="left" vertical="center" indent="1"/>
    </xf>
    <xf numFmtId="4" fontId="53" fillId="0" borderId="107" applyNumberFormat="0" applyProtection="0">
      <alignment horizontal="right" vertical="center"/>
    </xf>
    <xf numFmtId="349" fontId="53" fillId="19" borderId="112" applyNumberFormat="0" applyProtection="0">
      <alignment horizontal="left" vertical="top" indent="1"/>
    </xf>
    <xf numFmtId="349" fontId="254" fillId="127" borderId="107" applyNumberFormat="0" applyAlignment="0" applyProtection="0"/>
    <xf numFmtId="349" fontId="142" fillId="14" borderId="107" applyNumberFormat="0" applyAlignment="0" applyProtection="0"/>
    <xf numFmtId="4" fontId="53" fillId="45" borderId="107" applyNumberFormat="0" applyProtection="0">
      <alignment horizontal="left" vertical="center" indent="1"/>
    </xf>
    <xf numFmtId="4" fontId="258" fillId="61" borderId="112" applyNumberFormat="0" applyProtection="0">
      <alignment horizontal="left" vertical="center" indent="1"/>
    </xf>
    <xf numFmtId="4" fontId="53" fillId="28" borderId="107" applyNumberFormat="0" applyProtection="0">
      <alignment horizontal="right" vertical="center"/>
    </xf>
    <xf numFmtId="4" fontId="256" fillId="5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60" fillId="33"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0"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349" fontId="254" fillId="127" borderId="107" applyNumberFormat="0" applyAlignment="0" applyProtection="0"/>
    <xf numFmtId="349" fontId="258" fillId="34" borderId="112" applyNumberFormat="0" applyProtection="0">
      <alignment horizontal="left" vertical="top" indent="1"/>
    </xf>
    <xf numFmtId="349" fontId="9" fillId="30" borderId="112" applyNumberFormat="0" applyProtection="0">
      <alignment horizontal="left" vertical="center" indent="1"/>
    </xf>
    <xf numFmtId="4" fontId="260" fillId="33" borderId="107" applyNumberFormat="0" applyProtection="0">
      <alignment horizontal="right" vertical="center"/>
    </xf>
    <xf numFmtId="349" fontId="53" fillId="30" borderId="107" applyNumberFormat="0" applyProtection="0">
      <alignment horizontal="left" vertical="center" indent="1"/>
    </xf>
    <xf numFmtId="349" fontId="53" fillId="83" borderId="107" applyNumberFormat="0" applyProtection="0">
      <alignment horizontal="left" vertical="center" indent="1"/>
    </xf>
    <xf numFmtId="4" fontId="53" fillId="20" borderId="107" applyNumberFormat="0" applyProtection="0">
      <alignment horizontal="right" vertical="center"/>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13" borderId="107" applyNumberFormat="0" applyFont="0" applyAlignment="0" applyProtection="0"/>
    <xf numFmtId="4" fontId="53" fillId="23" borderId="107" applyNumberFormat="0" applyProtection="0">
      <alignment horizontal="right" vertical="center"/>
    </xf>
    <xf numFmtId="349" fontId="53" fillId="32" borderId="107" applyNumberFormat="0" applyProtection="0">
      <alignment horizontal="left" vertical="center" indent="1"/>
    </xf>
    <xf numFmtId="349" fontId="53" fillId="30" borderId="112" applyNumberFormat="0" applyProtection="0">
      <alignment horizontal="left" vertical="top" indent="1"/>
    </xf>
    <xf numFmtId="4" fontId="53" fillId="19" borderId="107" applyNumberFormat="0" applyProtection="0">
      <alignment horizontal="right" vertical="center"/>
    </xf>
    <xf numFmtId="349" fontId="258" fillId="34"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254" fillId="127" borderId="107" applyNumberFormat="0" applyAlignment="0" applyProtection="0"/>
    <xf numFmtId="349" fontId="53" fillId="31" borderId="112" applyNumberFormat="0" applyProtection="0">
      <alignment horizontal="left" vertical="top" indent="1"/>
    </xf>
    <xf numFmtId="349" fontId="53" fillId="32" borderId="112" applyNumberFormat="0" applyProtection="0">
      <alignment horizontal="left" vertical="top" indent="1"/>
    </xf>
    <xf numFmtId="4" fontId="258" fillId="34" borderId="112" applyNumberFormat="0" applyProtection="0">
      <alignment vertical="center"/>
    </xf>
    <xf numFmtId="37" fontId="64" fillId="0" borderId="115" applyNumberFormat="0"/>
    <xf numFmtId="349" fontId="53" fillId="13" borderId="107" applyNumberFormat="0" applyFont="0" applyAlignment="0" applyProtection="0"/>
    <xf numFmtId="349" fontId="53" fillId="31" borderId="112" applyNumberFormat="0" applyProtection="0">
      <alignment horizontal="left" vertical="top" indent="1"/>
    </xf>
    <xf numFmtId="4" fontId="53" fillId="20" borderId="107" applyNumberFormat="0" applyProtection="0">
      <alignment horizontal="right" vertical="center"/>
    </xf>
    <xf numFmtId="349" fontId="142" fillId="14" borderId="107" applyNumberFormat="0" applyAlignment="0" applyProtection="0"/>
    <xf numFmtId="4" fontId="256" fillId="50" borderId="107" applyNumberFormat="0" applyProtection="0">
      <alignment horizontal="right" vertical="center"/>
    </xf>
    <xf numFmtId="349" fontId="53" fillId="31" borderId="112" applyNumberFormat="0" applyProtection="0">
      <alignment horizontal="left" vertical="top" indent="1"/>
    </xf>
    <xf numFmtId="4" fontId="259" fillId="35" borderId="113"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30" borderId="113" applyNumberFormat="0" applyProtection="0">
      <alignment horizontal="left" vertical="center" indent="1"/>
    </xf>
    <xf numFmtId="349" fontId="258" fillId="34" borderId="112" applyNumberFormat="0" applyProtection="0">
      <alignment horizontal="left" vertical="top" indent="1"/>
    </xf>
    <xf numFmtId="349" fontId="53" fillId="31" borderId="112" applyNumberFormat="0" applyProtection="0">
      <alignment horizontal="left" vertical="top" indent="1"/>
    </xf>
    <xf numFmtId="4" fontId="53" fillId="18" borderId="107" applyNumberFormat="0" applyProtection="0">
      <alignment vertical="center"/>
    </xf>
    <xf numFmtId="4" fontId="53" fillId="64" borderId="107" applyNumberFormat="0" applyProtection="0">
      <alignment horizontal="left" vertical="center"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0" borderId="112" applyNumberFormat="0" applyProtection="0">
      <alignment horizontal="left" vertical="top" indent="1"/>
    </xf>
    <xf numFmtId="4" fontId="258" fillId="61" borderId="112"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7" fontId="64" fillId="0" borderId="115" applyNumberFormat="0"/>
    <xf numFmtId="349" fontId="15" fillId="0" borderId="116" applyNumberFormat="0" applyFill="0" applyAlignment="0" applyProtection="0"/>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23" borderId="107" applyNumberFormat="0" applyProtection="0">
      <alignment horizontal="right" vertical="center"/>
    </xf>
    <xf numFmtId="349" fontId="53" fillId="83"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30" borderId="107" applyNumberFormat="0" applyProtection="0">
      <alignment horizontal="left" vertical="center" indent="1"/>
    </xf>
    <xf numFmtId="214" fontId="64" fillId="0" borderId="28" applyFill="0"/>
    <xf numFmtId="4" fontId="258" fillId="34" borderId="112" applyNumberFormat="0" applyProtection="0">
      <alignment vertical="center"/>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18" borderId="107" applyNumberFormat="0" applyProtection="0">
      <alignmen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9" fillId="30" borderId="112" applyNumberFormat="0" applyProtection="0">
      <alignment horizontal="left" vertical="center" indent="1"/>
    </xf>
    <xf numFmtId="349" fontId="254" fillId="127" borderId="107" applyNumberFormat="0" applyAlignment="0" applyProtection="0"/>
    <xf numFmtId="349" fontId="53" fillId="30" borderId="107" applyNumberFormat="0" applyProtection="0">
      <alignment horizontal="left" vertical="center" indent="1"/>
    </xf>
    <xf numFmtId="349" fontId="53" fillId="32" borderId="112" applyNumberFormat="0" applyProtection="0">
      <alignment horizontal="left" vertical="top" indent="1"/>
    </xf>
    <xf numFmtId="37" fontId="64" fillId="0" borderId="115" applyNumberFormat="0"/>
    <xf numFmtId="349" fontId="53" fillId="13" borderId="107" applyNumberFormat="0" applyFont="0" applyAlignment="0" applyProtection="0"/>
    <xf numFmtId="4" fontId="259" fillId="35" borderId="113" applyNumberFormat="0" applyProtection="0">
      <alignment horizontal="left" vertical="center" indent="1"/>
    </xf>
    <xf numFmtId="169" fontId="12" fillId="0" borderId="0" applyFont="0" applyFill="0" applyBorder="0" applyAlignment="0" applyProtection="0"/>
    <xf numFmtId="349" fontId="53" fillId="13" borderId="107" applyNumberFormat="0" applyFont="0" applyAlignment="0" applyProtection="0"/>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258" fillId="34" borderId="112" applyNumberFormat="0" applyProtection="0">
      <alignmen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top" indent="1"/>
    </xf>
    <xf numFmtId="4" fontId="53" fillId="26" borderId="107" applyNumberFormat="0" applyProtection="0">
      <alignment horizontal="righ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center" indent="1"/>
    </xf>
    <xf numFmtId="349" fontId="53" fillId="19" borderId="112" applyNumberFormat="0" applyProtection="0">
      <alignment horizontal="left" vertical="top" indent="1"/>
    </xf>
    <xf numFmtId="349" fontId="254" fillId="127" borderId="107" applyNumberFormat="0" applyAlignment="0" applyProtection="0"/>
    <xf numFmtId="4" fontId="53" fillId="24" borderId="107" applyNumberFormat="0" applyProtection="0">
      <alignment horizontal="right" vertical="center"/>
    </xf>
    <xf numFmtId="214" fontId="64" fillId="0" borderId="28" applyFill="0"/>
    <xf numFmtId="349" fontId="53" fillId="13" borderId="107" applyNumberFormat="0" applyFont="0" applyAlignment="0" applyProtection="0"/>
    <xf numFmtId="349" fontId="258" fillId="34" borderId="112" applyNumberFormat="0" applyProtection="0">
      <alignment horizontal="left" vertical="top" indent="1"/>
    </xf>
    <xf numFmtId="4" fontId="258" fillId="34" borderId="112" applyNumberFormat="0" applyProtection="0">
      <alignment vertical="center"/>
    </xf>
    <xf numFmtId="349" fontId="53" fillId="13" borderId="107" applyNumberFormat="0" applyFont="0" applyAlignment="0" applyProtection="0"/>
    <xf numFmtId="349" fontId="53" fillId="13" borderId="107" applyNumberFormat="0" applyFont="0" applyAlignment="0" applyProtection="0"/>
    <xf numFmtId="349" fontId="257" fillId="18" borderId="112" applyNumberFormat="0" applyProtection="0">
      <alignment horizontal="left" vertical="top" indent="1"/>
    </xf>
    <xf numFmtId="4" fontId="53" fillId="25" borderId="107" applyNumberFormat="0" applyProtection="0">
      <alignment horizontal="right" vertical="center"/>
    </xf>
    <xf numFmtId="4" fontId="53" fillId="19"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142" fillId="14" borderId="107" applyNumberFormat="0" applyAlignment="0" applyProtection="0"/>
    <xf numFmtId="37" fontId="64" fillId="0" borderId="115" applyNumberFormat="0"/>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29" borderId="113" applyNumberFormat="0" applyProtection="0">
      <alignment horizontal="left" vertical="center" indent="1"/>
    </xf>
    <xf numFmtId="349" fontId="142" fillId="14" borderId="107" applyNumberFormat="0" applyAlignment="0" applyProtection="0"/>
    <xf numFmtId="4" fontId="256" fillId="50" borderId="107" applyNumberFormat="0" applyProtection="0">
      <alignment horizontal="right" vertical="center"/>
    </xf>
    <xf numFmtId="4" fontId="258" fillId="34" borderId="112" applyNumberFormat="0" applyProtection="0">
      <alignment vertical="center"/>
    </xf>
    <xf numFmtId="349" fontId="53" fillId="30" borderId="112" applyNumberFormat="0" applyProtection="0">
      <alignment horizontal="left" vertical="top" indent="1"/>
    </xf>
    <xf numFmtId="4" fontId="258" fillId="61" borderId="112" applyNumberFormat="0" applyProtection="0">
      <alignment horizontal="left" vertical="center" indent="1"/>
    </xf>
    <xf numFmtId="349" fontId="9" fillId="30" borderId="112" applyNumberFormat="0" applyProtection="0">
      <alignment horizontal="left" vertical="center" indent="1"/>
    </xf>
    <xf numFmtId="4" fontId="53" fillId="64" borderId="107" applyNumberFormat="0" applyProtection="0">
      <alignment horizontal="left" vertical="center" indent="1"/>
    </xf>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4" fontId="53" fillId="27" borderId="107" applyNumberFormat="0" applyProtection="0">
      <alignment horizontal="right" vertical="center"/>
    </xf>
    <xf numFmtId="4" fontId="53" fillId="30" borderId="113" applyNumberFormat="0" applyProtection="0">
      <alignment horizontal="left" vertical="center" indent="1"/>
    </xf>
    <xf numFmtId="4" fontId="53" fillId="64" borderId="107" applyNumberFormat="0" applyProtection="0">
      <alignment horizontal="left" vertical="center" indent="1"/>
    </xf>
    <xf numFmtId="4" fontId="53" fillId="27" borderId="107" applyNumberFormat="0" applyProtection="0">
      <alignment horizontal="right" vertical="center"/>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5"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169" fontId="12" fillId="0" borderId="0" applyFont="0" applyFill="0" applyBorder="0" applyAlignment="0" applyProtection="0"/>
    <xf numFmtId="4" fontId="53" fillId="23"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4" fontId="53" fillId="18" borderId="107" applyNumberFormat="0" applyProtection="0">
      <alignment vertical="center"/>
    </xf>
    <xf numFmtId="4" fontId="256" fillId="45" borderId="107" applyNumberFormat="0" applyProtection="0">
      <alignment vertical="center"/>
    </xf>
    <xf numFmtId="4" fontId="53" fillId="25" borderId="107" applyNumberFormat="0" applyProtection="0">
      <alignment horizontal="right" vertical="center"/>
    </xf>
    <xf numFmtId="4" fontId="53" fillId="29" borderId="113" applyNumberFormat="0" applyProtection="0">
      <alignment horizontal="left" vertical="center" indent="1"/>
    </xf>
    <xf numFmtId="4" fontId="53" fillId="130"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214" fontId="64" fillId="0" borderId="28" applyFill="0"/>
    <xf numFmtId="349" fontId="53" fillId="32" borderId="112" applyNumberFormat="0" applyProtection="0">
      <alignment horizontal="left" vertical="top" indent="1"/>
    </xf>
    <xf numFmtId="4" fontId="53" fillId="19"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184" fillId="127" borderId="111" applyNumberFormat="0" applyAlignment="0" applyProtection="0"/>
    <xf numFmtId="349" fontId="53" fillId="61" borderId="107"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27" borderId="107" applyNumberFormat="0" applyProtection="0">
      <alignment horizontal="right" vertical="center"/>
    </xf>
    <xf numFmtId="349" fontId="257" fillId="18" borderId="112" applyNumberFormat="0" applyProtection="0">
      <alignment horizontal="left" vertical="top"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4" fontId="9" fillId="31" borderId="113" applyNumberFormat="0" applyProtection="0">
      <alignment horizontal="left" vertical="center" indent="1"/>
    </xf>
    <xf numFmtId="4" fontId="53" fillId="25" borderId="107" applyNumberFormat="0" applyProtection="0">
      <alignment horizontal="right" vertical="center"/>
    </xf>
    <xf numFmtId="4" fontId="53" fillId="23"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15" fillId="0" borderId="116" applyNumberFormat="0" applyFill="0" applyAlignment="0" applyProtection="0"/>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214" fontId="64" fillId="0" borderId="28" applyFill="0"/>
    <xf numFmtId="349" fontId="53" fillId="30"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9" fillId="32" borderId="112" applyNumberFormat="0" applyProtection="0">
      <alignment horizontal="left" vertical="top" indent="1"/>
    </xf>
    <xf numFmtId="349" fontId="142" fillId="14" borderId="107" applyNumberFormat="0" applyAlignment="0" applyProtection="0"/>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7" borderId="107" applyNumberFormat="0" applyProtection="0">
      <alignment horizontal="right" vertical="center"/>
    </xf>
    <xf numFmtId="4" fontId="53" fillId="20"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4" fontId="53" fillId="130" borderId="107" applyNumberFormat="0" applyProtection="0">
      <alignment horizontal="right" vertical="center"/>
    </xf>
    <xf numFmtId="349" fontId="53" fillId="30" borderId="112" applyNumberFormat="0" applyProtection="0">
      <alignment horizontal="left" vertical="top" indent="1"/>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53" fillId="0" borderId="107" applyNumberFormat="0" applyProtection="0">
      <alignment horizontal="right" vertical="center"/>
    </xf>
    <xf numFmtId="349" fontId="9" fillId="32" borderId="112" applyNumberFormat="0" applyProtection="0">
      <alignment horizontal="left" vertical="top" indent="1"/>
    </xf>
    <xf numFmtId="37" fontId="64" fillId="0" borderId="115" applyNumberFormat="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2" borderId="113" applyNumberFormat="0" applyProtection="0">
      <alignment horizontal="right" vertical="center"/>
    </xf>
    <xf numFmtId="349" fontId="254" fillId="127" borderId="107" applyNumberFormat="0" applyAlignment="0" applyProtection="0"/>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0" borderId="107" applyNumberFormat="0" applyProtection="0">
      <alignment horizontal="right" vertical="center"/>
    </xf>
    <xf numFmtId="349" fontId="53" fillId="13" borderId="107" applyNumberFormat="0" applyFont="0" applyAlignment="0" applyProtection="0"/>
    <xf numFmtId="4" fontId="53" fillId="23" borderId="107" applyNumberFormat="0" applyProtection="0">
      <alignment horizontal="right" vertical="center"/>
    </xf>
    <xf numFmtId="4" fontId="53" fillId="23" borderId="107" applyNumberFormat="0" applyProtection="0">
      <alignment horizontal="right" vertical="center"/>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20" borderId="107" applyNumberFormat="0" applyProtection="0">
      <alignment horizontal="right" vertical="center"/>
    </xf>
    <xf numFmtId="349" fontId="53" fillId="30" borderId="112" applyNumberFormat="0" applyProtection="0">
      <alignment horizontal="left" vertical="top" indent="1"/>
    </xf>
    <xf numFmtId="349" fontId="53" fillId="31"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4" fontId="53" fillId="64" borderId="107" applyNumberFormat="0" applyProtection="0">
      <alignment horizontal="left" vertical="center" indent="1"/>
    </xf>
    <xf numFmtId="349" fontId="53" fillId="30" borderId="112" applyNumberFormat="0" applyProtection="0">
      <alignment horizontal="left" vertical="top" indent="1"/>
    </xf>
    <xf numFmtId="349" fontId="53" fillId="19"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169" fontId="12" fillId="0" borderId="0" applyFont="0" applyFill="0" applyBorder="0" applyAlignment="0" applyProtection="0"/>
    <xf numFmtId="349" fontId="257" fillId="18"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9" fillId="31" borderId="112" applyNumberFormat="0" applyProtection="0">
      <alignment horizontal="left" vertical="top" indent="1"/>
    </xf>
    <xf numFmtId="349" fontId="53" fillId="32" borderId="112" applyNumberFormat="0" applyProtection="0">
      <alignment horizontal="left" vertical="top" indent="1"/>
    </xf>
    <xf numFmtId="349" fontId="53" fillId="32" borderId="107"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130" borderId="107" applyNumberFormat="0" applyProtection="0">
      <alignment horizontal="right" vertical="center"/>
    </xf>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19" borderId="107" applyNumberFormat="0" applyProtection="0">
      <alignment horizontal="right" vertical="center"/>
    </xf>
    <xf numFmtId="4" fontId="53" fillId="130" borderId="107" applyNumberFormat="0" applyProtection="0">
      <alignment horizontal="right" vertical="center"/>
    </xf>
    <xf numFmtId="349" fontId="53" fillId="31" borderId="112" applyNumberFormat="0" applyProtection="0">
      <alignment horizontal="left" vertical="top" indent="1"/>
    </xf>
    <xf numFmtId="4" fontId="53" fillId="29" borderId="113" applyNumberFormat="0" applyProtection="0">
      <alignment horizontal="left" vertical="center" indent="1"/>
    </xf>
    <xf numFmtId="4" fontId="53" fillId="26" borderId="107" applyNumberFormat="0" applyProtection="0">
      <alignment horizontal="right" vertical="center"/>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34" borderId="112" applyNumberFormat="0" applyProtection="0">
      <alignment vertical="center"/>
    </xf>
    <xf numFmtId="4" fontId="259" fillId="35" borderId="113" applyNumberFormat="0" applyProtection="0">
      <alignment horizontal="left" vertical="center" indent="1"/>
    </xf>
    <xf numFmtId="349" fontId="53" fillId="19" borderId="112" applyNumberFormat="0" applyProtection="0">
      <alignment horizontal="left" vertical="top" indent="1"/>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23" borderId="107" applyNumberFormat="0" applyProtection="0">
      <alignment horizontal="right" vertical="center"/>
    </xf>
    <xf numFmtId="4" fontId="256" fillId="45" borderId="107" applyNumberFormat="0" applyProtection="0">
      <alignment vertical="center"/>
    </xf>
    <xf numFmtId="349" fontId="53" fillId="13" borderId="107" applyNumberFormat="0" applyFont="0" applyAlignment="0" applyProtection="0"/>
    <xf numFmtId="349" fontId="254" fillId="127" borderId="107" applyNumberFormat="0" applyAlignment="0" applyProtection="0"/>
    <xf numFmtId="4" fontId="53" fillId="130" borderId="107" applyNumberFormat="0" applyProtection="0">
      <alignment horizontal="right" vertical="center"/>
    </xf>
    <xf numFmtId="349" fontId="53" fillId="13" borderId="107" applyNumberFormat="0" applyFont="0" applyAlignment="0" applyProtection="0"/>
    <xf numFmtId="349" fontId="258" fillId="34" borderId="112" applyNumberFormat="0" applyProtection="0">
      <alignment horizontal="left" vertical="top" indent="1"/>
    </xf>
    <xf numFmtId="4" fontId="53" fillId="25" borderId="107" applyNumberFormat="0" applyProtection="0">
      <alignment horizontal="right" vertical="center"/>
    </xf>
    <xf numFmtId="4" fontId="9" fillId="31" borderId="113"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15" fillId="0" borderId="116" applyNumberFormat="0" applyFill="0" applyAlignment="0" applyProtection="0"/>
    <xf numFmtId="349" fontId="53" fillId="32" borderId="112" applyNumberFormat="0" applyProtection="0">
      <alignment horizontal="left" vertical="top" indent="1"/>
    </xf>
    <xf numFmtId="349" fontId="254" fillId="127" borderId="107" applyNumberFormat="0" applyAlignment="0" applyProtection="0"/>
    <xf numFmtId="4" fontId="53" fillId="0" borderId="107" applyNumberFormat="0" applyProtection="0">
      <alignment horizontal="right" vertical="center"/>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9" fillId="31" borderId="112" applyNumberFormat="0" applyProtection="0">
      <alignment horizontal="left" vertical="top" indent="1"/>
    </xf>
    <xf numFmtId="4" fontId="53" fillId="28" borderId="107" applyNumberFormat="0" applyProtection="0">
      <alignment horizontal="right" vertical="center"/>
    </xf>
    <xf numFmtId="349" fontId="257" fillId="18" borderId="112" applyNumberFormat="0" applyProtection="0">
      <alignment horizontal="left" vertical="top" indent="1"/>
    </xf>
    <xf numFmtId="349" fontId="93" fillId="31" borderId="114" applyBorder="0"/>
    <xf numFmtId="349" fontId="53" fillId="32" borderId="107" applyNumberFormat="0" applyProtection="0">
      <alignment horizontal="left" vertical="center" indent="1"/>
    </xf>
    <xf numFmtId="349" fontId="142" fillId="14" borderId="107" applyNumberFormat="0" applyAlignment="0" applyProtection="0"/>
    <xf numFmtId="4" fontId="258" fillId="61" borderId="112" applyNumberFormat="0" applyProtection="0">
      <alignment horizontal="left" vertical="center" indent="1"/>
    </xf>
    <xf numFmtId="349" fontId="53" fillId="13" borderId="107" applyNumberFormat="0" applyFont="0" applyAlignment="0" applyProtection="0"/>
    <xf numFmtId="349" fontId="254" fillId="127" borderId="107" applyNumberFormat="0" applyAlignment="0" applyProtection="0"/>
    <xf numFmtId="4" fontId="53" fillId="45" borderId="107" applyNumberFormat="0" applyProtection="0">
      <alignment horizontal="left" vertical="center" indent="1"/>
    </xf>
    <xf numFmtId="4" fontId="53" fillId="24" borderId="107" applyNumberFormat="0" applyProtection="0">
      <alignment horizontal="right" vertical="center"/>
    </xf>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15" fillId="0" borderId="116" applyNumberFormat="0" applyFill="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258" fillId="34" borderId="112" applyNumberFormat="0" applyProtection="0">
      <alignment horizontal="left" vertical="top" indent="1"/>
    </xf>
    <xf numFmtId="349" fontId="53" fillId="32" borderId="112" applyNumberFormat="0" applyProtection="0">
      <alignment horizontal="left" vertical="top" indent="1"/>
    </xf>
    <xf numFmtId="349" fontId="258" fillId="19" borderId="112" applyNumberFormat="0" applyProtection="0">
      <alignment horizontal="left" vertical="top" indent="1"/>
    </xf>
    <xf numFmtId="349" fontId="93" fillId="31" borderId="114" applyBorder="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214" fontId="64" fillId="0" borderId="28" applyFill="0"/>
    <xf numFmtId="4" fontId="53" fillId="28" borderId="107" applyNumberFormat="0" applyProtection="0">
      <alignment horizontal="right" vertical="center"/>
    </xf>
    <xf numFmtId="4" fontId="53" fillId="19" borderId="113" applyNumberFormat="0" applyProtection="0">
      <alignment horizontal="left" vertical="center" indent="1"/>
    </xf>
    <xf numFmtId="4" fontId="53" fillId="20" borderId="107" applyNumberFormat="0" applyProtection="0">
      <alignment horizontal="right" vertical="center"/>
    </xf>
    <xf numFmtId="4" fontId="53" fillId="28"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53" fillId="18" borderId="107" applyNumberFormat="0" applyProtection="0">
      <alignment vertical="center"/>
    </xf>
    <xf numFmtId="4" fontId="53" fillId="24" borderId="107" applyNumberFormat="0" applyProtection="0">
      <alignment horizontal="right" vertical="center"/>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4" borderId="107" applyNumberFormat="0" applyProtection="0">
      <alignment horizontal="right" vertical="center"/>
    </xf>
    <xf numFmtId="4" fontId="53" fillId="18" borderId="107" applyNumberFormat="0" applyProtection="0">
      <alignmen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53" fillId="26" borderId="107" applyNumberFormat="0" applyProtection="0">
      <alignment horizontal="right" vertical="center"/>
    </xf>
    <xf numFmtId="4" fontId="9" fillId="31" borderId="113" applyNumberFormat="0" applyProtection="0">
      <alignment horizontal="left" vertical="center" indent="1"/>
    </xf>
    <xf numFmtId="4" fontId="53" fillId="22" borderId="113" applyNumberFormat="0" applyProtection="0">
      <alignment horizontal="right" vertical="center"/>
    </xf>
    <xf numFmtId="4" fontId="53" fillId="30" borderId="113" applyNumberFormat="0" applyProtection="0">
      <alignment horizontal="left" vertical="center" indent="1"/>
    </xf>
    <xf numFmtId="349" fontId="9" fillId="31" borderId="112" applyNumberFormat="0" applyProtection="0">
      <alignment horizontal="left" vertical="center" indent="1"/>
    </xf>
    <xf numFmtId="349" fontId="53" fillId="32"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4" fontId="53" fillId="18" borderId="107" applyNumberFormat="0" applyProtection="0">
      <alignment vertical="center"/>
    </xf>
    <xf numFmtId="349" fontId="9" fillId="31" borderId="112" applyNumberFormat="0" applyProtection="0">
      <alignment horizontal="left" vertical="center" indent="1"/>
    </xf>
    <xf numFmtId="349" fontId="53" fillId="30"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45"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25" borderId="107" applyNumberFormat="0" applyProtection="0">
      <alignment horizontal="right" vertical="center"/>
    </xf>
    <xf numFmtId="349" fontId="257" fillId="18" borderId="112" applyNumberFormat="0" applyProtection="0">
      <alignment horizontal="left" vertical="top" indent="1"/>
    </xf>
    <xf numFmtId="4" fontId="53" fillId="19" borderId="107" applyNumberFormat="0" applyProtection="0">
      <alignment horizontal="right" vertical="center"/>
    </xf>
    <xf numFmtId="4" fontId="53" fillId="26" borderId="107" applyNumberFormat="0" applyProtection="0">
      <alignment horizontal="right" vertical="center"/>
    </xf>
    <xf numFmtId="4" fontId="53" fillId="24"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56" fillId="50" borderId="107" applyNumberFormat="0" applyProtection="0">
      <alignment horizontal="right" vertical="center"/>
    </xf>
    <xf numFmtId="349" fontId="15" fillId="0" borderId="116" applyNumberFormat="0" applyFill="0" applyAlignment="0" applyProtection="0"/>
    <xf numFmtId="4" fontId="258" fillId="34" borderId="112" applyNumberFormat="0" applyProtection="0">
      <alignment vertical="center"/>
    </xf>
    <xf numFmtId="349" fontId="53" fillId="30" borderId="112" applyNumberFormat="0" applyProtection="0">
      <alignment horizontal="left" vertical="top" indent="1"/>
    </xf>
    <xf numFmtId="349" fontId="93" fillId="31" borderId="114" applyBorder="0"/>
    <xf numFmtId="4" fontId="53" fillId="0" borderId="107" applyNumberFormat="0" applyProtection="0">
      <alignment horizontal="right" vertical="center"/>
    </xf>
    <xf numFmtId="349" fontId="53" fillId="30" borderId="112" applyNumberFormat="0" applyProtection="0">
      <alignment horizontal="left" vertical="top" indent="1"/>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349" fontId="142" fillId="14" borderId="107" applyNumberFormat="0" applyAlignment="0" applyProtection="0"/>
    <xf numFmtId="349" fontId="53" fillId="32" borderId="112" applyNumberFormat="0" applyProtection="0">
      <alignment horizontal="left" vertical="top" indent="1"/>
    </xf>
    <xf numFmtId="349" fontId="142" fillId="14" borderId="107" applyNumberFormat="0" applyAlignment="0" applyProtection="0"/>
    <xf numFmtId="349" fontId="53" fillId="83" borderId="107" applyNumberFormat="0" applyProtection="0">
      <alignment horizontal="left" vertical="center"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26" borderId="107" applyNumberFormat="0" applyProtection="0">
      <alignment horizontal="right" vertical="center"/>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93" fillId="31" borderId="114" applyBorder="0"/>
    <xf numFmtId="4" fontId="53" fillId="22" borderId="113" applyNumberFormat="0" applyProtection="0">
      <alignment horizontal="right" vertical="center"/>
    </xf>
    <xf numFmtId="349" fontId="53" fillId="30" borderId="112" applyNumberFormat="0" applyProtection="0">
      <alignment horizontal="left" vertical="top" indent="1"/>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130" borderId="107" applyNumberFormat="0" applyProtection="0">
      <alignment horizontal="right" vertical="center"/>
    </xf>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256" fillId="5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4" fontId="53" fillId="24"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4" fontId="260" fillId="33" borderId="107" applyNumberFormat="0" applyProtection="0">
      <alignment horizontal="right" vertical="center"/>
    </xf>
    <xf numFmtId="349" fontId="53" fillId="19" borderId="112" applyNumberFormat="0" applyProtection="0">
      <alignment horizontal="left" vertical="top"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9" fillId="32" borderId="112"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4" fontId="256" fillId="50" borderId="107" applyNumberFormat="0" applyProtection="0">
      <alignment horizontal="right" vertical="center"/>
    </xf>
    <xf numFmtId="349" fontId="9" fillId="30" borderId="112" applyNumberFormat="0" applyProtection="0">
      <alignment horizontal="left" vertical="top" indent="1"/>
    </xf>
    <xf numFmtId="349" fontId="53" fillId="19" borderId="112" applyNumberFormat="0" applyProtection="0">
      <alignment horizontal="left" vertical="top" indent="1"/>
    </xf>
    <xf numFmtId="4" fontId="53" fillId="29" borderId="113" applyNumberFormat="0" applyProtection="0">
      <alignment horizontal="left" vertical="center" indent="1"/>
    </xf>
    <xf numFmtId="4" fontId="53" fillId="22" borderId="113" applyNumberFormat="0" applyProtection="0">
      <alignment horizontal="right" vertical="center"/>
    </xf>
    <xf numFmtId="4" fontId="258" fillId="61" borderId="112" applyNumberFormat="0" applyProtection="0">
      <alignment horizontal="left" vertical="center" indent="1"/>
    </xf>
    <xf numFmtId="349" fontId="15" fillId="0" borderId="116" applyNumberFormat="0" applyFill="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258" fillId="34" borderId="112" applyNumberFormat="0" applyProtection="0">
      <alignment horizontal="left" vertical="top" indent="1"/>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4" fontId="9" fillId="31" borderId="113" applyNumberFormat="0" applyProtection="0">
      <alignment horizontal="left" vertical="center" indent="1"/>
    </xf>
    <xf numFmtId="4" fontId="53" fillId="26" borderId="107" applyNumberFormat="0" applyProtection="0">
      <alignment horizontal="right" vertical="center"/>
    </xf>
    <xf numFmtId="349" fontId="53" fillId="13" borderId="107" applyNumberFormat="0" applyFont="0" applyAlignment="0" applyProtection="0"/>
    <xf numFmtId="4" fontId="53" fillId="18" borderId="107" applyNumberFormat="0" applyProtection="0">
      <alignmen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13" borderId="107" applyNumberFormat="0" applyFont="0" applyAlignment="0" applyProtection="0"/>
    <xf numFmtId="214" fontId="64" fillId="0" borderId="28" applyFill="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45" borderId="107" applyNumberFormat="0" applyProtection="0">
      <alignment horizontal="left" vertical="center" indent="1"/>
    </xf>
    <xf numFmtId="4" fontId="256" fillId="50" borderId="107" applyNumberFormat="0" applyProtection="0">
      <alignment horizontal="right" vertical="center"/>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260" fillId="33" borderId="107" applyNumberFormat="0" applyProtection="0">
      <alignment horizontal="right" vertical="center"/>
    </xf>
    <xf numFmtId="4" fontId="258" fillId="61" borderId="112" applyNumberFormat="0" applyProtection="0">
      <alignment horizontal="left" vertical="center"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0" borderId="112" applyNumberFormat="0" applyProtection="0">
      <alignment horizontal="left" vertical="top" indent="1"/>
    </xf>
    <xf numFmtId="4" fontId="9" fillId="31" borderId="113" applyNumberFormat="0" applyProtection="0">
      <alignment horizontal="left" vertical="center" indent="1"/>
    </xf>
    <xf numFmtId="349" fontId="9" fillId="31" borderId="112" applyNumberFormat="0" applyProtection="0">
      <alignment horizontal="left" vertical="top" indent="1"/>
    </xf>
    <xf numFmtId="4" fontId="53" fillId="22" borderId="113" applyNumberFormat="0" applyProtection="0">
      <alignment horizontal="right" vertical="center"/>
    </xf>
    <xf numFmtId="349" fontId="53" fillId="61" borderId="107" applyNumberFormat="0" applyProtection="0">
      <alignment horizontal="left" vertical="center" indent="1"/>
    </xf>
    <xf numFmtId="4" fontId="53" fillId="45"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8" borderId="107" applyNumberFormat="0" applyProtection="0">
      <alignment horizontal="righ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4" fontId="53" fillId="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257" fillId="18" borderId="112" applyNumberFormat="0" applyProtection="0">
      <alignment horizontal="left" vertical="top" indent="1"/>
    </xf>
    <xf numFmtId="349" fontId="53" fillId="13" borderId="107" applyNumberFormat="0" applyFont="0" applyAlignment="0" applyProtection="0"/>
    <xf numFmtId="349" fontId="53" fillId="30" borderId="107" applyNumberFormat="0" applyProtection="0">
      <alignment horizontal="left" vertical="center" indent="1"/>
    </xf>
    <xf numFmtId="169" fontId="12" fillId="0" borderId="0" applyFont="0" applyFill="0" applyBorder="0" applyAlignment="0" applyProtection="0"/>
    <xf numFmtId="169" fontId="12" fillId="0" borderId="0" applyFont="0" applyFill="0" applyBorder="0" applyAlignment="0" applyProtection="0"/>
    <xf numFmtId="349" fontId="254" fillId="127" borderId="107" applyNumberFormat="0" applyAlignment="0" applyProtection="0"/>
    <xf numFmtId="4" fontId="256" fillId="50" borderId="107" applyNumberFormat="0" applyProtection="0">
      <alignment horizontal="right" vertical="center"/>
    </xf>
    <xf numFmtId="349" fontId="142" fillId="14" borderId="107" applyNumberFormat="0" applyAlignment="0" applyProtection="0"/>
    <xf numFmtId="169" fontId="12" fillId="0" borderId="0" applyFont="0" applyFill="0" applyBorder="0" applyAlignment="0" applyProtection="0"/>
    <xf numFmtId="349" fontId="254" fillId="127" borderId="107" applyNumberFormat="0" applyAlignment="0" applyProtection="0"/>
    <xf numFmtId="4" fontId="53" fillId="45" borderId="107" applyNumberFormat="0" applyProtection="0">
      <alignment horizontal="left" vertical="center" indent="1"/>
    </xf>
    <xf numFmtId="349" fontId="142" fillId="14" borderId="107" applyNumberFormat="0" applyAlignment="0" applyProtection="0"/>
    <xf numFmtId="4" fontId="53" fillId="64" borderId="107" applyNumberFormat="0" applyProtection="0">
      <alignment horizontal="left" vertical="center" indent="1"/>
    </xf>
    <xf numFmtId="4" fontId="53" fillId="26" borderId="107" applyNumberFormat="0" applyProtection="0">
      <alignment horizontal="right" vertical="center"/>
    </xf>
    <xf numFmtId="169" fontId="12" fillId="0" borderId="0" applyFont="0" applyFill="0" applyBorder="0" applyAlignment="0" applyProtection="0"/>
    <xf numFmtId="4" fontId="260" fillId="33" borderId="107" applyNumberFormat="0" applyProtection="0">
      <alignment horizontal="right" vertical="center"/>
    </xf>
    <xf numFmtId="4" fontId="53" fillId="23" borderId="107" applyNumberFormat="0" applyProtection="0">
      <alignment horizontal="right" vertical="center"/>
    </xf>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880">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5" fillId="0" borderId="0" xfId="75" applyFont="1" applyProtection="1">
      <protection locked="0"/>
    </xf>
    <xf numFmtId="0" fontId="8" fillId="0" borderId="0" xfId="0" applyFont="1" applyAlignment="1">
      <alignment horizontal="left" vertical="top"/>
    </xf>
    <xf numFmtId="0" fontId="8" fillId="0" borderId="0" xfId="0" applyFont="1"/>
    <xf numFmtId="0" fontId="26" fillId="0" borderId="0" xfId="0" applyFont="1"/>
    <xf numFmtId="0" fontId="27" fillId="0" borderId="0" xfId="0" applyFont="1"/>
    <xf numFmtId="0" fontId="10" fillId="42" borderId="0" xfId="7" applyFont="1" applyFill="1"/>
    <xf numFmtId="0" fontId="9" fillId="42" borderId="0" xfId="88" applyFill="1"/>
    <xf numFmtId="0" fontId="0" fillId="0" borderId="0" xfId="0" applyAlignment="1">
      <alignment horizontal="center" vertical="top" wrapText="1"/>
    </xf>
    <xf numFmtId="0" fontId="10" fillId="42" borderId="0" xfId="75" applyFont="1" applyFill="1" applyAlignment="1">
      <alignment horizontal="center" vertical="top"/>
    </xf>
    <xf numFmtId="0" fontId="24" fillId="0" borderId="0" xfId="75" applyFont="1"/>
    <xf numFmtId="0" fontId="33" fillId="0" borderId="0" xfId="75" applyFont="1"/>
    <xf numFmtId="0" fontId="32" fillId="47" borderId="0" xfId="75" applyFont="1" applyFill="1"/>
    <xf numFmtId="0" fontId="30" fillId="47" borderId="0" xfId="90" applyFont="1" applyFill="1" applyAlignment="1">
      <alignment horizontal="left"/>
    </xf>
    <xf numFmtId="0" fontId="24" fillId="0" borderId="0" xfId="93" applyFont="1"/>
    <xf numFmtId="0" fontId="31" fillId="0" borderId="0" xfId="75" applyFont="1"/>
    <xf numFmtId="0" fontId="32" fillId="0" borderId="0" xfId="75" applyFont="1"/>
    <xf numFmtId="0" fontId="35" fillId="47" borderId="0" xfId="90" applyFont="1" applyFill="1" applyAlignment="1">
      <alignment horizontal="left"/>
    </xf>
    <xf numFmtId="0" fontId="0" fillId="42" borderId="0" xfId="0" applyFill="1" applyAlignment="1">
      <alignment horizontal="right" vertical="top"/>
    </xf>
    <xf numFmtId="0" fontId="30" fillId="0" borderId="0" xfId="90" applyFont="1" applyAlignment="1">
      <alignment horizontal="left"/>
    </xf>
    <xf numFmtId="14" fontId="10" fillId="42" borderId="0" xfId="2" applyNumberFormat="1" applyFont="1" applyFill="1" applyBorder="1"/>
    <xf numFmtId="0" fontId="8" fillId="42" borderId="0" xfId="0" applyFont="1" applyFill="1"/>
    <xf numFmtId="0" fontId="0" fillId="42" borderId="0" xfId="0" applyFill="1"/>
    <xf numFmtId="1" fontId="8" fillId="0" borderId="0" xfId="0" applyNumberFormat="1" applyFont="1" applyAlignment="1">
      <alignment horizontal="center"/>
    </xf>
    <xf numFmtId="0" fontId="0" fillId="0" borderId="0" xfId="0" applyAlignment="1">
      <alignment vertical="center"/>
    </xf>
    <xf numFmtId="178" fontId="8" fillId="0" borderId="0" xfId="0" applyNumberFormat="1" applyFont="1" applyAlignment="1">
      <alignment horizontal="center"/>
    </xf>
    <xf numFmtId="178" fontId="0" fillId="0" borderId="0" xfId="0" applyNumberFormat="1" applyAlignment="1">
      <alignment horizontal="right" vertical="top"/>
    </xf>
    <xf numFmtId="178" fontId="0" fillId="0" borderId="0" xfId="0" applyNumberFormat="1" applyAlignment="1">
      <alignment horizontal="right"/>
    </xf>
    <xf numFmtId="1" fontId="8" fillId="0" borderId="0" xfId="0" applyNumberFormat="1" applyFont="1" applyAlignment="1">
      <alignment horizontal="right"/>
    </xf>
    <xf numFmtId="0" fontId="0" fillId="0" borderId="0" xfId="0" applyAlignment="1">
      <alignment horizontal="center" wrapText="1"/>
    </xf>
    <xf numFmtId="0" fontId="26" fillId="0" borderId="0" xfId="0" applyFont="1" applyAlignment="1">
      <alignment horizontal="right" indent="1"/>
    </xf>
    <xf numFmtId="178" fontId="8" fillId="0" borderId="0" xfId="0" applyNumberFormat="1" applyFont="1" applyAlignment="1">
      <alignment horizontal="right"/>
    </xf>
    <xf numFmtId="10" fontId="0" fillId="0" borderId="0" xfId="0" applyNumberFormat="1" applyAlignment="1">
      <alignment horizontal="right" vertical="top"/>
    </xf>
    <xf numFmtId="170" fontId="0" fillId="0" borderId="0" xfId="0" applyNumberFormat="1" applyAlignment="1">
      <alignment horizontal="left" vertical="top"/>
    </xf>
    <xf numFmtId="0" fontId="42" fillId="0" borderId="0" xfId="0" applyFont="1" applyAlignment="1">
      <alignment horizontal="center"/>
    </xf>
    <xf numFmtId="0" fontId="0" fillId="0" borderId="0" xfId="0" applyAlignment="1">
      <alignment horizontal="center" vertical="center" wrapText="1"/>
    </xf>
    <xf numFmtId="0" fontId="10" fillId="0" borderId="0" xfId="7" applyFont="1" applyAlignment="1">
      <alignment horizontal="center"/>
    </xf>
    <xf numFmtId="0" fontId="0" fillId="53" borderId="0" xfId="0" applyFill="1" applyAlignment="1">
      <alignment horizontal="left" vertical="top"/>
    </xf>
    <xf numFmtId="0" fontId="0" fillId="53" borderId="0" xfId="0" applyFill="1" applyAlignment="1">
      <alignment horizontal="center" vertical="top"/>
    </xf>
    <xf numFmtId="1" fontId="8" fillId="2" borderId="59" xfId="0" applyNumberFormat="1" applyFont="1" applyFill="1" applyBorder="1" applyAlignment="1">
      <alignment horizontal="center" vertical="center"/>
    </xf>
    <xf numFmtId="177" fontId="10" fillId="38" borderId="65" xfId="1" applyNumberFormat="1" applyFont="1" applyFill="1" applyBorder="1" applyProtection="1"/>
    <xf numFmtId="177" fontId="10" fillId="38" borderId="66" xfId="1" applyNumberFormat="1" applyFont="1" applyFill="1" applyBorder="1" applyProtection="1"/>
    <xf numFmtId="177" fontId="10" fillId="38" borderId="67" xfId="1" applyNumberFormat="1" applyFont="1" applyFill="1" applyBorder="1" applyProtection="1"/>
    <xf numFmtId="177" fontId="10" fillId="38" borderId="59" xfId="1" applyNumberFormat="1" applyFont="1" applyFill="1" applyBorder="1" applyProtection="1"/>
    <xf numFmtId="177" fontId="10" fillId="38" borderId="60" xfId="1" applyNumberFormat="1" applyFont="1" applyFill="1" applyBorder="1" applyProtection="1"/>
    <xf numFmtId="177" fontId="10" fillId="38" borderId="61" xfId="1" applyNumberFormat="1" applyFont="1" applyFill="1" applyBorder="1" applyProtection="1"/>
    <xf numFmtId="1" fontId="8" fillId="2" borderId="59" xfId="0" applyNumberFormat="1" applyFont="1" applyFill="1" applyBorder="1" applyAlignment="1">
      <alignment horizontal="center" vertical="center" wrapText="1"/>
    </xf>
    <xf numFmtId="177" fontId="10" fillId="38" borderId="71" xfId="1" applyNumberFormat="1" applyFont="1" applyFill="1" applyBorder="1" applyProtection="1"/>
    <xf numFmtId="177" fontId="10" fillId="38" borderId="72" xfId="1" applyNumberFormat="1" applyFont="1" applyFill="1" applyBorder="1" applyProtection="1"/>
    <xf numFmtId="177" fontId="10" fillId="38" borderId="73" xfId="1" applyNumberFormat="1" applyFont="1" applyFill="1" applyBorder="1" applyProtection="1"/>
    <xf numFmtId="170" fontId="10" fillId="52" borderId="68" xfId="2" applyNumberFormat="1" applyFont="1" applyFill="1" applyBorder="1" applyAlignment="1">
      <alignment vertical="center"/>
    </xf>
    <xf numFmtId="170" fontId="10" fillId="52" borderId="70" xfId="2" applyNumberFormat="1" applyFont="1" applyFill="1" applyBorder="1" applyAlignment="1">
      <alignment vertical="center"/>
    </xf>
    <xf numFmtId="170" fontId="10" fillId="52" borderId="59" xfId="2" applyNumberFormat="1" applyFont="1" applyFill="1" applyBorder="1" applyAlignment="1">
      <alignment vertical="center"/>
    </xf>
    <xf numFmtId="170" fontId="10" fillId="52" borderId="61" xfId="2" applyNumberFormat="1" applyFont="1" applyFill="1" applyBorder="1" applyAlignment="1">
      <alignment vertical="center"/>
    </xf>
    <xf numFmtId="10" fontId="0" fillId="51" borderId="71" xfId="0" applyNumberFormat="1" applyFill="1" applyBorder="1" applyAlignment="1">
      <alignment horizontal="right" vertical="top"/>
    </xf>
    <xf numFmtId="10" fontId="0" fillId="51" borderId="72" xfId="0" applyNumberFormat="1" applyFill="1" applyBorder="1" applyAlignment="1">
      <alignment horizontal="right" vertical="top"/>
    </xf>
    <xf numFmtId="183" fontId="0" fillId="51" borderId="71" xfId="0" applyNumberFormat="1" applyFill="1" applyBorder="1" applyAlignment="1">
      <alignment horizontal="right" vertical="top"/>
    </xf>
    <xf numFmtId="178" fontId="0" fillId="54" borderId="71" xfId="0" applyNumberFormat="1" applyFill="1" applyBorder="1" applyAlignment="1">
      <alignment horizontal="right"/>
    </xf>
    <xf numFmtId="0" fontId="8" fillId="53" borderId="0" xfId="0" applyFont="1" applyFill="1" applyAlignment="1">
      <alignment horizontal="left" vertical="top"/>
    </xf>
    <xf numFmtId="1" fontId="8" fillId="2" borderId="71" xfId="0" applyNumberFormat="1" applyFont="1" applyFill="1" applyBorder="1" applyAlignment="1">
      <alignment horizontal="center" vertical="center"/>
    </xf>
    <xf numFmtId="1" fontId="8" fillId="2" borderId="72" xfId="0" applyNumberFormat="1" applyFont="1" applyFill="1" applyBorder="1" applyAlignment="1">
      <alignment horizontal="center" vertical="center"/>
    </xf>
    <xf numFmtId="1" fontId="8" fillId="2" borderId="73" xfId="0" applyNumberFormat="1" applyFont="1" applyFill="1" applyBorder="1" applyAlignment="1">
      <alignment horizontal="center" wrapText="1"/>
    </xf>
    <xf numFmtId="0" fontId="32" fillId="47" borderId="11" xfId="75" applyFont="1" applyFill="1" applyBorder="1"/>
    <xf numFmtId="0" fontId="0" fillId="0" borderId="0" xfId="0" applyAlignment="1">
      <alignment horizontal="left" vertical="top" indent="1"/>
    </xf>
    <xf numFmtId="0" fontId="0" fillId="0" borderId="0" xfId="0" applyAlignment="1">
      <alignment horizontal="left" vertical="top" wrapText="1" indent="1"/>
    </xf>
    <xf numFmtId="0" fontId="30" fillId="47" borderId="0" xfId="90" applyFont="1" applyFill="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177" fontId="11" fillId="38" borderId="71" xfId="1" applyNumberFormat="1" applyFont="1" applyFill="1" applyBorder="1" applyProtection="1"/>
    <xf numFmtId="177" fontId="11" fillId="38" borderId="72" xfId="1" applyNumberFormat="1" applyFont="1" applyFill="1" applyBorder="1" applyProtection="1"/>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5" fillId="47" borderId="0" xfId="90" applyFont="1" applyFill="1" applyAlignment="1">
      <alignment horizontal="center" vertical="center"/>
    </xf>
    <xf numFmtId="0" fontId="8" fillId="0" borderId="0" xfId="0" applyFont="1" applyAlignment="1">
      <alignment horizontal="center" vertical="center" wrapText="1"/>
    </xf>
    <xf numFmtId="0" fontId="0" fillId="0" borderId="0" xfId="0" applyAlignment="1">
      <alignment horizontal="right" vertical="top" indent="1"/>
    </xf>
    <xf numFmtId="1" fontId="0" fillId="0" borderId="0" xfId="0" applyNumberFormat="1" applyAlignment="1">
      <alignment horizontal="right"/>
    </xf>
    <xf numFmtId="175" fontId="0" fillId="0" borderId="0" xfId="0" applyNumberFormat="1"/>
    <xf numFmtId="175" fontId="8" fillId="0" borderId="0" xfId="0" applyNumberFormat="1" applyFont="1"/>
    <xf numFmtId="175" fontId="10" fillId="38" borderId="64" xfId="77" applyNumberFormat="1" applyFont="1" applyFill="1" applyBorder="1" applyProtection="1"/>
    <xf numFmtId="177" fontId="10" fillId="39" borderId="59" xfId="1" applyNumberFormat="1" applyFont="1" applyFill="1" applyBorder="1" applyProtection="1"/>
    <xf numFmtId="177" fontId="10" fillId="39" borderId="60" xfId="1" applyNumberFormat="1" applyFont="1" applyFill="1" applyBorder="1" applyProtection="1"/>
    <xf numFmtId="175" fontId="10" fillId="38" borderId="70" xfId="77" applyNumberFormat="1" applyFont="1" applyFill="1" applyBorder="1" applyProtection="1"/>
    <xf numFmtId="1" fontId="8" fillId="2" borderId="61" xfId="0" applyNumberFormat="1" applyFont="1" applyFill="1" applyBorder="1" applyAlignment="1">
      <alignment horizontal="center" vertical="center" wrapText="1"/>
    </xf>
    <xf numFmtId="1" fontId="8" fillId="2" borderId="73" xfId="0" applyNumberFormat="1" applyFont="1" applyFill="1" applyBorder="1" applyAlignment="1">
      <alignment horizontal="center" vertical="center"/>
    </xf>
    <xf numFmtId="0" fontId="0" fillId="0" borderId="0" xfId="0" applyAlignment="1">
      <alignment horizontal="left" indent="1"/>
    </xf>
    <xf numFmtId="0" fontId="8" fillId="0" borderId="0" xfId="0" applyFont="1" applyAlignment="1">
      <alignment horizontal="left" vertical="center" indent="1"/>
    </xf>
    <xf numFmtId="0" fontId="0" fillId="0" borderId="0" xfId="0" applyAlignment="1">
      <alignment horizontal="center"/>
    </xf>
    <xf numFmtId="0" fontId="0" fillId="0" borderId="0" xfId="0" applyAlignment="1">
      <alignment horizontal="right"/>
    </xf>
    <xf numFmtId="1" fontId="0" fillId="0" borderId="0" xfId="0" applyNumberFormat="1" applyAlignment="1">
      <alignment horizontal="center"/>
    </xf>
    <xf numFmtId="0" fontId="0" fillId="0" borderId="0" xfId="0" applyAlignment="1">
      <alignment wrapText="1"/>
    </xf>
    <xf numFmtId="1" fontId="0" fillId="0" borderId="0" xfId="0" applyNumberFormat="1" applyAlignment="1">
      <alignment horizontal="center" vertical="top"/>
    </xf>
    <xf numFmtId="1" fontId="8" fillId="0" borderId="0" xfId="0" applyNumberFormat="1" applyFont="1" applyAlignment="1">
      <alignment horizontal="center" vertical="top"/>
    </xf>
    <xf numFmtId="178" fontId="0" fillId="0" borderId="0" xfId="0" applyNumberFormat="1"/>
    <xf numFmtId="14" fontId="0" fillId="0" borderId="0" xfId="0" applyNumberFormat="1"/>
    <xf numFmtId="0" fontId="0" fillId="53" borderId="0" xfId="0" applyFill="1"/>
    <xf numFmtId="256" fontId="0" fillId="0" borderId="0" xfId="0" applyNumberFormat="1"/>
    <xf numFmtId="0" fontId="30" fillId="47" borderId="0" xfId="90" applyFont="1" applyFill="1" applyAlignment="1">
      <alignment horizontal="center"/>
    </xf>
    <xf numFmtId="0" fontId="0" fillId="42" borderId="0" xfId="0" applyFill="1" applyAlignment="1">
      <alignment horizontal="center" vertical="top"/>
    </xf>
    <xf numFmtId="0" fontId="27" fillId="0" borderId="0" xfId="0" applyFont="1" applyAlignment="1">
      <alignment horizontal="center"/>
    </xf>
    <xf numFmtId="0" fontId="10" fillId="37" borderId="71" xfId="75" applyFont="1" applyFill="1" applyBorder="1" applyAlignment="1">
      <alignment horizontal="center" vertical="top"/>
    </xf>
    <xf numFmtId="0" fontId="10" fillId="37" borderId="72" xfId="75" applyFont="1" applyFill="1" applyBorder="1" applyAlignment="1">
      <alignment horizontal="center" vertical="top"/>
    </xf>
    <xf numFmtId="178" fontId="0" fillId="0" borderId="0" xfId="0" applyNumberFormat="1" applyAlignment="1" applyProtection="1">
      <alignment horizontal="center" vertical="center"/>
      <protection locked="0"/>
    </xf>
    <xf numFmtId="178" fontId="0" fillId="0" borderId="0" xfId="0" applyNumberFormat="1" applyAlignment="1">
      <alignment horizontal="left" vertical="top"/>
    </xf>
    <xf numFmtId="175" fontId="0" fillId="52" borderId="71" xfId="0" applyNumberFormat="1" applyFill="1" applyBorder="1"/>
    <xf numFmtId="175" fontId="0" fillId="52" borderId="72" xfId="0" applyNumberFormat="1" applyFill="1" applyBorder="1"/>
    <xf numFmtId="0" fontId="8" fillId="0" borderId="0" xfId="0" applyFont="1" applyAlignment="1" applyProtection="1">
      <alignment horizontal="center" vertical="center"/>
      <protection locked="0"/>
    </xf>
    <xf numFmtId="175" fontId="0" fillId="52" borderId="71" xfId="0" applyNumberFormat="1" applyFill="1" applyBorder="1" applyAlignment="1">
      <alignment horizontal="right"/>
    </xf>
    <xf numFmtId="175" fontId="0" fillId="52" borderId="72" xfId="0" applyNumberFormat="1" applyFill="1" applyBorder="1" applyAlignment="1">
      <alignment horizontal="right"/>
    </xf>
    <xf numFmtId="256" fontId="0" fillId="0" borderId="0" xfId="0" applyNumberFormat="1" applyAlignment="1" applyProtection="1">
      <alignment horizontal="center" vertical="center"/>
      <protection locked="0"/>
    </xf>
    <xf numFmtId="256" fontId="0" fillId="0" borderId="0" xfId="0" applyNumberFormat="1" applyAlignment="1">
      <alignment horizontal="left" vertical="top"/>
    </xf>
    <xf numFmtId="177" fontId="10" fillId="39" borderId="85" xfId="1" applyNumberFormat="1" applyFont="1" applyFill="1" applyBorder="1" applyProtection="1"/>
    <xf numFmtId="177" fontId="10" fillId="39" borderId="81" xfId="1" applyNumberFormat="1" applyFont="1" applyFill="1" applyBorder="1" applyProtection="1"/>
    <xf numFmtId="177" fontId="10" fillId="39" borderId="82" xfId="1" applyNumberFormat="1" applyFont="1" applyFill="1" applyBorder="1" applyProtection="1"/>
    <xf numFmtId="177" fontId="10" fillId="39" borderId="86" xfId="1" applyNumberFormat="1" applyFont="1" applyFill="1" applyBorder="1" applyProtection="1"/>
    <xf numFmtId="177" fontId="10" fillId="39" borderId="87" xfId="1" applyNumberFormat="1" applyFont="1" applyFill="1" applyBorder="1" applyProtection="1"/>
    <xf numFmtId="0" fontId="32" fillId="47" borderId="90" xfId="75" applyFont="1" applyFill="1" applyBorder="1"/>
    <xf numFmtId="0" fontId="244" fillId="0" borderId="0" xfId="90" applyFont="1" applyAlignment="1">
      <alignment horizontal="left"/>
    </xf>
    <xf numFmtId="0" fontId="245" fillId="0" borderId="0" xfId="0" applyFont="1"/>
    <xf numFmtId="0" fontId="246" fillId="0" borderId="0" xfId="75" applyFont="1"/>
    <xf numFmtId="0" fontId="29" fillId="0" borderId="0" xfId="0" applyFont="1" applyAlignment="1">
      <alignment horizontal="left" vertical="top"/>
    </xf>
    <xf numFmtId="1" fontId="8" fillId="2" borderId="73" xfId="0" applyNumberFormat="1" applyFont="1" applyFill="1" applyBorder="1" applyAlignment="1">
      <alignment horizontal="center" vertical="center" wrapText="1"/>
    </xf>
    <xf numFmtId="0" fontId="34" fillId="0" borderId="0" xfId="92" applyAlignment="1">
      <alignment horizontal="left" indent="1"/>
    </xf>
    <xf numFmtId="0" fontId="0" fillId="42" borderId="63" xfId="0" applyFill="1" applyBorder="1" applyAlignment="1">
      <alignment horizontal="left" vertical="top" wrapText="1"/>
    </xf>
    <xf numFmtId="0" fontId="0" fillId="42" borderId="66" xfId="0" applyFill="1" applyBorder="1" applyAlignment="1">
      <alignment horizontal="left" vertical="top" wrapText="1"/>
    </xf>
    <xf numFmtId="0" fontId="0" fillId="116" borderId="0" xfId="0" applyFill="1" applyAlignment="1">
      <alignment horizontal="center" vertical="center"/>
    </xf>
    <xf numFmtId="0" fontId="0" fillId="116" borderId="0" xfId="0" applyFill="1" applyAlignment="1">
      <alignment horizontal="center" vertical="top"/>
    </xf>
    <xf numFmtId="0" fontId="29" fillId="0" borderId="0" xfId="0" applyFont="1"/>
    <xf numFmtId="0" fontId="26" fillId="0" borderId="0" xfId="0" applyFont="1" applyAlignment="1">
      <alignment horizontal="center"/>
    </xf>
    <xf numFmtId="0" fontId="0" fillId="0" borderId="76" xfId="0" applyBorder="1" applyAlignment="1">
      <alignment horizontal="left" vertical="center" indent="1"/>
    </xf>
    <xf numFmtId="0" fontId="0" fillId="42" borderId="62" xfId="0" applyFill="1" applyBorder="1" applyAlignment="1">
      <alignment horizontal="left" vertical="center" wrapText="1" indent="1"/>
    </xf>
    <xf numFmtId="0" fontId="34" fillId="42" borderId="62" xfId="92" applyFill="1" applyBorder="1" applyAlignment="1">
      <alignment horizontal="left" vertical="center" wrapText="1" indent="1"/>
    </xf>
    <xf numFmtId="0" fontId="34" fillId="42" borderId="65" xfId="92" applyFill="1" applyBorder="1" applyAlignment="1">
      <alignment horizontal="left" vertical="center" wrapText="1" indent="1"/>
    </xf>
    <xf numFmtId="0" fontId="249" fillId="42" borderId="0" xfId="88" applyFont="1" applyFill="1" applyAlignment="1">
      <alignment horizontal="left" indent="1"/>
    </xf>
    <xf numFmtId="0" fontId="0" fillId="0" borderId="63" xfId="0" applyBorder="1" applyAlignment="1">
      <alignment horizontal="center"/>
    </xf>
    <xf numFmtId="0" fontId="0" fillId="0" borderId="64" xfId="0" applyBorder="1" applyAlignment="1">
      <alignment horizontal="center"/>
    </xf>
    <xf numFmtId="173" fontId="37" fillId="48" borderId="0" xfId="94">
      <alignment vertical="center"/>
    </xf>
    <xf numFmtId="177" fontId="0" fillId="51" borderId="62" xfId="1" applyNumberFormat="1" applyFont="1" applyFill="1" applyBorder="1" applyAlignment="1">
      <alignment horizontal="right"/>
    </xf>
    <xf numFmtId="177" fontId="0" fillId="51" borderId="71" xfId="1" applyNumberFormat="1" applyFont="1" applyFill="1" applyBorder="1" applyAlignment="1">
      <alignment horizontal="right" vertical="top"/>
    </xf>
    <xf numFmtId="177" fontId="10" fillId="38" borderId="100" xfId="1" applyNumberFormat="1" applyFont="1" applyFill="1" applyBorder="1" applyProtection="1"/>
    <xf numFmtId="14" fontId="10" fillId="42" borderId="0" xfId="2" applyNumberFormat="1" applyFont="1" applyFill="1" applyBorder="1" applyAlignment="1">
      <alignment horizontal="center" vertical="center"/>
    </xf>
    <xf numFmtId="0" fontId="248" fillId="116" borderId="0" xfId="0" applyFont="1" applyFill="1" applyAlignment="1">
      <alignment horizontal="left" vertical="top"/>
    </xf>
    <xf numFmtId="0" fontId="248" fillId="116" borderId="0" xfId="0" applyFont="1" applyFill="1" applyAlignment="1">
      <alignment horizontal="left" vertical="top" indent="1"/>
    </xf>
    <xf numFmtId="173" fontId="10" fillId="0" borderId="0" xfId="0" applyNumberFormat="1" applyFont="1" applyAlignment="1">
      <alignment horizontal="left" vertical="center" indent="1"/>
    </xf>
    <xf numFmtId="0" fontId="10" fillId="0" borderId="0" xfId="85" applyFont="1" applyAlignment="1">
      <alignment horizontal="left" vertical="center" wrapText="1" indent="1"/>
    </xf>
    <xf numFmtId="0" fontId="248" fillId="0" borderId="0" xfId="0" applyFont="1" applyAlignment="1">
      <alignment horizontal="left" vertical="top"/>
    </xf>
    <xf numFmtId="177" fontId="0" fillId="51" borderId="63" xfId="1" applyNumberFormat="1" applyFont="1" applyFill="1" applyBorder="1" applyAlignment="1">
      <alignment horizontal="right"/>
    </xf>
    <xf numFmtId="177" fontId="0" fillId="51" borderId="72" xfId="1" applyNumberFormat="1" applyFont="1" applyFill="1" applyBorder="1" applyAlignment="1">
      <alignment horizontal="right" vertical="top"/>
    </xf>
    <xf numFmtId="0" fontId="0" fillId="0" borderId="71" xfId="0" applyBorder="1" applyAlignment="1">
      <alignment horizontal="center" vertical="top"/>
    </xf>
    <xf numFmtId="0" fontId="0" fillId="0" borderId="72" xfId="0" applyBorder="1" applyAlignment="1">
      <alignment horizontal="center" vertical="top"/>
    </xf>
    <xf numFmtId="0" fontId="8" fillId="0" borderId="0" xfId="0" applyFont="1" applyAlignment="1">
      <alignment horizontal="left" vertical="top" indent="1"/>
    </xf>
    <xf numFmtId="10" fontId="10" fillId="52" borderId="71" xfId="2" applyNumberFormat="1" applyFont="1" applyFill="1" applyBorder="1"/>
    <xf numFmtId="10" fontId="10" fillId="52" borderId="72" xfId="2" applyNumberFormat="1" applyFont="1" applyFill="1" applyBorder="1"/>
    <xf numFmtId="10" fontId="0" fillId="51" borderId="59" xfId="0" applyNumberFormat="1" applyFill="1" applyBorder="1" applyAlignment="1">
      <alignment horizontal="right" vertical="top"/>
    </xf>
    <xf numFmtId="175" fontId="0" fillId="51" borderId="65" xfId="0" applyNumberFormat="1" applyFill="1" applyBorder="1" applyAlignment="1">
      <alignment horizontal="right" vertical="top"/>
    </xf>
    <xf numFmtId="0" fontId="248" fillId="0" borderId="0" xfId="0" applyFont="1" applyAlignment="1">
      <alignment horizontal="left" vertical="top" indent="1"/>
    </xf>
    <xf numFmtId="10" fontId="0" fillId="0" borderId="64" xfId="0" applyNumberFormat="1" applyBorder="1"/>
    <xf numFmtId="3" fontId="11" fillId="0" borderId="0" xfId="89" applyNumberFormat="1" applyFont="1" applyAlignment="1">
      <alignment horizontal="left" indent="1"/>
    </xf>
    <xf numFmtId="0" fontId="0" fillId="53" borderId="0" xfId="0" applyFill="1" applyAlignment="1">
      <alignment horizontal="left" indent="1"/>
    </xf>
    <xf numFmtId="0" fontId="248" fillId="53" borderId="0" xfId="0" applyFont="1" applyFill="1" applyAlignment="1">
      <alignment horizontal="center"/>
    </xf>
    <xf numFmtId="0" fontId="0" fillId="53" borderId="0" xfId="0" applyFill="1" applyAlignment="1">
      <alignment horizontal="left"/>
    </xf>
    <xf numFmtId="0" fontId="0" fillId="53" borderId="0" xfId="0" applyFill="1" applyAlignment="1">
      <alignment horizontal="center"/>
    </xf>
    <xf numFmtId="0" fontId="0" fillId="0" borderId="0" xfId="0" applyAlignment="1">
      <alignment horizontal="left"/>
    </xf>
    <xf numFmtId="0" fontId="248" fillId="116" borderId="0" xfId="0" applyFont="1" applyFill="1"/>
    <xf numFmtId="0" fontId="248" fillId="116" borderId="0" xfId="0" applyFont="1" applyFill="1" applyAlignment="1">
      <alignment horizontal="left" indent="1"/>
    </xf>
    <xf numFmtId="0" fontId="248" fillId="116" borderId="0" xfId="0" applyFont="1" applyFill="1" applyAlignment="1">
      <alignment wrapText="1"/>
    </xf>
    <xf numFmtId="0" fontId="11" fillId="0" borderId="0" xfId="77" applyNumberFormat="1" applyFont="1" applyFill="1" applyBorder="1" applyAlignment="1" applyProtection="1">
      <alignment horizontal="left" indent="1"/>
    </xf>
    <xf numFmtId="0" fontId="10" fillId="0" borderId="0" xfId="77" applyNumberFormat="1" applyFont="1" applyFill="1" applyBorder="1" applyAlignment="1" applyProtection="1">
      <alignment horizontal="center"/>
    </xf>
    <xf numFmtId="175" fontId="11" fillId="0" borderId="0" xfId="77" applyNumberFormat="1" applyFont="1" applyFill="1" applyBorder="1" applyProtection="1"/>
    <xf numFmtId="256" fontId="11" fillId="0" borderId="0" xfId="2" applyNumberFormat="1" applyFont="1" applyFill="1" applyBorder="1"/>
    <xf numFmtId="173" fontId="11" fillId="0" borderId="0" xfId="0" applyNumberFormat="1" applyFont="1" applyAlignment="1">
      <alignment horizontal="left" vertical="center"/>
    </xf>
    <xf numFmtId="9" fontId="10" fillId="52" borderId="65" xfId="75" applyNumberFormat="1" applyFont="1" applyFill="1" applyBorder="1" applyAlignment="1">
      <alignment vertical="top"/>
    </xf>
    <xf numFmtId="9" fontId="10" fillId="52" borderId="66" xfId="75" applyNumberFormat="1" applyFont="1" applyFill="1" applyBorder="1" applyAlignment="1">
      <alignment vertical="top"/>
    </xf>
    <xf numFmtId="183" fontId="0" fillId="51" borderId="71" xfId="1" applyNumberFormat="1" applyFont="1" applyFill="1" applyBorder="1" applyAlignment="1">
      <alignment horizontal="right"/>
    </xf>
    <xf numFmtId="175" fontId="10" fillId="38" borderId="59" xfId="77" applyNumberFormat="1" applyFont="1" applyFill="1" applyBorder="1" applyProtection="1"/>
    <xf numFmtId="175" fontId="10" fillId="38" borderId="61" xfId="77" applyNumberFormat="1" applyFont="1" applyFill="1" applyBorder="1" applyProtection="1"/>
    <xf numFmtId="177" fontId="10" fillId="38" borderId="68" xfId="1" applyNumberFormat="1" applyFont="1" applyFill="1" applyBorder="1" applyProtection="1"/>
    <xf numFmtId="177" fontId="10" fillId="38" borderId="69" xfId="1" applyNumberFormat="1" applyFont="1" applyFill="1" applyBorder="1" applyProtection="1"/>
    <xf numFmtId="0" fontId="11" fillId="53" borderId="0" xfId="77" applyNumberFormat="1" applyFont="1" applyFill="1" applyBorder="1" applyAlignment="1" applyProtection="1">
      <alignment horizontal="left" indent="1"/>
    </xf>
    <xf numFmtId="0" fontId="10" fillId="53" borderId="0" xfId="77" applyNumberFormat="1" applyFont="1" applyFill="1" applyBorder="1" applyAlignment="1" applyProtection="1">
      <alignment horizontal="center"/>
    </xf>
    <xf numFmtId="175" fontId="11" fillId="53" borderId="0" xfId="77" applyNumberFormat="1" applyFont="1" applyFill="1" applyBorder="1" applyProtection="1"/>
    <xf numFmtId="175" fontId="8" fillId="53" borderId="0" xfId="0" applyNumberFormat="1" applyFont="1" applyFill="1"/>
    <xf numFmtId="0" fontId="11" fillId="116" borderId="0" xfId="77" applyNumberFormat="1" applyFont="1" applyFill="1" applyBorder="1" applyAlignment="1" applyProtection="1">
      <alignment horizontal="left" indent="1"/>
    </xf>
    <xf numFmtId="0" fontId="10" fillId="116" borderId="0" xfId="77" applyNumberFormat="1" applyFont="1" applyFill="1" applyBorder="1" applyAlignment="1" applyProtection="1">
      <alignment horizontal="left" indent="1"/>
    </xf>
    <xf numFmtId="0" fontId="8" fillId="53" borderId="0" xfId="0"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25" fillId="0" borderId="0" xfId="75" applyFont="1" applyAlignment="1">
      <alignment horizontal="left" indent="1"/>
    </xf>
    <xf numFmtId="0" fontId="25" fillId="0" borderId="0" xfId="75" applyFont="1" applyAlignment="1">
      <alignment horizontal="left" vertical="center" indent="1"/>
    </xf>
    <xf numFmtId="0" fontId="10" fillId="42" borderId="0" xfId="7" applyFont="1" applyFill="1" applyAlignment="1">
      <alignment horizontal="left" indent="1"/>
    </xf>
    <xf numFmtId="178" fontId="0" fillId="117" borderId="63" xfId="0" applyNumberFormat="1" applyFill="1" applyBorder="1" applyAlignment="1">
      <alignment horizontal="right" indent="1"/>
    </xf>
    <xf numFmtId="0" fontId="0" fillId="54" borderId="102" xfId="0" applyFill="1" applyBorder="1" applyAlignment="1">
      <alignment horizontal="right" vertical="top"/>
    </xf>
    <xf numFmtId="177" fontId="10" fillId="38" borderId="78" xfId="1" applyNumberFormat="1" applyFont="1" applyFill="1" applyBorder="1" applyProtection="1"/>
    <xf numFmtId="177" fontId="10" fillId="38" borderId="102" xfId="1" applyNumberFormat="1" applyFont="1" applyFill="1" applyBorder="1" applyProtection="1"/>
    <xf numFmtId="177" fontId="10" fillId="38" borderId="103" xfId="1" applyNumberFormat="1" applyFont="1" applyFill="1" applyBorder="1" applyProtection="1"/>
    <xf numFmtId="177" fontId="10" fillId="38" borderId="89" xfId="1" applyNumberFormat="1" applyFont="1" applyFill="1" applyBorder="1" applyProtection="1"/>
    <xf numFmtId="177" fontId="10" fillId="38" borderId="105" xfId="1" applyNumberFormat="1" applyFont="1" applyFill="1" applyBorder="1" applyProtection="1"/>
    <xf numFmtId="177" fontId="10" fillId="3" borderId="62" xfId="2" applyNumberFormat="1" applyFont="1" applyFill="1" applyBorder="1"/>
    <xf numFmtId="177" fontId="0" fillId="3" borderId="59" xfId="0" applyNumberFormat="1" applyFill="1" applyBorder="1" applyAlignment="1">
      <alignment horizontal="right" vertical="top"/>
    </xf>
    <xf numFmtId="177" fontId="0" fillId="3" borderId="60" xfId="0" applyNumberFormat="1" applyFill="1" applyBorder="1" applyAlignment="1">
      <alignment horizontal="right" vertical="top"/>
    </xf>
    <xf numFmtId="177" fontId="0" fillId="3" borderId="63" xfId="0" applyNumberFormat="1" applyFill="1" applyBorder="1" applyAlignment="1">
      <alignment horizontal="right" vertical="top"/>
    </xf>
    <xf numFmtId="177" fontId="8" fillId="52" borderId="71" xfId="0" applyNumberFormat="1" applyFont="1" applyFill="1" applyBorder="1" applyAlignment="1">
      <alignment horizontal="right"/>
    </xf>
    <xf numFmtId="177" fontId="8" fillId="52" borderId="71" xfId="0" applyNumberFormat="1" applyFont="1" applyFill="1" applyBorder="1" applyAlignment="1">
      <alignment horizontal="right" vertical="top"/>
    </xf>
    <xf numFmtId="177" fontId="8" fillId="52" borderId="72" xfId="0" applyNumberFormat="1" applyFont="1" applyFill="1" applyBorder="1" applyAlignment="1">
      <alignment horizontal="right" vertical="top"/>
    </xf>
    <xf numFmtId="177" fontId="0" fillId="3" borderId="66" xfId="0" applyNumberFormat="1" applyFill="1" applyBorder="1" applyAlignment="1">
      <alignment horizontal="right" vertical="top"/>
    </xf>
    <xf numFmtId="177" fontId="8" fillId="52" borderId="59" xfId="0" applyNumberFormat="1" applyFont="1" applyFill="1" applyBorder="1" applyAlignment="1">
      <alignment horizontal="right" vertical="top"/>
    </xf>
    <xf numFmtId="177" fontId="0" fillId="54" borderId="71" xfId="0" applyNumberFormat="1" applyFill="1" applyBorder="1" applyAlignment="1">
      <alignment horizontal="right" vertical="top"/>
    </xf>
    <xf numFmtId="177" fontId="0" fillId="52" borderId="71" xfId="0" applyNumberFormat="1" applyFill="1" applyBorder="1" applyAlignment="1">
      <alignment horizontal="right" vertical="top"/>
    </xf>
    <xf numFmtId="177" fontId="0" fillId="52" borderId="72" xfId="0" applyNumberFormat="1" applyFill="1" applyBorder="1" applyAlignment="1">
      <alignment horizontal="right" vertical="top"/>
    </xf>
    <xf numFmtId="177" fontId="10" fillId="52" borderId="100" xfId="2" applyNumberFormat="1" applyFont="1" applyFill="1" applyBorder="1" applyAlignment="1">
      <alignment vertical="center"/>
    </xf>
    <xf numFmtId="177" fontId="10" fillId="52" borderId="78" xfId="2" applyNumberFormat="1" applyFont="1" applyFill="1" applyBorder="1" applyAlignment="1">
      <alignment vertical="center"/>
    </xf>
    <xf numFmtId="177" fontId="10" fillId="52" borderId="101" xfId="2" applyNumberFormat="1" applyFont="1" applyFill="1" applyBorder="1" applyAlignment="1">
      <alignment vertical="center"/>
    </xf>
    <xf numFmtId="177" fontId="10" fillId="52" borderId="106" xfId="2" applyNumberFormat="1" applyFont="1" applyFill="1" applyBorder="1" applyAlignment="1">
      <alignment vertical="center"/>
    </xf>
    <xf numFmtId="177" fontId="0" fillId="52" borderId="74" xfId="0" applyNumberFormat="1" applyFill="1" applyBorder="1" applyAlignment="1">
      <alignment horizontal="right" vertical="top"/>
    </xf>
    <xf numFmtId="177" fontId="0" fillId="52" borderId="75" xfId="0" applyNumberFormat="1" applyFill="1" applyBorder="1" applyAlignment="1">
      <alignment horizontal="right" vertical="top"/>
    </xf>
    <xf numFmtId="177" fontId="0" fillId="52" borderId="59" xfId="0" applyNumberFormat="1" applyFill="1" applyBorder="1" applyAlignment="1">
      <alignment horizontal="right" vertical="top"/>
    </xf>
    <xf numFmtId="177" fontId="10" fillId="52" borderId="71" xfId="2" applyNumberFormat="1" applyFont="1" applyFill="1" applyBorder="1" applyAlignment="1">
      <alignment horizontal="right" vertical="center"/>
    </xf>
    <xf numFmtId="177" fontId="10" fillId="52" borderId="73" xfId="2" applyNumberFormat="1" applyFont="1" applyFill="1" applyBorder="1" applyAlignment="1">
      <alignment horizontal="right" vertical="center"/>
    </xf>
    <xf numFmtId="177" fontId="11" fillId="52" borderId="71" xfId="2" applyNumberFormat="1" applyFont="1" applyFill="1" applyBorder="1" applyAlignment="1">
      <alignment horizontal="right" vertical="center"/>
    </xf>
    <xf numFmtId="177" fontId="11" fillId="52" borderId="73" xfId="2" applyNumberFormat="1" applyFont="1" applyFill="1" applyBorder="1" applyAlignment="1">
      <alignment horizontal="right" vertical="center"/>
    </xf>
    <xf numFmtId="177" fontId="10" fillId="51" borderId="59" xfId="1" applyNumberFormat="1" applyFont="1" applyFill="1" applyBorder="1"/>
    <xf numFmtId="177" fontId="10" fillId="51" borderId="60" xfId="1" applyNumberFormat="1" applyFont="1" applyFill="1" applyBorder="1"/>
    <xf numFmtId="177" fontId="10" fillId="51" borderId="62" xfId="1" applyNumberFormat="1" applyFont="1" applyFill="1" applyBorder="1"/>
    <xf numFmtId="177" fontId="10" fillId="51" borderId="63" xfId="1" applyNumberFormat="1" applyFont="1" applyFill="1" applyBorder="1"/>
    <xf numFmtId="177" fontId="8" fillId="52" borderId="71" xfId="1" applyNumberFormat="1" applyFont="1" applyFill="1" applyBorder="1" applyAlignment="1">
      <alignment horizontal="right"/>
    </xf>
    <xf numFmtId="177" fontId="0" fillId="52" borderId="74" xfId="0" applyNumberFormat="1" applyFill="1" applyBorder="1"/>
    <xf numFmtId="177" fontId="0" fillId="52" borderId="75" xfId="0" applyNumberFormat="1" applyFill="1" applyBorder="1"/>
    <xf numFmtId="177" fontId="10" fillId="52" borderId="59" xfId="1" applyNumberFormat="1" applyFont="1" applyFill="1" applyBorder="1" applyProtection="1"/>
    <xf numFmtId="177" fontId="0" fillId="52" borderId="59" xfId="0" applyNumberFormat="1" applyFill="1" applyBorder="1"/>
    <xf numFmtId="177" fontId="0" fillId="52" borderId="60" xfId="0" applyNumberFormat="1" applyFill="1" applyBorder="1"/>
    <xf numFmtId="177" fontId="11" fillId="52" borderId="71" xfId="2" applyNumberFormat="1" applyFont="1" applyFill="1" applyBorder="1"/>
    <xf numFmtId="177" fontId="0" fillId="52" borderId="71" xfId="0" applyNumberFormat="1" applyFill="1" applyBorder="1" applyAlignment="1">
      <alignment horizontal="right" vertical="center"/>
    </xf>
    <xf numFmtId="177" fontId="0" fillId="0" borderId="0" xfId="0" applyNumberFormat="1"/>
    <xf numFmtId="177" fontId="0" fillId="0" borderId="0" xfId="0" applyNumberFormat="1" applyAlignment="1">
      <alignment horizontal="right"/>
    </xf>
    <xf numFmtId="0" fontId="8" fillId="0" borderId="0" xfId="0" applyFont="1" applyAlignment="1" applyProtection="1">
      <alignment horizontal="left" indent="1"/>
      <protection locked="0"/>
    </xf>
    <xf numFmtId="0" fontId="8" fillId="53" borderId="0" xfId="0" applyFont="1" applyFill="1" applyAlignment="1">
      <alignment horizontal="left" vertical="top" indent="1"/>
    </xf>
    <xf numFmtId="0" fontId="0" fillId="0" borderId="0" xfId="0" applyAlignment="1" applyProtection="1">
      <alignment horizontal="left" indent="1"/>
      <protection locked="0"/>
    </xf>
    <xf numFmtId="0" fontId="8" fillId="0" borderId="0" xfId="0" applyFont="1" applyAlignment="1">
      <alignment horizontal="left" indent="1"/>
    </xf>
    <xf numFmtId="0" fontId="11" fillId="53" borderId="0" xfId="85" applyFont="1" applyFill="1" applyAlignment="1">
      <alignment horizontal="left" vertical="center" wrapText="1"/>
    </xf>
    <xf numFmtId="0" fontId="10" fillId="53" borderId="0" xfId="85" applyFont="1" applyFill="1" applyAlignment="1">
      <alignment horizontal="left" vertical="center" wrapText="1"/>
    </xf>
    <xf numFmtId="0" fontId="0" fillId="0" borderId="0" xfId="0" applyAlignment="1">
      <alignment horizontal="left" vertical="center" wrapText="1" indent="1"/>
    </xf>
    <xf numFmtId="0" fontId="248" fillId="0" borderId="0" xfId="0" applyFont="1" applyAlignment="1">
      <alignment horizontal="left" indent="1"/>
    </xf>
    <xf numFmtId="0" fontId="248" fillId="0" borderId="0" xfId="0" applyFont="1" applyAlignment="1">
      <alignment wrapText="1"/>
    </xf>
    <xf numFmtId="0" fontId="248" fillId="0" borderId="0" xfId="0" applyFont="1"/>
    <xf numFmtId="3" fontId="0" fillId="0" borderId="0" xfId="0" applyNumberFormat="1"/>
    <xf numFmtId="177" fontId="10" fillId="0" borderId="0" xfId="1" applyNumberFormat="1" applyFont="1" applyFill="1" applyBorder="1" applyProtection="1"/>
    <xf numFmtId="0" fontId="0" fillId="52" borderId="78" xfId="0" applyFill="1" applyBorder="1" applyAlignment="1">
      <alignment horizontal="left" vertical="center" wrapText="1" indent="1"/>
    </xf>
    <xf numFmtId="177" fontId="10" fillId="0" borderId="0" xfId="2" applyNumberFormat="1" applyFont="1" applyFill="1" applyBorder="1"/>
    <xf numFmtId="0" fontId="8" fillId="53" borderId="0" xfId="0" applyFont="1" applyFill="1" applyAlignment="1">
      <alignment horizontal="left"/>
    </xf>
    <xf numFmtId="0" fontId="0" fillId="53" borderId="0" xfId="0" applyFill="1" applyAlignment="1">
      <alignment horizontal="center" vertical="center" wrapText="1"/>
    </xf>
    <xf numFmtId="0" fontId="8" fillId="0" borderId="0" xfId="0" applyFont="1" applyAlignment="1">
      <alignment horizontal="left"/>
    </xf>
    <xf numFmtId="177" fontId="10" fillId="0" borderId="0" xfId="2" applyNumberFormat="1" applyFont="1" applyFill="1" applyBorder="1" applyAlignment="1">
      <alignment horizontal="right" vertical="center"/>
    </xf>
    <xf numFmtId="0" fontId="8" fillId="53" borderId="0" xfId="0" applyFont="1" applyFill="1"/>
    <xf numFmtId="177" fontId="0" fillId="0" borderId="0" xfId="1" applyNumberFormat="1" applyFont="1" applyFill="1" applyBorder="1" applyAlignment="1">
      <alignment horizontal="right"/>
    </xf>
    <xf numFmtId="177" fontId="0" fillId="0" borderId="0" xfId="1" applyNumberFormat="1" applyFont="1" applyFill="1" applyBorder="1" applyAlignment="1"/>
    <xf numFmtId="0" fontId="8" fillId="53" borderId="0" xfId="0" applyFont="1" applyFill="1" applyAlignment="1">
      <alignment horizontal="left" indent="1"/>
    </xf>
    <xf numFmtId="177" fontId="10" fillId="3" borderId="59" xfId="1" applyNumberFormat="1" applyFont="1" applyFill="1" applyBorder="1" applyProtection="1"/>
    <xf numFmtId="15" fontId="244" fillId="46" borderId="105" xfId="48236" applyNumberFormat="1" applyFont="1" applyFill="1" applyBorder="1" applyAlignment="1">
      <alignment horizontal="center" vertical="top" wrapText="1"/>
    </xf>
    <xf numFmtId="0" fontId="244" fillId="46" borderId="105" xfId="48236" applyFont="1" applyFill="1" applyBorder="1" applyAlignment="1">
      <alignment vertical="top" wrapText="1"/>
    </xf>
    <xf numFmtId="0" fontId="244" fillId="46" borderId="105" xfId="48236" applyFont="1" applyFill="1" applyBorder="1" applyAlignment="1">
      <alignment horizontal="center" vertical="top" wrapText="1"/>
    </xf>
    <xf numFmtId="0" fontId="30" fillId="42" borderId="0" xfId="90" applyFont="1" applyFill="1" applyAlignment="1">
      <alignment horizontal="left"/>
    </xf>
    <xf numFmtId="0" fontId="0" fillId="42" borderId="63" xfId="0" applyFill="1" applyBorder="1" applyAlignment="1">
      <alignment horizontal="left" vertical="top" wrapText="1" indent="1"/>
    </xf>
    <xf numFmtId="0" fontId="0" fillId="42" borderId="66" xfId="0" applyFill="1" applyBorder="1" applyAlignment="1">
      <alignment horizontal="left" vertical="top" wrapText="1" indent="1"/>
    </xf>
    <xf numFmtId="0" fontId="0" fillId="0" borderId="84" xfId="0" applyBorder="1" applyAlignment="1">
      <alignment horizontal="left" vertical="top" wrapText="1" indent="1"/>
    </xf>
    <xf numFmtId="0" fontId="10" fillId="0" borderId="0" xfId="7" applyFont="1" applyAlignment="1">
      <alignment horizontal="left" vertical="center" wrapText="1" indent="1"/>
    </xf>
    <xf numFmtId="0" fontId="0" fillId="0" borderId="84" xfId="0" applyBorder="1" applyAlignment="1">
      <alignment vertical="center" wrapText="1"/>
    </xf>
    <xf numFmtId="173" fontId="11" fillId="0" borderId="0" xfId="0" applyNumberFormat="1" applyFont="1" applyAlignment="1">
      <alignment horizontal="left" vertical="center" indent="1"/>
    </xf>
    <xf numFmtId="173" fontId="10" fillId="42" borderId="0" xfId="0" applyNumberFormat="1" applyFont="1" applyFill="1" applyAlignment="1">
      <alignment horizontal="left" vertical="center" indent="1"/>
    </xf>
    <xf numFmtId="0" fontId="0" fillId="42" borderId="0" xfId="0" applyFill="1" applyAlignment="1" applyProtection="1">
      <alignment horizontal="center" vertical="center"/>
      <protection locked="0"/>
    </xf>
    <xf numFmtId="0" fontId="0" fillId="42" borderId="63" xfId="0" quotePrefix="1" applyFill="1" applyBorder="1" applyAlignment="1">
      <alignment horizontal="left" vertical="top" wrapText="1"/>
    </xf>
    <xf numFmtId="0" fontId="0" fillId="42" borderId="63" xfId="0" quotePrefix="1" applyFill="1" applyBorder="1" applyAlignment="1">
      <alignment horizontal="left" vertical="top" wrapText="1" indent="1"/>
    </xf>
    <xf numFmtId="177" fontId="0" fillId="51" borderId="71" xfId="0" applyNumberFormat="1" applyFill="1" applyBorder="1"/>
    <xf numFmtId="175" fontId="0" fillId="51" borderId="68" xfId="0" applyNumberFormat="1" applyFill="1" applyBorder="1"/>
    <xf numFmtId="175" fontId="0" fillId="51" borderId="69" xfId="0" applyNumberFormat="1" applyFill="1" applyBorder="1"/>
    <xf numFmtId="0" fontId="0" fillId="42" borderId="75" xfId="0" applyFill="1" applyBorder="1" applyAlignment="1">
      <alignment horizontal="left" vertical="top" wrapText="1" indent="1"/>
    </xf>
    <xf numFmtId="0" fontId="0" fillId="42" borderId="75" xfId="0" applyFill="1" applyBorder="1" applyAlignment="1">
      <alignment horizontal="left" vertical="top" wrapText="1"/>
    </xf>
    <xf numFmtId="177" fontId="11" fillId="51" borderId="71" xfId="1" applyNumberFormat="1" applyFont="1" applyFill="1" applyBorder="1" applyProtection="1"/>
    <xf numFmtId="177" fontId="10" fillId="51" borderId="71" xfId="1" applyNumberFormat="1" applyFont="1" applyFill="1" applyBorder="1" applyProtection="1"/>
    <xf numFmtId="175" fontId="10" fillId="116" borderId="71" xfId="1" applyNumberFormat="1" applyFont="1" applyFill="1" applyBorder="1" applyProtection="1"/>
    <xf numFmtId="175" fontId="10" fillId="116" borderId="72" xfId="1" applyNumberFormat="1" applyFont="1" applyFill="1" applyBorder="1" applyProtection="1"/>
    <xf numFmtId="175" fontId="10" fillId="51" borderId="71" xfId="1" applyNumberFormat="1" applyFont="1" applyFill="1" applyBorder="1" applyProtection="1"/>
    <xf numFmtId="175" fontId="10" fillId="51" borderId="72" xfId="1" applyNumberFormat="1" applyFont="1" applyFill="1" applyBorder="1" applyProtection="1"/>
    <xf numFmtId="0" fontId="10" fillId="42" borderId="0" xfId="0" applyFont="1" applyFill="1" applyAlignment="1">
      <alignment horizontal="left" vertical="center" indent="1"/>
    </xf>
    <xf numFmtId="177" fontId="10" fillId="42" borderId="0" xfId="2" applyNumberFormat="1" applyFont="1" applyFill="1" applyBorder="1" applyAlignment="1">
      <alignment horizontal="right" vertical="center"/>
    </xf>
    <xf numFmtId="0" fontId="263" fillId="47" borderId="0" xfId="90" applyFont="1" applyFill="1" applyAlignment="1">
      <alignment horizontal="left"/>
    </xf>
    <xf numFmtId="0" fontId="262" fillId="47" borderId="0" xfId="0" applyFont="1" applyFill="1"/>
    <xf numFmtId="0" fontId="264" fillId="47" borderId="0" xfId="92" applyFont="1" applyFill="1" applyAlignment="1">
      <alignment wrapText="1"/>
    </xf>
    <xf numFmtId="0" fontId="262" fillId="47" borderId="0" xfId="0" applyFont="1" applyFill="1" applyAlignment="1">
      <alignment wrapText="1"/>
    </xf>
    <xf numFmtId="0" fontId="262" fillId="47" borderId="0" xfId="0" applyFont="1" applyFill="1" applyAlignment="1">
      <alignment horizontal="left" indent="1"/>
    </xf>
    <xf numFmtId="0" fontId="263" fillId="47" borderId="10" xfId="90" applyFont="1" applyFill="1" applyBorder="1" applyAlignment="1">
      <alignment horizontal="left"/>
    </xf>
    <xf numFmtId="0" fontId="262" fillId="47" borderId="11" xfId="0" applyFont="1" applyFill="1" applyBorder="1" applyAlignment="1">
      <alignment wrapText="1"/>
    </xf>
    <xf numFmtId="0" fontId="262" fillId="47" borderId="90" xfId="0" applyFont="1" applyFill="1" applyBorder="1" applyAlignment="1">
      <alignment wrapText="1"/>
    </xf>
    <xf numFmtId="0" fontId="263" fillId="47" borderId="0" xfId="90" applyFont="1" applyFill="1" applyAlignment="1">
      <alignment horizontal="left" indent="1"/>
    </xf>
    <xf numFmtId="0" fontId="266" fillId="47" borderId="0" xfId="90" applyFont="1" applyFill="1" applyAlignment="1">
      <alignment horizontal="left"/>
    </xf>
    <xf numFmtId="0" fontId="0" fillId="42" borderId="76" xfId="0" applyFill="1" applyBorder="1" applyAlignment="1">
      <alignment horizontal="left" vertical="center" wrapText="1" indent="1"/>
    </xf>
    <xf numFmtId="0" fontId="0" fillId="42" borderId="84" xfId="0" applyFill="1" applyBorder="1" applyAlignment="1">
      <alignment horizontal="left" vertical="top" wrapText="1" indent="1"/>
    </xf>
    <xf numFmtId="0" fontId="0" fillId="42" borderId="84" xfId="0" applyFill="1" applyBorder="1" applyAlignment="1">
      <alignment horizontal="left" vertical="top" wrapText="1"/>
    </xf>
    <xf numFmtId="0" fontId="0" fillId="42" borderId="117" xfId="0" applyFill="1" applyBorder="1" applyAlignment="1">
      <alignment horizontal="left" vertical="center" wrapText="1" indent="1"/>
    </xf>
    <xf numFmtId="0" fontId="0" fillId="42" borderId="118" xfId="0" applyFill="1" applyBorder="1" applyAlignment="1">
      <alignment horizontal="left" vertical="top" wrapText="1" indent="1"/>
    </xf>
    <xf numFmtId="0" fontId="0" fillId="42" borderId="118" xfId="0" applyFill="1" applyBorder="1" applyAlignment="1">
      <alignment horizontal="left" vertical="top" wrapText="1"/>
    </xf>
    <xf numFmtId="10" fontId="0" fillId="0" borderId="0" xfId="77" applyNumberFormat="1" applyFont="1"/>
    <xf numFmtId="350" fontId="0" fillId="0" borderId="0" xfId="0" applyNumberFormat="1"/>
    <xf numFmtId="177" fontId="0" fillId="131" borderId="59" xfId="0" applyNumberFormat="1" applyFill="1" applyBorder="1" applyAlignment="1">
      <alignment horizontal="right" vertical="top"/>
    </xf>
    <xf numFmtId="177" fontId="0" fillId="3" borderId="0" xfId="0" applyNumberFormat="1" applyFill="1" applyAlignment="1">
      <alignment horizontal="left" vertical="top"/>
    </xf>
    <xf numFmtId="0" fontId="0" fillId="0" borderId="0" xfId="0" applyProtection="1">
      <protection locked="0"/>
    </xf>
    <xf numFmtId="0" fontId="10" fillId="3" borderId="0" xfId="0" applyFont="1" applyFill="1" applyAlignment="1">
      <alignment horizontal="left" vertical="center" indent="1"/>
    </xf>
    <xf numFmtId="0" fontId="0" fillId="0" borderId="0" xfId="0" applyAlignment="1">
      <alignment horizontal="left" wrapText="1" indent="1"/>
    </xf>
    <xf numFmtId="3" fontId="10" fillId="0" borderId="99" xfId="89" applyNumberFormat="1" applyFont="1" applyBorder="1" applyAlignment="1">
      <alignment horizontal="left" indent="1"/>
    </xf>
    <xf numFmtId="348" fontId="0" fillId="0" borderId="63" xfId="0" applyNumberFormat="1" applyBorder="1" applyAlignment="1">
      <alignment horizontal="right" indent="1"/>
    </xf>
    <xf numFmtId="183" fontId="0" fillId="0" borderId="63" xfId="0" applyNumberFormat="1" applyBorder="1" applyAlignment="1">
      <alignment horizontal="right" indent="1"/>
    </xf>
    <xf numFmtId="169" fontId="0" fillId="0" borderId="63" xfId="0" applyNumberFormat="1" applyBorder="1" applyAlignment="1">
      <alignment horizontal="right" indent="1"/>
    </xf>
    <xf numFmtId="3" fontId="10" fillId="0" borderId="97" xfId="89" applyNumberFormat="1" applyFont="1" applyBorder="1" applyAlignment="1">
      <alignment horizontal="left" indent="1"/>
    </xf>
    <xf numFmtId="183" fontId="0" fillId="0" borderId="66" xfId="0" applyNumberFormat="1" applyBorder="1" applyAlignment="1">
      <alignment horizontal="right" indent="1"/>
    </xf>
    <xf numFmtId="177" fontId="0" fillId="0" borderId="63" xfId="0" applyNumberFormat="1" applyBorder="1" applyAlignment="1">
      <alignment horizontal="right" indent="1"/>
    </xf>
    <xf numFmtId="0" fontId="8" fillId="2" borderId="71" xfId="0" applyFont="1" applyFill="1" applyBorder="1" applyAlignment="1">
      <alignment horizontal="center" vertical="center"/>
    </xf>
    <xf numFmtId="2" fontId="10" fillId="132" borderId="0" xfId="7" applyNumberFormat="1" applyFont="1" applyFill="1" applyAlignment="1">
      <alignment horizontal="center"/>
    </xf>
    <xf numFmtId="0" fontId="10" fillId="132" borderId="0" xfId="7" applyFont="1" applyFill="1" applyAlignment="1">
      <alignment horizontal="center"/>
    </xf>
    <xf numFmtId="178" fontId="10" fillId="132" borderId="0" xfId="7" applyNumberFormat="1" applyFont="1" applyFill="1" applyAlignment="1">
      <alignment horizontal="center"/>
    </xf>
    <xf numFmtId="9" fontId="0" fillId="132" borderId="0" xfId="0" applyNumberFormat="1" applyFill="1" applyAlignment="1">
      <alignment horizontal="center"/>
    </xf>
    <xf numFmtId="183" fontId="10" fillId="0" borderId="0" xfId="7" applyNumberFormat="1" applyFont="1" applyAlignment="1">
      <alignment horizontal="center" vertical="center"/>
    </xf>
    <xf numFmtId="0" fontId="10" fillId="42" borderId="0" xfId="7" applyFont="1" applyFill="1" applyAlignment="1">
      <alignment horizontal="center"/>
    </xf>
    <xf numFmtId="10" fontId="10" fillId="0" borderId="0" xfId="7" applyNumberFormat="1" applyFont="1" applyAlignment="1">
      <alignment horizontal="center" vertical="center"/>
    </xf>
    <xf numFmtId="0" fontId="0" fillId="0" borderId="0" xfId="0" applyAlignment="1">
      <alignment horizontal="left" vertical="top" indent="2"/>
    </xf>
    <xf numFmtId="0" fontId="10" fillId="0" borderId="0" xfId="1" applyNumberFormat="1" applyFont="1" applyAlignment="1">
      <alignment horizontal="left" indent="1"/>
    </xf>
    <xf numFmtId="175" fontId="10" fillId="38" borderId="59" xfId="77" applyNumberFormat="1" applyFont="1" applyFill="1" applyBorder="1"/>
    <xf numFmtId="173" fontId="36" fillId="0" borderId="0" xfId="0" applyNumberFormat="1" applyFont="1" applyAlignment="1">
      <alignment vertical="center"/>
    </xf>
    <xf numFmtId="0" fontId="0" fillId="132" borderId="0" xfId="0" applyFill="1"/>
    <xf numFmtId="0" fontId="268" fillId="0" borderId="0" xfId="0" applyFont="1" applyAlignment="1">
      <alignment horizontal="left"/>
    </xf>
    <xf numFmtId="0" fontId="0" fillId="0" borderId="119" xfId="0" applyBorder="1"/>
    <xf numFmtId="0" fontId="0" fillId="132" borderId="119" xfId="0" applyFill="1" applyBorder="1"/>
    <xf numFmtId="178" fontId="0" fillId="52" borderId="60" xfId="0" applyNumberFormat="1" applyFill="1" applyBorder="1" applyAlignment="1">
      <alignment horizontal="right" vertical="top"/>
    </xf>
    <xf numFmtId="0" fontId="0" fillId="3" borderId="0" xfId="0" applyFill="1"/>
    <xf numFmtId="177" fontId="10" fillId="131" borderId="59" xfId="2" applyNumberFormat="1" applyFont="1" applyFill="1" applyBorder="1"/>
    <xf numFmtId="177" fontId="10" fillId="131" borderId="60" xfId="2" applyNumberFormat="1" applyFont="1" applyFill="1" applyBorder="1"/>
    <xf numFmtId="0" fontId="10" fillId="0" borderId="0" xfId="0" applyFont="1"/>
    <xf numFmtId="350" fontId="10" fillId="0" borderId="0" xfId="0" applyNumberFormat="1" applyFont="1"/>
    <xf numFmtId="0" fontId="11" fillId="0" borderId="0" xfId="7" applyFont="1" applyAlignment="1">
      <alignment horizontal="center" vertical="center" wrapText="1"/>
    </xf>
    <xf numFmtId="0" fontId="250" fillId="0" borderId="0" xfId="7" applyFont="1" applyAlignment="1">
      <alignment horizontal="center" vertical="center" wrapText="1"/>
    </xf>
    <xf numFmtId="347" fontId="247" fillId="0" borderId="0" xfId="0" applyNumberFormat="1" applyFont="1" applyAlignment="1">
      <alignment vertical="center"/>
    </xf>
    <xf numFmtId="3"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3" fontId="0" fillId="0" borderId="0" xfId="0" applyNumberFormat="1" applyAlignment="1">
      <alignment vertical="center" wrapText="1"/>
    </xf>
    <xf numFmtId="0" fontId="10" fillId="0" borderId="0" xfId="0" applyFont="1" applyAlignment="1">
      <alignment horizontal="left" vertical="center" indent="1"/>
    </xf>
    <xf numFmtId="170" fontId="0" fillId="0" borderId="0" xfId="1" applyNumberFormat="1" applyFont="1" applyFill="1" applyBorder="1" applyAlignment="1">
      <alignment horizontal="right" vertical="top"/>
    </xf>
    <xf numFmtId="0" fontId="0" fillId="0" borderId="0" xfId="0" quotePrefix="1"/>
    <xf numFmtId="177" fontId="11" fillId="0" borderId="0" xfId="2" applyNumberFormat="1" applyFont="1" applyFill="1" applyBorder="1"/>
    <xf numFmtId="10" fontId="0" fillId="0" borderId="95" xfId="0" applyNumberFormat="1" applyBorder="1"/>
    <xf numFmtId="10" fontId="0" fillId="0" borderId="61" xfId="0" applyNumberFormat="1" applyBorder="1"/>
    <xf numFmtId="10" fontId="0" fillId="0" borderId="93" xfId="0" applyNumberFormat="1" applyBorder="1"/>
    <xf numFmtId="0" fontId="26" fillId="0" borderId="78" xfId="0" applyFont="1" applyBorder="1" applyAlignment="1">
      <alignment horizontal="left" indent="1"/>
    </xf>
    <xf numFmtId="0" fontId="0" fillId="0" borderId="79" xfId="0" applyBorder="1" applyAlignment="1">
      <alignment horizontal="left" indent="1"/>
    </xf>
    <xf numFmtId="0" fontId="0" fillId="0" borderId="106" xfId="0" applyBorder="1" applyAlignment="1">
      <alignment horizontal="left" indent="1"/>
    </xf>
    <xf numFmtId="0" fontId="0" fillId="0" borderId="80" xfId="0" applyBorder="1" applyAlignment="1">
      <alignment horizontal="left" indent="1"/>
    </xf>
    <xf numFmtId="0" fontId="0" fillId="0" borderId="78" xfId="0" applyBorder="1" applyAlignment="1">
      <alignment horizontal="left" indent="1"/>
    </xf>
    <xf numFmtId="0" fontId="0" fillId="0" borderId="11" xfId="0" applyBorder="1"/>
    <xf numFmtId="0" fontId="0" fillId="3" borderId="10" xfId="0" applyFill="1" applyBorder="1" applyAlignment="1">
      <alignment horizontal="left" indent="1"/>
    </xf>
    <xf numFmtId="0" fontId="0" fillId="3" borderId="0" xfId="0" applyFill="1" applyAlignment="1">
      <alignment horizontal="left" indent="1"/>
    </xf>
    <xf numFmtId="0" fontId="0" fillId="3" borderId="0" xfId="0" applyFill="1" applyAlignment="1">
      <alignment horizontal="center" vertical="center"/>
    </xf>
    <xf numFmtId="0" fontId="0" fillId="3" borderId="11" xfId="0" applyFill="1" applyBorder="1"/>
    <xf numFmtId="0" fontId="0" fillId="3" borderId="89" xfId="0" applyFill="1" applyBorder="1" applyAlignment="1">
      <alignment horizontal="left" indent="1"/>
    </xf>
    <xf numFmtId="0" fontId="0" fillId="3" borderId="90" xfId="0" applyFill="1" applyBorder="1"/>
    <xf numFmtId="0" fontId="0" fillId="133" borderId="0" xfId="0" applyFill="1" applyAlignment="1">
      <alignment horizontal="center" vertical="center"/>
    </xf>
    <xf numFmtId="0" fontId="8" fillId="133" borderId="0" xfId="0" applyFont="1" applyFill="1" applyAlignment="1">
      <alignment horizontal="left" vertical="top" indent="1"/>
    </xf>
    <xf numFmtId="183" fontId="0" fillId="0" borderId="0" xfId="0" applyNumberFormat="1"/>
    <xf numFmtId="0" fontId="36" fillId="0" borderId="0" xfId="0" applyFont="1"/>
    <xf numFmtId="0" fontId="0" fillId="0" borderId="0" xfId="0" applyAlignment="1" applyProtection="1">
      <alignment horizontal="center"/>
      <protection locked="0"/>
    </xf>
    <xf numFmtId="0" fontId="8" fillId="133" borderId="0" xfId="0" applyFont="1" applyFill="1" applyAlignment="1">
      <alignment horizontal="left" vertical="center" indent="1"/>
    </xf>
    <xf numFmtId="0" fontId="0" fillId="133" borderId="0" xfId="0" applyFill="1" applyAlignment="1">
      <alignment horizontal="left" vertical="top"/>
    </xf>
    <xf numFmtId="0" fontId="0" fillId="133" borderId="0" xfId="0" applyFill="1"/>
    <xf numFmtId="0" fontId="0" fillId="3" borderId="0" xfId="0" applyFill="1" applyAlignment="1">
      <alignment horizontal="left" vertical="top" indent="1"/>
    </xf>
    <xf numFmtId="0" fontId="11" fillId="0" borderId="0" xfId="85" applyFont="1" applyAlignment="1">
      <alignment horizontal="left" vertical="center" wrapText="1"/>
    </xf>
    <xf numFmtId="0" fontId="10" fillId="0" borderId="0" xfId="85" applyFont="1" applyAlignment="1">
      <alignment horizontal="left" vertical="center" wrapText="1"/>
    </xf>
    <xf numFmtId="0" fontId="10" fillId="0" borderId="89" xfId="7" applyFont="1" applyBorder="1" applyAlignment="1">
      <alignment horizontal="left" vertical="center" wrapText="1" indent="1"/>
    </xf>
    <xf numFmtId="178" fontId="0" fillId="117" borderId="59" xfId="0" applyNumberFormat="1" applyFill="1" applyBorder="1" applyAlignment="1">
      <alignment horizontal="right" indent="1"/>
    </xf>
    <xf numFmtId="178" fontId="0" fillId="117" borderId="60" xfId="0" applyNumberFormat="1" applyFill="1" applyBorder="1" applyAlignment="1">
      <alignment horizontal="right" indent="1"/>
    </xf>
    <xf numFmtId="178" fontId="0" fillId="117" borderId="62" xfId="0" applyNumberFormat="1" applyFill="1" applyBorder="1" applyAlignment="1">
      <alignment horizontal="right" indent="1"/>
    </xf>
    <xf numFmtId="10" fontId="0" fillId="0" borderId="99" xfId="0" applyNumberFormat="1" applyBorder="1"/>
    <xf numFmtId="178" fontId="0" fillId="117" borderId="64" xfId="0" applyNumberFormat="1" applyFill="1" applyBorder="1" applyAlignment="1">
      <alignment horizontal="right" indent="1"/>
    </xf>
    <xf numFmtId="10" fontId="0" fillId="0" borderId="97" xfId="0" applyNumberFormat="1" applyBorder="1"/>
    <xf numFmtId="10" fontId="0" fillId="0" borderId="91" xfId="0" applyNumberFormat="1" applyBorder="1"/>
    <xf numFmtId="178" fontId="0" fillId="117" borderId="66" xfId="0" applyNumberFormat="1" applyFill="1" applyBorder="1" applyAlignment="1">
      <alignment horizontal="right" indent="1"/>
    </xf>
    <xf numFmtId="178" fontId="0" fillId="117" borderId="67" xfId="0" applyNumberFormat="1" applyFill="1" applyBorder="1" applyAlignment="1">
      <alignment horizontal="right" indent="1"/>
    </xf>
    <xf numFmtId="10" fontId="0" fillId="0" borderId="100" xfId="0" applyNumberFormat="1" applyBorder="1"/>
    <xf numFmtId="0" fontId="262" fillId="47" borderId="21" xfId="0" applyFont="1" applyFill="1" applyBorder="1" applyAlignment="1">
      <alignment wrapText="1"/>
    </xf>
    <xf numFmtId="0" fontId="10" fillId="42" borderId="120" xfId="7" applyFont="1" applyFill="1" applyBorder="1" applyAlignment="1">
      <alignment horizontal="left" indent="1"/>
    </xf>
    <xf numFmtId="1" fontId="8" fillId="2" borderId="121" xfId="0" applyNumberFormat="1" applyFont="1" applyFill="1" applyBorder="1" applyAlignment="1">
      <alignment horizontal="center" vertical="center"/>
    </xf>
    <xf numFmtId="1" fontId="8" fillId="2" borderId="122" xfId="0" applyNumberFormat="1" applyFont="1" applyFill="1" applyBorder="1" applyAlignment="1">
      <alignment horizontal="center" vertical="center"/>
    </xf>
    <xf numFmtId="1" fontId="0" fillId="0" borderId="120" xfId="0" applyNumberFormat="1" applyBorder="1" applyAlignment="1">
      <alignment horizontal="left" indent="1"/>
    </xf>
    <xf numFmtId="0" fontId="0" fillId="0" borderId="123" xfId="0" applyBorder="1"/>
    <xf numFmtId="0" fontId="263" fillId="47" borderId="21" xfId="90" applyFont="1" applyFill="1" applyBorder="1" applyAlignment="1">
      <alignment horizontal="left" indent="1"/>
    </xf>
    <xf numFmtId="0" fontId="263" fillId="47" borderId="21" xfId="90" applyFont="1" applyFill="1" applyBorder="1" applyAlignment="1">
      <alignment horizontal="left"/>
    </xf>
    <xf numFmtId="0" fontId="30" fillId="47" borderId="21" xfId="90" applyFont="1" applyFill="1" applyBorder="1" applyAlignment="1">
      <alignment horizontal="left"/>
    </xf>
    <xf numFmtId="0" fontId="32" fillId="47" borderId="21" xfId="75" applyFont="1" applyFill="1" applyBorder="1"/>
    <xf numFmtId="0" fontId="262" fillId="47" borderId="21" xfId="0" applyFont="1" applyFill="1" applyBorder="1" applyAlignment="1">
      <alignment horizontal="left" indent="1"/>
    </xf>
    <xf numFmtId="0" fontId="0" fillId="47" borderId="21" xfId="0" applyFill="1" applyBorder="1" applyAlignment="1">
      <alignment horizontal="center" vertical="center"/>
    </xf>
    <xf numFmtId="0" fontId="0" fillId="47" borderId="21" xfId="0" applyFill="1" applyBorder="1"/>
    <xf numFmtId="0" fontId="30" fillId="47" borderId="21" xfId="90" applyFont="1" applyFill="1" applyBorder="1" applyAlignment="1">
      <alignment horizontal="center" vertical="center"/>
    </xf>
    <xf numFmtId="177" fontId="10" fillId="38" borderId="120" xfId="1" applyNumberFormat="1" applyFont="1" applyFill="1" applyBorder="1" applyProtection="1"/>
    <xf numFmtId="0" fontId="266" fillId="47" borderId="21" xfId="90" applyFont="1" applyFill="1" applyBorder="1" applyAlignment="1">
      <alignment horizontal="left"/>
    </xf>
    <xf numFmtId="0" fontId="35" fillId="47" borderId="21" xfId="90" applyFont="1" applyFill="1" applyBorder="1" applyAlignment="1">
      <alignment horizontal="center" vertical="center"/>
    </xf>
    <xf numFmtId="0" fontId="35" fillId="47" borderId="21" xfId="90" applyFont="1" applyFill="1" applyBorder="1" applyAlignment="1">
      <alignment horizontal="left"/>
    </xf>
    <xf numFmtId="9" fontId="0" fillId="51" borderId="121" xfId="1" applyNumberFormat="1" applyFont="1" applyFill="1" applyBorder="1" applyAlignment="1">
      <alignment horizontal="right"/>
    </xf>
    <xf numFmtId="9" fontId="0" fillId="51" borderId="122" xfId="1" applyNumberFormat="1" applyFont="1" applyFill="1" applyBorder="1" applyAlignment="1">
      <alignment horizontal="right"/>
    </xf>
    <xf numFmtId="0" fontId="30" fillId="47" borderId="21" xfId="90" applyFont="1" applyFill="1" applyBorder="1" applyAlignment="1">
      <alignment horizontal="center"/>
    </xf>
    <xf numFmtId="177" fontId="11" fillId="52" borderId="121" xfId="2" applyNumberFormat="1" applyFont="1" applyFill="1" applyBorder="1"/>
    <xf numFmtId="177" fontId="10" fillId="38" borderId="121" xfId="1" applyNumberFormat="1" applyFont="1" applyFill="1" applyBorder="1" applyProtection="1"/>
    <xf numFmtId="177" fontId="10" fillId="38" borderId="122" xfId="1" applyNumberFormat="1" applyFont="1" applyFill="1" applyBorder="1" applyProtection="1"/>
    <xf numFmtId="177" fontId="0" fillId="52" borderId="121" xfId="0" applyNumberFormat="1" applyFill="1" applyBorder="1" applyAlignment="1">
      <alignment horizontal="right" vertical="top"/>
    </xf>
    <xf numFmtId="10" fontId="0" fillId="117" borderId="63" xfId="77" applyNumberFormat="1" applyFont="1" applyFill="1" applyBorder="1" applyAlignment="1">
      <alignment horizontal="right" indent="1"/>
    </xf>
    <xf numFmtId="177" fontId="0" fillId="0" borderId="0" xfId="0" applyNumberFormat="1" applyAlignment="1">
      <alignment horizontal="right" vertical="top"/>
    </xf>
    <xf numFmtId="0" fontId="0" fillId="3" borderId="0" xfId="0" applyFill="1" applyAlignment="1">
      <alignment horizontal="left" vertical="top"/>
    </xf>
    <xf numFmtId="0" fontId="8" fillId="3" borderId="0" xfId="0" applyFont="1" applyFill="1" applyAlignment="1">
      <alignment horizontal="left" vertical="top"/>
    </xf>
    <xf numFmtId="0" fontId="8" fillId="3" borderId="0" xfId="0" applyFont="1" applyFill="1" applyAlignment="1">
      <alignment horizontal="center" vertical="center" wrapText="1"/>
    </xf>
    <xf numFmtId="0" fontId="0" fillId="3" borderId="0" xfId="0" applyFill="1" applyAlignment="1">
      <alignment horizontal="right" vertical="top"/>
    </xf>
    <xf numFmtId="1" fontId="8" fillId="2" borderId="85"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xf>
    <xf numFmtId="3" fontId="0" fillId="0" borderId="123" xfId="0" applyNumberFormat="1" applyBorder="1" applyAlignment="1">
      <alignment horizontal="center" vertical="center" wrapText="1"/>
    </xf>
    <xf numFmtId="0" fontId="0" fillId="0" borderId="94" xfId="0" applyBorder="1" applyAlignment="1">
      <alignment horizontal="left" vertical="center" wrapText="1" indent="1"/>
    </xf>
    <xf numFmtId="177" fontId="0" fillId="131" borderId="63" xfId="0" applyNumberFormat="1" applyFill="1" applyBorder="1" applyAlignment="1">
      <alignment horizontal="right" vertical="top"/>
    </xf>
    <xf numFmtId="178" fontId="0" fillId="0" borderId="63" xfId="0" applyNumberFormat="1" applyBorder="1" applyAlignment="1">
      <alignment horizontal="right" indent="1"/>
    </xf>
    <xf numFmtId="177" fontId="10" fillId="52" borderId="101" xfId="2" applyNumberFormat="1" applyFont="1" applyFill="1" applyBorder="1" applyAlignment="1">
      <alignment vertical="top"/>
    </xf>
    <xf numFmtId="177" fontId="10" fillId="52" borderId="106" xfId="2" applyNumberFormat="1" applyFont="1" applyFill="1" applyBorder="1" applyAlignment="1">
      <alignment vertical="top"/>
    </xf>
    <xf numFmtId="0" fontId="0" fillId="0" borderId="0" xfId="0" applyAlignment="1">
      <alignment vertical="top"/>
    </xf>
    <xf numFmtId="177" fontId="11" fillId="52" borderId="59" xfId="2" applyNumberFormat="1" applyFont="1" applyFill="1" applyBorder="1"/>
    <xf numFmtId="177" fontId="11" fillId="52" borderId="60" xfId="2" applyNumberFormat="1" applyFont="1" applyFill="1" applyBorder="1"/>
    <xf numFmtId="183" fontId="10" fillId="52" borderId="6" xfId="7" applyNumberFormat="1" applyFont="1" applyFill="1" applyBorder="1" applyAlignment="1">
      <alignment horizontal="center" vertical="center"/>
    </xf>
    <xf numFmtId="177" fontId="10" fillId="38" borderId="76" xfId="1" applyNumberFormat="1" applyFont="1" applyFill="1" applyBorder="1" applyProtection="1"/>
    <xf numFmtId="177" fontId="11" fillId="38" borderId="125" xfId="1" applyNumberFormat="1" applyFont="1" applyFill="1" applyBorder="1" applyProtection="1"/>
    <xf numFmtId="177" fontId="11" fillId="38" borderId="126" xfId="1" applyNumberFormat="1" applyFont="1" applyFill="1" applyBorder="1" applyProtection="1"/>
    <xf numFmtId="177" fontId="11" fillId="38" borderId="127" xfId="1" applyNumberFormat="1" applyFont="1" applyFill="1" applyBorder="1" applyProtection="1"/>
    <xf numFmtId="0" fontId="0" fillId="0" borderId="128" xfId="0" applyBorder="1"/>
    <xf numFmtId="175" fontId="10" fillId="38" borderId="121" xfId="77" applyNumberFormat="1" applyFont="1" applyFill="1" applyBorder="1"/>
    <xf numFmtId="175" fontId="10" fillId="38" borderId="76" xfId="77" applyNumberFormat="1" applyFont="1" applyFill="1" applyBorder="1"/>
    <xf numFmtId="175" fontId="11" fillId="38" borderId="125" xfId="77" applyNumberFormat="1" applyFont="1" applyFill="1" applyBorder="1" applyProtection="1"/>
    <xf numFmtId="175" fontId="11" fillId="38" borderId="127" xfId="77" applyNumberFormat="1" applyFont="1" applyFill="1" applyBorder="1" applyProtection="1"/>
    <xf numFmtId="175" fontId="11" fillId="38" borderId="126" xfId="77" applyNumberFormat="1" applyFont="1" applyFill="1" applyBorder="1" applyProtection="1"/>
    <xf numFmtId="175" fontId="10" fillId="38" borderId="124" xfId="77" applyNumberFormat="1" applyFont="1" applyFill="1" applyBorder="1" applyProtection="1"/>
    <xf numFmtId="175" fontId="10" fillId="38" borderId="77" xfId="77" applyNumberFormat="1" applyFont="1" applyFill="1" applyBorder="1" applyProtection="1"/>
    <xf numFmtId="175" fontId="11" fillId="38" borderId="129" xfId="77" applyNumberFormat="1" applyFont="1" applyFill="1" applyBorder="1" applyProtection="1"/>
    <xf numFmtId="175" fontId="10" fillId="38" borderId="68" xfId="77" applyNumberFormat="1" applyFont="1" applyFill="1" applyBorder="1" applyProtection="1"/>
    <xf numFmtId="9" fontId="0" fillId="0" borderId="6" xfId="77" applyFont="1" applyBorder="1" applyAlignment="1">
      <alignment horizontal="center" vertical="center"/>
    </xf>
    <xf numFmtId="9" fontId="0" fillId="0" borderId="6" xfId="77" applyFont="1" applyFill="1" applyBorder="1" applyAlignment="1">
      <alignment horizontal="center" vertical="center"/>
    </xf>
    <xf numFmtId="0" fontId="270" fillId="53" borderId="0" xfId="0" applyFont="1" applyFill="1" applyAlignment="1">
      <alignment horizontal="left" vertical="top"/>
    </xf>
    <xf numFmtId="0" fontId="0" fillId="51" borderId="0" xfId="0" applyFill="1" applyAlignment="1">
      <alignment horizontal="left" vertical="top"/>
    </xf>
    <xf numFmtId="0" fontId="263" fillId="0" borderId="0" xfId="90" applyFont="1" applyAlignment="1">
      <alignment horizontal="left"/>
    </xf>
    <xf numFmtId="0" fontId="262" fillId="0" borderId="0" xfId="0" applyFont="1"/>
    <xf numFmtId="0" fontId="262" fillId="0" borderId="0" xfId="0" applyFont="1" applyAlignment="1">
      <alignment wrapText="1"/>
    </xf>
    <xf numFmtId="0" fontId="262" fillId="0" borderId="0" xfId="0" applyFont="1" applyAlignment="1">
      <alignment horizontal="left" indent="1"/>
    </xf>
    <xf numFmtId="0" fontId="10" fillId="0" borderId="11" xfId="77" applyNumberFormat="1" applyFont="1" applyFill="1" applyBorder="1" applyAlignment="1" applyProtection="1">
      <alignment horizontal="center"/>
    </xf>
    <xf numFmtId="0" fontId="10" fillId="51" borderId="0" xfId="77" applyNumberFormat="1" applyFont="1" applyFill="1" applyBorder="1" applyAlignment="1" applyProtection="1">
      <alignment horizontal="left" indent="1"/>
    </xf>
    <xf numFmtId="0" fontId="11" fillId="51" borderId="0" xfId="77" applyNumberFormat="1" applyFont="1" applyFill="1" applyBorder="1" applyAlignment="1" applyProtection="1">
      <alignment horizontal="left" indent="1"/>
    </xf>
    <xf numFmtId="0" fontId="0" fillId="51" borderId="0" xfId="0" applyFill="1" applyAlignment="1">
      <alignment horizontal="left" indent="1"/>
    </xf>
    <xf numFmtId="0" fontId="8" fillId="51" borderId="0" xfId="0" applyFont="1" applyFill="1" applyAlignment="1">
      <alignment horizontal="left" indent="1"/>
    </xf>
    <xf numFmtId="1" fontId="0" fillId="51" borderId="11" xfId="0" applyNumberFormat="1" applyFill="1" applyBorder="1" applyAlignment="1">
      <alignment horizontal="center"/>
    </xf>
    <xf numFmtId="1" fontId="0" fillId="51" borderId="0" xfId="0" applyNumberFormat="1" applyFill="1" applyAlignment="1">
      <alignment horizontal="center"/>
    </xf>
    <xf numFmtId="177" fontId="10" fillId="52" borderId="87" xfId="1" applyNumberFormat="1" applyFont="1" applyFill="1" applyBorder="1" applyProtection="1"/>
    <xf numFmtId="177" fontId="10" fillId="52" borderId="81" xfId="1" applyNumberFormat="1" applyFont="1" applyFill="1" applyBorder="1" applyProtection="1"/>
    <xf numFmtId="177" fontId="10" fillId="52" borderId="82" xfId="1" applyNumberFormat="1" applyFont="1" applyFill="1" applyBorder="1" applyProtection="1"/>
    <xf numFmtId="3" fontId="0" fillId="0" borderId="120" xfId="0" applyNumberFormat="1" applyBorder="1" applyAlignment="1">
      <alignment horizontal="center" vertical="center" wrapText="1"/>
    </xf>
    <xf numFmtId="0" fontId="0" fillId="0" borderId="99" xfId="0" applyBorder="1" applyAlignment="1">
      <alignment horizontal="left" vertical="center" wrapText="1" indent="1"/>
    </xf>
    <xf numFmtId="184" fontId="10" fillId="3" borderId="0" xfId="0" applyNumberFormat="1" applyFont="1" applyFill="1" applyAlignment="1" applyProtection="1">
      <alignment horizontal="left" vertical="center" indent="1"/>
      <protection locked="0"/>
    </xf>
    <xf numFmtId="0" fontId="268" fillId="0" borderId="0" xfId="0" applyFont="1" applyAlignment="1">
      <alignment horizontal="left" vertical="top"/>
    </xf>
    <xf numFmtId="0" fontId="271" fillId="0" borderId="0" xfId="0" applyFont="1"/>
    <xf numFmtId="10" fontId="0" fillId="0" borderId="0" xfId="0" applyNumberFormat="1"/>
    <xf numFmtId="178" fontId="0" fillId="0" borderId="128" xfId="0" applyNumberFormat="1" applyBorder="1" applyAlignment="1">
      <alignment horizontal="right" indent="1"/>
    </xf>
    <xf numFmtId="178" fontId="0" fillId="117" borderId="86" xfId="0" applyNumberFormat="1" applyFill="1" applyBorder="1" applyAlignment="1">
      <alignment horizontal="right" indent="1"/>
    </xf>
    <xf numFmtId="178" fontId="0" fillId="117" borderId="130" xfId="0" applyNumberFormat="1" applyFill="1" applyBorder="1" applyAlignment="1">
      <alignment horizontal="right" indent="1"/>
    </xf>
    <xf numFmtId="10" fontId="0" fillId="117" borderId="131" xfId="77" applyNumberFormat="1" applyFont="1" applyFill="1" applyBorder="1" applyAlignment="1">
      <alignment horizontal="right" indent="1"/>
    </xf>
    <xf numFmtId="178" fontId="0" fillId="117" borderId="132" xfId="0" applyNumberFormat="1" applyFill="1" applyBorder="1" applyAlignment="1">
      <alignment horizontal="right" indent="1"/>
    </xf>
    <xf numFmtId="10" fontId="0" fillId="0" borderId="133" xfId="0" applyNumberFormat="1" applyBorder="1"/>
    <xf numFmtId="178" fontId="0" fillId="117" borderId="131" xfId="0" applyNumberFormat="1" applyFill="1" applyBorder="1" applyAlignment="1">
      <alignment horizontal="right" indent="1"/>
    </xf>
    <xf numFmtId="10" fontId="0" fillId="0" borderId="134" xfId="0" applyNumberFormat="1" applyBorder="1"/>
    <xf numFmtId="10" fontId="0" fillId="0" borderId="135" xfId="0" applyNumberFormat="1" applyBorder="1"/>
    <xf numFmtId="178" fontId="0" fillId="117" borderId="136" xfId="0" applyNumberFormat="1" applyFill="1" applyBorder="1" applyAlignment="1">
      <alignment horizontal="right" indent="1"/>
    </xf>
    <xf numFmtId="178" fontId="0" fillId="117" borderId="137" xfId="0" applyNumberFormat="1" applyFill="1" applyBorder="1" applyAlignment="1">
      <alignment horizontal="right" indent="1"/>
    </xf>
    <xf numFmtId="1" fontId="8" fillId="53" borderId="138" xfId="0" applyNumberFormat="1" applyFont="1" applyFill="1" applyBorder="1" applyAlignment="1">
      <alignment horizontal="center" vertical="center"/>
    </xf>
    <xf numFmtId="1" fontId="8" fillId="53" borderId="139" xfId="0" applyNumberFormat="1" applyFont="1" applyFill="1" applyBorder="1" applyAlignment="1">
      <alignment horizontal="center" vertical="center"/>
    </xf>
    <xf numFmtId="1" fontId="8" fillId="53" borderId="140" xfId="0" applyNumberFormat="1" applyFont="1" applyFill="1" applyBorder="1" applyAlignment="1">
      <alignment horizontal="center" vertical="center"/>
    </xf>
    <xf numFmtId="1" fontId="8" fillId="53" borderId="141" xfId="0" applyNumberFormat="1" applyFont="1" applyFill="1" applyBorder="1" applyAlignment="1">
      <alignment horizontal="center" vertical="center"/>
    </xf>
    <xf numFmtId="178" fontId="0" fillId="117" borderId="145" xfId="0" applyNumberFormat="1" applyFill="1" applyBorder="1" applyAlignment="1">
      <alignment horizontal="right" indent="1"/>
    </xf>
    <xf numFmtId="178" fontId="0" fillId="117" borderId="146" xfId="0" applyNumberFormat="1" applyFill="1" applyBorder="1" applyAlignment="1">
      <alignment horizontal="right" indent="1"/>
    </xf>
    <xf numFmtId="10" fontId="0" fillId="0" borderId="147" xfId="0" applyNumberFormat="1" applyBorder="1"/>
    <xf numFmtId="10" fontId="0" fillId="117" borderId="146" xfId="77" applyNumberFormat="1" applyFont="1" applyFill="1" applyBorder="1" applyAlignment="1">
      <alignment horizontal="right" indent="1"/>
    </xf>
    <xf numFmtId="10" fontId="0" fillId="117" borderId="148" xfId="77" applyNumberFormat="1" applyFont="1" applyFill="1" applyBorder="1" applyAlignment="1">
      <alignment horizontal="right" indent="1"/>
    </xf>
    <xf numFmtId="3" fontId="10" fillId="0" borderId="145" xfId="89" applyNumberFormat="1" applyFont="1" applyBorder="1" applyAlignment="1">
      <alignment horizontal="left" indent="1"/>
    </xf>
    <xf numFmtId="0" fontId="0" fillId="0" borderId="146" xfId="0" applyBorder="1" applyAlignment="1">
      <alignment horizontal="center"/>
    </xf>
    <xf numFmtId="0" fontId="0" fillId="0" borderId="149" xfId="0" applyBorder="1" applyAlignment="1">
      <alignment horizontal="center"/>
    </xf>
    <xf numFmtId="0" fontId="0" fillId="0" borderId="150" xfId="0" applyBorder="1" applyAlignment="1">
      <alignment horizontal="center" vertical="center"/>
    </xf>
    <xf numFmtId="3" fontId="10" fillId="0" borderId="132" xfId="89" applyNumberFormat="1" applyFont="1" applyBorder="1" applyAlignment="1">
      <alignment horizontal="left" indent="1"/>
    </xf>
    <xf numFmtId="0" fontId="0" fillId="0" borderId="151" xfId="0" applyBorder="1" applyAlignment="1">
      <alignment horizontal="center" vertical="center"/>
    </xf>
    <xf numFmtId="3" fontId="10" fillId="0" borderId="152" xfId="89" applyNumberFormat="1" applyFont="1" applyBorder="1" applyAlignment="1">
      <alignment horizontal="left" indent="1"/>
    </xf>
    <xf numFmtId="0" fontId="0" fillId="0" borderId="136" xfId="0" applyBorder="1" applyAlignment="1">
      <alignment horizontal="center"/>
    </xf>
    <xf numFmtId="0" fontId="0" fillId="0" borderId="153" xfId="0" applyBorder="1" applyAlignment="1">
      <alignment horizontal="center"/>
    </xf>
    <xf numFmtId="0" fontId="0" fillId="0" borderId="154" xfId="0" applyBorder="1" applyAlignment="1">
      <alignment horizontal="center" vertical="center"/>
    </xf>
    <xf numFmtId="0" fontId="10" fillId="0" borderId="138" xfId="7" applyFont="1" applyBorder="1" applyAlignment="1">
      <alignment horizontal="left" indent="1"/>
    </xf>
    <xf numFmtId="10" fontId="0" fillId="0" borderId="155" xfId="0" applyNumberFormat="1" applyBorder="1"/>
    <xf numFmtId="0" fontId="0" fillId="0" borderId="140" xfId="0" applyBorder="1"/>
    <xf numFmtId="0" fontId="0" fillId="0" borderId="156" xfId="0" applyBorder="1"/>
    <xf numFmtId="0" fontId="0" fillId="0" borderId="141" xfId="0" applyBorder="1"/>
    <xf numFmtId="0" fontId="0" fillId="0" borderId="157" xfId="0" applyBorder="1" applyAlignment="1">
      <alignment horizontal="center" vertical="center" wrapText="1"/>
    </xf>
    <xf numFmtId="0" fontId="10" fillId="0" borderId="158" xfId="7" applyFont="1" applyBorder="1" applyAlignment="1">
      <alignment horizontal="center" vertical="center" wrapText="1"/>
    </xf>
    <xf numFmtId="0" fontId="0" fillId="0" borderId="6" xfId="0" applyBorder="1" applyAlignment="1">
      <alignment horizontal="left" vertical="center"/>
    </xf>
    <xf numFmtId="0" fontId="248" fillId="0" borderId="6" xfId="0" applyFont="1" applyBorder="1" applyAlignment="1">
      <alignment horizontal="center" vertical="center"/>
    </xf>
    <xf numFmtId="10" fontId="0" fillId="51" borderId="62" xfId="0" applyNumberFormat="1" applyFill="1" applyBorder="1" applyAlignment="1">
      <alignment horizontal="right" vertical="top"/>
    </xf>
    <xf numFmtId="3" fontId="0" fillId="51" borderId="0" xfId="0" applyNumberFormat="1" applyFill="1" applyAlignment="1">
      <alignment horizontal="left" vertical="top"/>
    </xf>
    <xf numFmtId="0" fontId="8" fillId="116" borderId="0" xfId="0" applyFont="1" applyFill="1" applyAlignment="1">
      <alignment horizontal="left" vertical="center"/>
    </xf>
    <xf numFmtId="0" fontId="272" fillId="0" borderId="0" xfId="0" applyFont="1" applyAlignment="1">
      <alignment horizontal="left" vertical="top"/>
    </xf>
    <xf numFmtId="170" fontId="8" fillId="51" borderId="59" xfId="1" applyNumberFormat="1" applyFont="1" applyFill="1" applyBorder="1" applyAlignment="1">
      <alignment horizontal="right" vertical="top"/>
    </xf>
    <xf numFmtId="177" fontId="0" fillId="51" borderId="59" xfId="0" applyNumberFormat="1" applyFill="1" applyBorder="1" applyAlignment="1">
      <alignment horizontal="right" vertical="top"/>
    </xf>
    <xf numFmtId="170" fontId="11" fillId="0" borderId="0" xfId="1" applyNumberFormat="1" applyFont="1" applyFill="1" applyBorder="1"/>
    <xf numFmtId="178" fontId="274" fillId="0" borderId="0" xfId="75" applyNumberFormat="1" applyFont="1" applyAlignment="1">
      <alignment horizontal="center"/>
    </xf>
    <xf numFmtId="178" fontId="274" fillId="0" borderId="128" xfId="75" applyNumberFormat="1" applyFont="1" applyBorder="1" applyAlignment="1">
      <alignment horizontal="center"/>
    </xf>
    <xf numFmtId="178" fontId="274" fillId="36" borderId="6" xfId="75" applyNumberFormat="1" applyFont="1" applyFill="1" applyBorder="1" applyAlignment="1">
      <alignment horizontal="center" vertical="center"/>
    </xf>
    <xf numFmtId="178" fontId="274" fillId="0" borderId="10" xfId="75" applyNumberFormat="1" applyFont="1" applyBorder="1" applyAlignment="1">
      <alignment horizontal="center" vertical="center"/>
    </xf>
    <xf numFmtId="178" fontId="274" fillId="0" borderId="0" xfId="75" applyNumberFormat="1" applyFont="1" applyAlignment="1">
      <alignment horizontal="center" vertical="center"/>
    </xf>
    <xf numFmtId="177" fontId="0" fillId="51" borderId="71" xfId="0" applyNumberFormat="1" applyFill="1" applyBorder="1" applyAlignment="1">
      <alignment horizontal="right" vertical="center"/>
    </xf>
    <xf numFmtId="0" fontId="0" fillId="0" borderId="0" xfId="0" applyAlignment="1" applyProtection="1">
      <alignment horizontal="left" vertical="center"/>
      <protection locked="0"/>
    </xf>
    <xf numFmtId="180" fontId="263" fillId="47" borderId="0" xfId="90" applyNumberFormat="1" applyFont="1" applyFill="1" applyAlignment="1">
      <alignment horizontal="left"/>
    </xf>
    <xf numFmtId="353" fontId="10" fillId="132" borderId="0" xfId="7" applyNumberFormat="1" applyFont="1" applyFill="1" applyAlignment="1">
      <alignment horizontal="center"/>
    </xf>
    <xf numFmtId="351" fontId="0" fillId="52" borderId="59" xfId="0" applyNumberFormat="1" applyFill="1" applyBorder="1" applyAlignment="1">
      <alignment horizontal="right" vertical="top"/>
    </xf>
    <xf numFmtId="0" fontId="34" fillId="0" borderId="0" xfId="92" quotePrefix="1" applyAlignment="1">
      <alignment horizontal="left" indent="1"/>
    </xf>
    <xf numFmtId="177" fontId="272" fillId="0" borderId="0" xfId="2" applyNumberFormat="1" applyFont="1" applyFill="1" applyBorder="1"/>
    <xf numFmtId="0" fontId="0" fillId="0" borderId="6" xfId="0" applyBorder="1" applyAlignment="1">
      <alignment horizontal="center" vertical="center" wrapText="1"/>
    </xf>
    <xf numFmtId="1" fontId="0" fillId="0" borderId="0" xfId="0" applyNumberFormat="1" applyAlignment="1">
      <alignment vertical="top"/>
    </xf>
    <xf numFmtId="177" fontId="0" fillId="0" borderId="0" xfId="0" applyNumberFormat="1" applyAlignment="1">
      <alignment horizontal="right" vertical="center"/>
    </xf>
    <xf numFmtId="0" fontId="278" fillId="0" borderId="0" xfId="90" applyFont="1" applyAlignment="1">
      <alignment horizontal="center"/>
    </xf>
    <xf numFmtId="170" fontId="0" fillId="3" borderId="59" xfId="1" applyNumberFormat="1" applyFont="1" applyFill="1" applyBorder="1" applyAlignment="1">
      <alignment horizontal="right" vertical="top"/>
    </xf>
    <xf numFmtId="0" fontId="8" fillId="0" borderId="10" xfId="0" applyFont="1" applyBorder="1"/>
    <xf numFmtId="170" fontId="11" fillId="38" borderId="6" xfId="1" applyNumberFormat="1" applyFont="1" applyFill="1" applyBorder="1"/>
    <xf numFmtId="170" fontId="11" fillId="0" borderId="11" xfId="1" applyNumberFormat="1" applyFont="1" applyFill="1" applyBorder="1"/>
    <xf numFmtId="0" fontId="272" fillId="0" borderId="10" xfId="0" applyFont="1" applyBorder="1"/>
    <xf numFmtId="0" fontId="10" fillId="37" borderId="6" xfId="75" applyFont="1" applyFill="1" applyBorder="1" applyAlignment="1">
      <alignment horizontal="center" vertical="center"/>
    </xf>
    <xf numFmtId="0" fontId="8" fillId="0" borderId="89" xfId="0" applyFont="1" applyBorder="1"/>
    <xf numFmtId="0" fontId="0" fillId="0" borderId="128" xfId="0" applyBorder="1" applyAlignment="1">
      <alignment horizontal="left" indent="1"/>
    </xf>
    <xf numFmtId="0" fontId="0" fillId="0" borderId="128" xfId="0" applyBorder="1" applyAlignment="1" applyProtection="1">
      <alignment horizontal="center" vertical="center"/>
      <protection locked="0"/>
    </xf>
    <xf numFmtId="351" fontId="0" fillId="0" borderId="128" xfId="0" applyNumberForma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10" fillId="0" borderId="6" xfId="7" applyFont="1" applyBorder="1" applyAlignment="1">
      <alignment horizontal="left" indent="1"/>
    </xf>
    <xf numFmtId="0" fontId="10" fillId="3" borderId="6" xfId="1" applyNumberFormat="1" applyFont="1" applyFill="1" applyBorder="1" applyAlignment="1" applyProtection="1">
      <alignment horizontal="right" vertical="center"/>
    </xf>
    <xf numFmtId="0" fontId="10" fillId="36" borderId="6" xfId="75" applyFont="1" applyFill="1" applyBorder="1" applyAlignment="1">
      <alignment horizontal="right" vertical="center"/>
    </xf>
    <xf numFmtId="0" fontId="25" fillId="36" borderId="6" xfId="75" applyFont="1" applyFill="1" applyBorder="1"/>
    <xf numFmtId="1" fontId="10" fillId="38" borderId="6" xfId="1" applyNumberFormat="1" applyFont="1" applyFill="1" applyBorder="1" applyAlignment="1" applyProtection="1">
      <alignment horizontal="right" vertical="center"/>
    </xf>
    <xf numFmtId="0" fontId="25" fillId="38" borderId="6" xfId="75" applyFont="1" applyFill="1" applyBorder="1"/>
    <xf numFmtId="0" fontId="10" fillId="0" borderId="6" xfId="7" applyFont="1" applyBorder="1" applyAlignment="1">
      <alignment horizontal="left" wrapText="1" indent="1"/>
    </xf>
    <xf numFmtId="0" fontId="10" fillId="36" borderId="6" xfId="75" applyFont="1" applyFill="1" applyBorder="1" applyAlignment="1">
      <alignment vertical="center"/>
    </xf>
    <xf numFmtId="0" fontId="25" fillId="39" borderId="6" xfId="75" applyFont="1" applyFill="1" applyBorder="1"/>
    <xf numFmtId="0" fontId="25" fillId="40" borderId="6" xfId="75" applyFont="1" applyFill="1" applyBorder="1"/>
    <xf numFmtId="180" fontId="10" fillId="36" borderId="6" xfId="75" applyNumberFormat="1" applyFont="1" applyFill="1" applyBorder="1" applyAlignment="1">
      <alignment vertical="center"/>
    </xf>
    <xf numFmtId="0" fontId="25" fillId="37" borderId="6" xfId="75" applyFont="1" applyFill="1" applyBorder="1"/>
    <xf numFmtId="0" fontId="25" fillId="41" borderId="6" xfId="75" applyFont="1" applyFill="1" applyBorder="1"/>
    <xf numFmtId="0" fontId="25" fillId="0" borderId="6" xfId="75" applyFont="1" applyBorder="1"/>
    <xf numFmtId="0" fontId="262" fillId="47" borderId="128" xfId="0" applyFont="1" applyFill="1" applyBorder="1" applyAlignment="1">
      <alignment wrapText="1"/>
    </xf>
    <xf numFmtId="175" fontId="10" fillId="38" borderId="6" xfId="77" applyNumberFormat="1" applyFont="1" applyFill="1" applyBorder="1" applyAlignment="1" applyProtection="1">
      <alignment vertical="center"/>
    </xf>
    <xf numFmtId="0" fontId="248" fillId="132" borderId="6" xfId="0" applyFont="1" applyFill="1" applyBorder="1" applyAlignment="1">
      <alignment horizontal="center" vertical="center"/>
    </xf>
    <xf numFmtId="10" fontId="10" fillId="38" borderId="6" xfId="77" applyNumberFormat="1" applyFont="1" applyFill="1" applyBorder="1" applyAlignment="1" applyProtection="1">
      <alignment vertical="center"/>
    </xf>
    <xf numFmtId="0" fontId="0" fillId="0" borderId="6" xfId="0" applyBorder="1" applyAlignment="1">
      <alignment horizontal="center"/>
    </xf>
    <xf numFmtId="0" fontId="0" fillId="0" borderId="6" xfId="0" applyBorder="1"/>
    <xf numFmtId="0" fontId="0" fillId="0" borderId="6" xfId="0" applyBorder="1" applyAlignment="1">
      <alignment horizontal="center" vertical="center"/>
    </xf>
    <xf numFmtId="14" fontId="0" fillId="0" borderId="6" xfId="0" applyNumberFormat="1" applyBorder="1" applyAlignment="1">
      <alignment horizontal="center" vertical="center"/>
    </xf>
    <xf numFmtId="14" fontId="10" fillId="42" borderId="6" xfId="7" applyNumberFormat="1" applyFont="1" applyFill="1" applyBorder="1" applyAlignment="1">
      <alignment horizontal="center" vertical="center"/>
    </xf>
    <xf numFmtId="0" fontId="8" fillId="2" borderId="6" xfId="0" applyFont="1" applyFill="1" applyBorder="1" applyAlignment="1">
      <alignment horizontal="center" vertical="center"/>
    </xf>
    <xf numFmtId="0" fontId="11" fillId="2" borderId="6" xfId="7" applyFont="1" applyFill="1" applyBorder="1" applyAlignment="1">
      <alignment horizontal="center" vertical="center"/>
    </xf>
    <xf numFmtId="0" fontId="0" fillId="0" borderId="6" xfId="0" applyBorder="1" applyAlignment="1">
      <alignment wrapText="1"/>
    </xf>
    <xf numFmtId="0" fontId="10" fillId="0" borderId="6" xfId="7" applyFont="1" applyBorder="1" applyAlignment="1">
      <alignment horizontal="left" vertical="center" wrapText="1" indent="1"/>
    </xf>
    <xf numFmtId="0" fontId="0" fillId="0" borderId="28" xfId="0" applyBorder="1"/>
    <xf numFmtId="0" fontId="0" fillId="0" borderId="6" xfId="0" applyBorder="1" applyAlignment="1">
      <alignment horizontal="center" wrapText="1"/>
    </xf>
    <xf numFmtId="0" fontId="26" fillId="0" borderId="6" xfId="0" applyFont="1" applyBorder="1" applyAlignment="1">
      <alignment horizontal="left" indent="1"/>
    </xf>
    <xf numFmtId="0" fontId="33" fillId="0" borderId="6" xfId="75" applyFont="1" applyBorder="1" applyAlignment="1">
      <alignment horizontal="center" vertical="center"/>
    </xf>
    <xf numFmtId="0" fontId="24" fillId="0" borderId="6" xfId="75" applyFont="1" applyBorder="1" applyAlignment="1">
      <alignment horizontal="center"/>
    </xf>
    <xf numFmtId="180" fontId="10" fillId="36" borderId="6" xfId="75" applyNumberFormat="1" applyFont="1" applyFill="1" applyBorder="1"/>
    <xf numFmtId="0" fontId="30" fillId="47" borderId="128" xfId="90" applyFont="1" applyFill="1" applyBorder="1" applyAlignment="1">
      <alignment horizontal="left"/>
    </xf>
    <xf numFmtId="0" fontId="32" fillId="47" borderId="128" xfId="75" applyFont="1" applyFill="1" applyBorder="1"/>
    <xf numFmtId="0" fontId="263" fillId="47" borderId="128" xfId="90" applyFont="1" applyFill="1" applyBorder="1" applyAlignment="1">
      <alignment horizontal="left" indent="1"/>
    </xf>
    <xf numFmtId="0" fontId="30" fillId="47" borderId="128" xfId="90" applyFont="1" applyFill="1" applyBorder="1" applyAlignment="1">
      <alignment horizontal="center" vertical="center"/>
    </xf>
    <xf numFmtId="170" fontId="10" fillId="38" borderId="6" xfId="1" applyNumberFormat="1" applyFont="1" applyFill="1" applyBorder="1"/>
    <xf numFmtId="0" fontId="0" fillId="3" borderId="128" xfId="0" applyFill="1" applyBorder="1" applyAlignment="1">
      <alignment horizontal="left" indent="1"/>
    </xf>
    <xf numFmtId="0" fontId="0" fillId="3" borderId="128" xfId="0" applyFill="1" applyBorder="1" applyAlignment="1">
      <alignment horizontal="center" vertical="center"/>
    </xf>
    <xf numFmtId="0" fontId="0" fillId="3" borderId="128" xfId="0" applyFill="1" applyBorder="1"/>
    <xf numFmtId="177" fontId="10" fillId="38" borderId="6" xfId="1" applyNumberFormat="1" applyFont="1" applyFill="1" applyBorder="1" applyProtection="1"/>
    <xf numFmtId="0" fontId="35" fillId="47" borderId="128" xfId="90" applyFont="1" applyFill="1" applyBorder="1" applyAlignment="1">
      <alignment horizontal="center" vertical="center"/>
    </xf>
    <xf numFmtId="0" fontId="35" fillId="47" borderId="128" xfId="90" applyFont="1" applyFill="1" applyBorder="1" applyAlignment="1">
      <alignment horizontal="left"/>
    </xf>
    <xf numFmtId="2" fontId="10" fillId="40" borderId="6" xfId="75" applyNumberFormat="1" applyFont="1" applyFill="1" applyBorder="1"/>
    <xf numFmtId="0" fontId="265" fillId="47" borderId="128" xfId="90" applyFont="1" applyFill="1" applyBorder="1" applyAlignment="1">
      <alignment horizontal="left"/>
    </xf>
    <xf numFmtId="0" fontId="263" fillId="47" borderId="128" xfId="90" applyFont="1" applyFill="1" applyBorder="1" applyAlignment="1">
      <alignment horizontal="left"/>
    </xf>
    <xf numFmtId="177" fontId="11" fillId="42" borderId="28" xfId="1" applyNumberFormat="1" applyFont="1" applyFill="1" applyBorder="1" applyProtection="1"/>
    <xf numFmtId="177" fontId="11" fillId="42" borderId="28" xfId="2" applyNumberFormat="1" applyFont="1" applyFill="1" applyBorder="1" applyAlignment="1">
      <alignment horizontal="right" vertical="center"/>
    </xf>
    <xf numFmtId="177" fontId="10" fillId="3" borderId="6" xfId="2" applyNumberFormat="1" applyFont="1" applyFill="1" applyBorder="1"/>
    <xf numFmtId="0" fontId="278" fillId="47" borderId="128" xfId="90" applyFont="1" applyFill="1" applyBorder="1" applyAlignment="1">
      <alignment horizontal="center"/>
    </xf>
    <xf numFmtId="0" fontId="0" fillId="134" borderId="6" xfId="0" applyFill="1" applyBorder="1"/>
    <xf numFmtId="177" fontId="0" fillId="3" borderId="6" xfId="0" applyNumberFormat="1" applyFill="1" applyBorder="1" applyAlignment="1">
      <alignment horizontal="right" vertical="top"/>
    </xf>
    <xf numFmtId="177" fontId="0" fillId="52" borderId="6" xfId="0" applyNumberFormat="1" applyFill="1" applyBorder="1"/>
    <xf numFmtId="0" fontId="0" fillId="0" borderId="6" xfId="0" applyBorder="1" applyAlignment="1">
      <alignment horizontal="center" vertical="top"/>
    </xf>
    <xf numFmtId="177" fontId="0" fillId="0" borderId="6" xfId="0" applyNumberFormat="1" applyBorder="1" applyAlignment="1">
      <alignment horizontal="right" vertical="top"/>
    </xf>
    <xf numFmtId="177" fontId="10" fillId="131" borderId="6" xfId="2" applyNumberFormat="1" applyFont="1" applyFill="1" applyBorder="1"/>
    <xf numFmtId="14" fontId="10" fillId="3" borderId="6" xfId="2" applyNumberFormat="1" applyFont="1" applyFill="1" applyBorder="1"/>
    <xf numFmtId="177" fontId="10" fillId="38" borderId="6" xfId="1" applyNumberFormat="1" applyFont="1" applyFill="1" applyBorder="1" applyAlignment="1" applyProtection="1">
      <alignment horizontal="right"/>
    </xf>
    <xf numFmtId="0" fontId="27" fillId="0" borderId="0" xfId="0" applyFont="1" applyAlignment="1">
      <alignment horizontal="left"/>
    </xf>
    <xf numFmtId="170" fontId="10" fillId="52" borderId="6" xfId="1" applyNumberFormat="1" applyFont="1" applyFill="1" applyBorder="1"/>
    <xf numFmtId="0" fontId="26" fillId="0" borderId="10" xfId="0" applyFont="1" applyBorder="1"/>
    <xf numFmtId="351" fontId="0" fillId="52" borderId="6" xfId="0" applyNumberFormat="1" applyFill="1" applyBorder="1"/>
    <xf numFmtId="0" fontId="8" fillId="0" borderId="10" xfId="0" applyFont="1" applyBorder="1" applyAlignment="1">
      <alignment horizontal="left" vertical="top"/>
    </xf>
    <xf numFmtId="0" fontId="0" fillId="0" borderId="10" xfId="0" applyBorder="1"/>
    <xf numFmtId="0" fontId="29" fillId="0" borderId="10" xfId="0" applyFont="1" applyBorder="1"/>
    <xf numFmtId="0" fontId="0" fillId="0" borderId="10" xfId="0" applyBorder="1" applyAlignment="1">
      <alignment horizontal="left" vertical="top"/>
    </xf>
    <xf numFmtId="170" fontId="11" fillId="38" borderId="11" xfId="1" applyNumberFormat="1" applyFont="1" applyFill="1" applyBorder="1"/>
    <xf numFmtId="0" fontId="11" fillId="0" borderId="0" xfId="0" applyFont="1" applyAlignment="1">
      <alignment horizontal="left" vertical="top"/>
    </xf>
    <xf numFmtId="0" fontId="0" fillId="0" borderId="21" xfId="0" applyBorder="1" applyAlignment="1">
      <alignment horizontal="left" indent="1"/>
    </xf>
    <xf numFmtId="0" fontId="0" fillId="0" borderId="21" xfId="0" applyBorder="1" applyAlignment="1" applyProtection="1">
      <alignment horizontal="center" vertical="center"/>
      <protection locked="0"/>
    </xf>
    <xf numFmtId="0" fontId="11" fillId="38" borderId="71" xfId="1" applyNumberFormat="1" applyFont="1" applyFill="1" applyBorder="1"/>
    <xf numFmtId="177" fontId="0" fillId="3" borderId="71" xfId="0" applyNumberFormat="1" applyFill="1" applyBorder="1" applyAlignment="1">
      <alignment horizontal="right" vertical="center"/>
    </xf>
    <xf numFmtId="178" fontId="0" fillId="0" borderId="6" xfId="0" applyNumberFormat="1" applyBorder="1" applyAlignment="1">
      <alignment horizontal="center" vertical="center"/>
    </xf>
    <xf numFmtId="178" fontId="10" fillId="0" borderId="6" xfId="7" applyNumberFormat="1" applyFont="1" applyBorder="1" applyAlignment="1">
      <alignment horizontal="center" vertical="center"/>
    </xf>
    <xf numFmtId="9" fontId="9" fillId="0" borderId="6" xfId="77" applyFont="1" applyFill="1" applyBorder="1" applyAlignment="1">
      <alignment horizontal="center" vertical="center"/>
    </xf>
    <xf numFmtId="178" fontId="0" fillId="0" borderId="119" xfId="0" applyNumberFormat="1" applyBorder="1" applyAlignment="1">
      <alignment horizontal="center" vertical="center"/>
    </xf>
    <xf numFmtId="10" fontId="0" fillId="0" borderId="101" xfId="0" applyNumberFormat="1" applyBorder="1"/>
    <xf numFmtId="10" fontId="0" fillId="0" borderId="104" xfId="0" applyNumberFormat="1" applyBorder="1"/>
    <xf numFmtId="10" fontId="0" fillId="0" borderId="6" xfId="0" applyNumberFormat="1" applyBorder="1"/>
    <xf numFmtId="0" fontId="10" fillId="51" borderId="0" xfId="0" applyFont="1" applyFill="1" applyAlignment="1">
      <alignment horizontal="left" indent="1"/>
    </xf>
    <xf numFmtId="177" fontId="11" fillId="51" borderId="125" xfId="1" applyNumberFormat="1" applyFont="1" applyFill="1" applyBorder="1" applyProtection="1"/>
    <xf numFmtId="178" fontId="274" fillId="131" borderId="6" xfId="75" applyNumberFormat="1" applyFont="1" applyFill="1" applyBorder="1" applyAlignment="1">
      <alignment horizontal="center" vertical="center"/>
    </xf>
    <xf numFmtId="173" fontId="11" fillId="0" borderId="0" xfId="0" applyNumberFormat="1" applyFont="1" applyAlignment="1">
      <alignment vertical="center"/>
    </xf>
    <xf numFmtId="177" fontId="10" fillId="0" borderId="0" xfId="0" applyNumberFormat="1" applyFont="1" applyAlignment="1">
      <alignment horizontal="left" vertical="center" indent="1"/>
    </xf>
    <xf numFmtId="177" fontId="0" fillId="0" borderId="0" xfId="0" applyNumberFormat="1" applyAlignment="1" applyProtection="1">
      <alignment horizontal="center" vertical="center"/>
      <protection locked="0"/>
    </xf>
    <xf numFmtId="173" fontId="29" fillId="0" borderId="0" xfId="0" applyNumberFormat="1" applyFont="1" applyAlignment="1">
      <alignment horizontal="left" vertical="center" indent="1"/>
    </xf>
    <xf numFmtId="177" fontId="0" fillId="52" borderId="72" xfId="0" applyNumberFormat="1" applyFill="1" applyBorder="1" applyAlignment="1">
      <alignment horizontal="right" vertical="center"/>
    </xf>
    <xf numFmtId="0" fontId="0" fillId="116" borderId="0" xfId="0" applyFill="1" applyAlignment="1">
      <alignment horizontal="left" vertical="top"/>
    </xf>
    <xf numFmtId="0" fontId="0" fillId="3" borderId="10" xfId="0" applyFill="1" applyBorder="1" applyAlignment="1">
      <alignment horizontal="left"/>
    </xf>
    <xf numFmtId="0" fontId="0" fillId="3" borderId="0" xfId="0" applyFill="1" applyAlignment="1">
      <alignment horizontal="left"/>
    </xf>
    <xf numFmtId="0" fontId="0" fillId="3" borderId="89" xfId="0" applyFill="1" applyBorder="1" applyAlignment="1">
      <alignment horizontal="left"/>
    </xf>
    <xf numFmtId="0" fontId="0" fillId="3" borderId="128" xfId="0" applyFill="1" applyBorder="1" applyAlignment="1">
      <alignment horizontal="left"/>
    </xf>
    <xf numFmtId="0" fontId="248" fillId="116" borderId="0" xfId="0" applyFont="1" applyFill="1" applyAlignment="1">
      <alignment vertical="top"/>
    </xf>
    <xf numFmtId="177" fontId="0" fillId="52" borderId="63" xfId="0" applyNumberFormat="1" applyFill="1" applyBorder="1" applyAlignment="1">
      <alignment horizontal="right" vertical="top"/>
    </xf>
    <xf numFmtId="177" fontId="0" fillId="51" borderId="63" xfId="0" applyNumberFormat="1" applyFill="1" applyBorder="1" applyAlignment="1">
      <alignment horizontal="right" vertical="top"/>
    </xf>
    <xf numFmtId="177" fontId="8" fillId="51" borderId="71" xfId="1" applyNumberFormat="1" applyFont="1" applyFill="1" applyBorder="1" applyAlignment="1">
      <alignment horizontal="right"/>
    </xf>
    <xf numFmtId="0" fontId="0" fillId="52" borderId="21" xfId="0" applyFill="1" applyBorder="1"/>
    <xf numFmtId="0" fontId="0" fillId="52" borderId="10" xfId="0" applyFill="1" applyBorder="1" applyAlignment="1">
      <alignment horizontal="center" wrapText="1"/>
    </xf>
    <xf numFmtId="0" fontId="0" fillId="52" borderId="0" xfId="0" applyFill="1"/>
    <xf numFmtId="0" fontId="0" fillId="52" borderId="11" xfId="0" applyFill="1" applyBorder="1"/>
    <xf numFmtId="3" fontId="0" fillId="52" borderId="11" xfId="0" applyNumberFormat="1" applyFill="1" applyBorder="1"/>
    <xf numFmtId="0" fontId="0" fillId="52" borderId="89" xfId="0" applyFill="1" applyBorder="1" applyAlignment="1">
      <alignment horizontal="center" wrapText="1"/>
    </xf>
    <xf numFmtId="0" fontId="0" fillId="52" borderId="128" xfId="0" applyFill="1" applyBorder="1"/>
    <xf numFmtId="3" fontId="0" fillId="52" borderId="90" xfId="0" applyNumberFormat="1" applyFill="1" applyBorder="1"/>
    <xf numFmtId="183" fontId="0" fillId="52" borderId="6" xfId="0" applyNumberFormat="1" applyFill="1" applyBorder="1" applyAlignment="1">
      <alignment horizontal="right" vertical="top"/>
    </xf>
    <xf numFmtId="14" fontId="10" fillId="51" borderId="0" xfId="2" applyNumberFormat="1" applyFont="1" applyFill="1" applyBorder="1" applyAlignment="1">
      <alignment horizontal="center" vertical="center"/>
    </xf>
    <xf numFmtId="173" fontId="279" fillId="48" borderId="0" xfId="94" applyFont="1">
      <alignment vertical="center"/>
    </xf>
    <xf numFmtId="0" fontId="26" fillId="0" borderId="0" xfId="0" applyFont="1" applyAlignment="1">
      <alignment horizontal="left" vertical="top"/>
    </xf>
    <xf numFmtId="170" fontId="10" fillId="51" borderId="6" xfId="1" applyNumberFormat="1" applyFont="1" applyFill="1" applyBorder="1"/>
    <xf numFmtId="177" fontId="10" fillId="3" borderId="76" xfId="2" applyNumberFormat="1" applyFont="1" applyFill="1" applyBorder="1"/>
    <xf numFmtId="177" fontId="11" fillId="3" borderId="74" xfId="2" applyNumberFormat="1" applyFont="1" applyFill="1" applyBorder="1"/>
    <xf numFmtId="351" fontId="11" fillId="52" borderId="71" xfId="2" applyNumberFormat="1" applyFont="1" applyFill="1" applyBorder="1"/>
    <xf numFmtId="177" fontId="0" fillId="131" borderId="69" xfId="0" applyNumberFormat="1" applyFill="1" applyBorder="1" applyAlignment="1">
      <alignment horizontal="right" vertical="top"/>
    </xf>
    <xf numFmtId="178" fontId="277" fillId="0" borderId="0" xfId="75" applyNumberFormat="1" applyFont="1" applyAlignment="1">
      <alignment horizontal="center" vertical="center"/>
    </xf>
    <xf numFmtId="178" fontId="277" fillId="0" borderId="0" xfId="75" applyNumberFormat="1" applyFont="1" applyAlignment="1">
      <alignment horizontal="center"/>
    </xf>
    <xf numFmtId="177" fontId="0" fillId="131" borderId="62" xfId="0" applyNumberFormat="1" applyFill="1" applyBorder="1" applyAlignment="1">
      <alignment horizontal="right" vertical="top"/>
    </xf>
    <xf numFmtId="3" fontId="10" fillId="51" borderId="0" xfId="1" applyNumberFormat="1" applyFont="1" applyFill="1" applyBorder="1" applyAlignment="1" applyProtection="1">
      <alignment horizontal="left" indent="1"/>
    </xf>
    <xf numFmtId="170" fontId="0" fillId="51" borderId="59" xfId="1" applyNumberFormat="1" applyFont="1" applyFill="1" applyBorder="1" applyAlignment="1">
      <alignment horizontal="right" vertical="top"/>
    </xf>
    <xf numFmtId="173" fontId="10" fillId="0" borderId="0" xfId="0" applyNumberFormat="1" applyFont="1" applyAlignment="1">
      <alignment vertical="center"/>
    </xf>
    <xf numFmtId="0" fontId="8" fillId="0" borderId="0" xfId="0" applyFont="1" applyAlignment="1">
      <alignment vertical="top"/>
    </xf>
    <xf numFmtId="173" fontId="10" fillId="3" borderId="0" xfId="0" applyNumberFormat="1" applyFont="1" applyFill="1" applyAlignment="1">
      <alignment horizontal="left" vertical="center" indent="1"/>
    </xf>
    <xf numFmtId="177" fontId="10" fillId="52" borderId="62" xfId="2" applyNumberFormat="1" applyFont="1" applyFill="1" applyBorder="1"/>
    <xf numFmtId="0" fontId="11" fillId="0" borderId="0" xfId="0" applyFont="1" applyAlignment="1">
      <alignment horizontal="left" vertical="top" indent="1"/>
    </xf>
    <xf numFmtId="177" fontId="0" fillId="51" borderId="93" xfId="0" applyNumberFormat="1" applyFill="1" applyBorder="1" applyAlignment="1">
      <alignment horizontal="right" vertical="top"/>
    </xf>
    <xf numFmtId="177" fontId="11" fillId="52" borderId="74" xfId="2" applyNumberFormat="1" applyFont="1" applyFill="1" applyBorder="1"/>
    <xf numFmtId="177" fontId="10" fillId="131" borderId="71" xfId="2" applyNumberFormat="1" applyFont="1" applyFill="1" applyBorder="1"/>
    <xf numFmtId="0" fontId="282" fillId="0" borderId="0" xfId="0" applyFont="1"/>
    <xf numFmtId="0" fontId="283" fillId="0" borderId="0" xfId="0" applyFont="1"/>
    <xf numFmtId="0" fontId="2" fillId="0" borderId="163" xfId="51691" applyBorder="1"/>
    <xf numFmtId="0" fontId="2" fillId="0" borderId="0" xfId="51691"/>
    <xf numFmtId="0" fontId="273" fillId="0" borderId="0" xfId="51691" applyFont="1" applyAlignment="1">
      <alignment horizontal="center" vertical="top" wrapText="1"/>
    </xf>
    <xf numFmtId="0" fontId="273" fillId="135" borderId="6" xfId="51691" applyFont="1" applyFill="1" applyBorder="1" applyAlignment="1">
      <alignment horizontal="center" vertical="top"/>
    </xf>
    <xf numFmtId="0" fontId="273" fillId="0" borderId="0" xfId="51691" applyFont="1" applyAlignment="1">
      <alignment horizontal="center" vertical="top"/>
    </xf>
    <xf numFmtId="0" fontId="273" fillId="0" borderId="0" xfId="51691" applyFont="1" applyAlignment="1">
      <alignment horizontal="center" vertical="center" wrapText="1"/>
    </xf>
    <xf numFmtId="0" fontId="275" fillId="0" borderId="0" xfId="51691" applyFont="1" applyAlignment="1">
      <alignment horizontal="center" vertical="center" wrapText="1"/>
    </xf>
    <xf numFmtId="0" fontId="281" fillId="0" borderId="0" xfId="51691" applyFont="1" applyAlignment="1">
      <alignment vertical="top"/>
    </xf>
    <xf numFmtId="0" fontId="2" fillId="0" borderId="0" xfId="51691" applyAlignment="1">
      <alignment horizontal="left" vertical="top"/>
    </xf>
    <xf numFmtId="9" fontId="274" fillId="131" borderId="6" xfId="51692" applyFont="1" applyFill="1" applyBorder="1" applyAlignment="1">
      <alignment horizontal="center"/>
    </xf>
    <xf numFmtId="9" fontId="274" fillId="0" borderId="0" xfId="51692" applyFont="1" applyFill="1" applyBorder="1" applyAlignment="1">
      <alignment horizontal="center"/>
    </xf>
    <xf numFmtId="9" fontId="0" fillId="0" borderId="0" xfId="51692" applyFont="1" applyFill="1" applyBorder="1" applyAlignment="1">
      <alignment horizontal="center"/>
    </xf>
    <xf numFmtId="0" fontId="2" fillId="0" borderId="0" xfId="51691" applyAlignment="1">
      <alignment horizontal="left"/>
    </xf>
    <xf numFmtId="0" fontId="276" fillId="0" borderId="10" xfId="51691" applyFont="1" applyBorder="1" applyAlignment="1">
      <alignment horizontal="left"/>
    </xf>
    <xf numFmtId="0" fontId="2" fillId="0" borderId="0" xfId="51691" applyAlignment="1">
      <alignment vertical="center"/>
    </xf>
    <xf numFmtId="178" fontId="2" fillId="0" borderId="0" xfId="51691" applyNumberFormat="1" applyAlignment="1">
      <alignment horizontal="center" vertical="center"/>
    </xf>
    <xf numFmtId="178" fontId="2" fillId="0" borderId="0" xfId="51691" applyNumberFormat="1" applyAlignment="1">
      <alignment horizontal="center"/>
    </xf>
    <xf numFmtId="0" fontId="275" fillId="0" borderId="10" xfId="51691" applyFont="1" applyBorder="1"/>
    <xf numFmtId="178" fontId="280" fillId="0" borderId="0" xfId="75" applyNumberFormat="1" applyFont="1" applyAlignment="1">
      <alignment horizontal="center" vertical="center"/>
    </xf>
    <xf numFmtId="178" fontId="276" fillId="0" borderId="0" xfId="51691" applyNumberFormat="1" applyFont="1" applyAlignment="1">
      <alignment horizontal="center"/>
    </xf>
    <xf numFmtId="0" fontId="276" fillId="0" borderId="11" xfId="51691" applyFont="1" applyBorder="1"/>
    <xf numFmtId="0" fontId="276" fillId="0" borderId="0" xfId="51691" applyFont="1" applyAlignment="1">
      <alignment horizontal="left" vertical="center"/>
    </xf>
    <xf numFmtId="0" fontId="276" fillId="0" borderId="0" xfId="51691" applyFont="1" applyAlignment="1">
      <alignment horizontal="left"/>
    </xf>
    <xf numFmtId="0" fontId="273" fillId="0" borderId="10" xfId="51691" applyFont="1" applyBorder="1" applyAlignment="1">
      <alignment horizontal="left"/>
    </xf>
    <xf numFmtId="0" fontId="276" fillId="0" borderId="11" xfId="51691" applyFont="1" applyBorder="1" applyAlignment="1">
      <alignment horizontal="left"/>
    </xf>
    <xf numFmtId="0" fontId="276" fillId="0" borderId="10" xfId="51691" applyFont="1" applyBorder="1" applyAlignment="1">
      <alignment vertical="center"/>
    </xf>
    <xf numFmtId="0" fontId="276" fillId="0" borderId="10" xfId="51691" quotePrefix="1" applyFont="1" applyBorder="1" applyAlignment="1">
      <alignment vertical="center"/>
    </xf>
    <xf numFmtId="178" fontId="274" fillId="0" borderId="21" xfId="75" applyNumberFormat="1" applyFont="1" applyBorder="1" applyAlignment="1">
      <alignment horizontal="center" vertical="center"/>
    </xf>
    <xf numFmtId="183" fontId="273" fillId="131" borderId="6" xfId="51691" applyNumberFormat="1" applyFont="1" applyFill="1" applyBorder="1" applyAlignment="1">
      <alignment horizontal="center"/>
    </xf>
    <xf numFmtId="183" fontId="273" fillId="0" borderId="0" xfId="51691" applyNumberFormat="1" applyFont="1" applyAlignment="1">
      <alignment horizontal="center"/>
    </xf>
    <xf numFmtId="0" fontId="284" fillId="52" borderId="120" xfId="51691" applyFont="1" applyFill="1" applyBorder="1" applyAlignment="1">
      <alignment vertical="center"/>
    </xf>
    <xf numFmtId="0" fontId="284" fillId="52" borderId="123" xfId="51691" applyFont="1" applyFill="1" applyBorder="1" applyAlignment="1">
      <alignment vertical="center"/>
    </xf>
    <xf numFmtId="178" fontId="284" fillId="52" borderId="6" xfId="51691" applyNumberFormat="1" applyFont="1" applyFill="1" applyBorder="1" applyAlignment="1">
      <alignment horizontal="center" vertical="center"/>
    </xf>
    <xf numFmtId="178" fontId="284" fillId="0" borderId="10" xfId="51691" applyNumberFormat="1" applyFont="1" applyBorder="1" applyAlignment="1">
      <alignment horizontal="center" vertical="center"/>
    </xf>
    <xf numFmtId="178" fontId="286" fillId="0" borderId="11" xfId="75" applyNumberFormat="1" applyFont="1" applyBorder="1" applyAlignment="1">
      <alignment horizontal="center" vertical="center"/>
    </xf>
    <xf numFmtId="0" fontId="2" fillId="0" borderId="0" xfId="51691" quotePrefix="1"/>
    <xf numFmtId="0" fontId="2" fillId="0" borderId="0" xfId="51691" applyAlignment="1">
      <alignment horizontal="center"/>
    </xf>
    <xf numFmtId="0" fontId="276" fillId="0" borderId="0" xfId="51691" applyFont="1" applyAlignment="1">
      <alignment horizontal="center"/>
    </xf>
    <xf numFmtId="0" fontId="0" fillId="136" borderId="0" xfId="0" applyFill="1" applyAlignment="1">
      <alignment horizontal="left" vertical="top" indent="1"/>
    </xf>
    <xf numFmtId="177" fontId="25" fillId="39" borderId="6" xfId="75" applyNumberFormat="1" applyFont="1" applyFill="1" applyBorder="1"/>
    <xf numFmtId="0" fontId="276" fillId="0" borderId="10" xfId="51691" quotePrefix="1" applyFont="1" applyBorder="1" applyAlignment="1">
      <alignment horizontal="left" vertical="center"/>
    </xf>
    <xf numFmtId="354" fontId="10" fillId="0" borderId="0" xfId="2" applyNumberFormat="1" applyFont="1" applyFill="1" applyBorder="1" applyAlignment="1">
      <alignment horizontal="center"/>
    </xf>
    <xf numFmtId="177" fontId="11" fillId="52" borderId="164" xfId="2" applyNumberFormat="1" applyFont="1" applyFill="1" applyBorder="1"/>
    <xf numFmtId="177" fontId="11" fillId="52" borderId="123" xfId="2" applyNumberFormat="1" applyFont="1" applyFill="1" applyBorder="1"/>
    <xf numFmtId="354" fontId="10" fillId="54" borderId="71" xfId="2" applyNumberFormat="1" applyFont="1" applyFill="1" applyBorder="1" applyAlignment="1">
      <alignment horizontal="center"/>
    </xf>
    <xf numFmtId="354" fontId="10" fillId="54" borderId="164" xfId="2" applyNumberFormat="1" applyFont="1" applyFill="1" applyBorder="1" applyAlignment="1">
      <alignment horizontal="center"/>
    </xf>
    <xf numFmtId="354" fontId="10" fillId="54" borderId="123" xfId="2" applyNumberFormat="1" applyFont="1" applyFill="1" applyBorder="1" applyAlignment="1">
      <alignment horizontal="center"/>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5" fillId="0" borderId="10" xfId="51691" applyFont="1" applyBorder="1" applyAlignment="1">
      <alignment horizontal="left"/>
    </xf>
    <xf numFmtId="0" fontId="275" fillId="0" borderId="11" xfId="51691" applyFont="1" applyBorder="1" applyAlignment="1">
      <alignment horizontal="left"/>
    </xf>
    <xf numFmtId="3" fontId="10" fillId="51" borderId="0" xfId="77" applyNumberFormat="1" applyFont="1" applyFill="1" applyBorder="1" applyAlignment="1" applyProtection="1">
      <alignment horizontal="left" indent="1"/>
    </xf>
    <xf numFmtId="14" fontId="280" fillId="36" borderId="6" xfId="75" applyNumberFormat="1" applyFont="1" applyFill="1" applyBorder="1" applyAlignment="1">
      <alignment horizontal="center" vertical="center"/>
    </xf>
    <xf numFmtId="0" fontId="275" fillId="0" borderId="120" xfId="51691" applyFont="1" applyBorder="1" applyAlignment="1">
      <alignment horizontal="left" vertical="center"/>
    </xf>
    <xf numFmtId="0" fontId="276" fillId="0" borderId="123" xfId="51691" applyFont="1" applyBorder="1" applyAlignment="1">
      <alignment horizontal="left" vertical="center"/>
    </xf>
    <xf numFmtId="178" fontId="273" fillId="52" borderId="6" xfId="51691" applyNumberFormat="1" applyFont="1" applyFill="1" applyBorder="1" applyAlignment="1">
      <alignment horizontal="center" vertical="center"/>
    </xf>
    <xf numFmtId="0" fontId="275" fillId="0" borderId="10" xfId="51691" applyFont="1" applyBorder="1" applyAlignment="1">
      <alignment horizontal="left" vertical="center"/>
    </xf>
    <xf numFmtId="178" fontId="273" fillId="0" borderId="28" xfId="51691" applyNumberFormat="1" applyFont="1" applyBorder="1" applyAlignment="1">
      <alignment horizontal="center" vertical="center"/>
    </xf>
    <xf numFmtId="0" fontId="273" fillId="0" borderId="120" xfId="51691" applyFont="1" applyBorder="1" applyAlignment="1">
      <alignment horizontal="left" vertical="center"/>
    </xf>
    <xf numFmtId="0" fontId="275" fillId="0" borderId="0" xfId="51691" applyFont="1" applyAlignment="1">
      <alignment horizontal="left" vertical="center"/>
    </xf>
    <xf numFmtId="178" fontId="280" fillId="52" borderId="6" xfId="75" applyNumberFormat="1" applyFont="1" applyFill="1" applyBorder="1" applyAlignment="1">
      <alignment horizontal="center" vertical="center"/>
    </xf>
    <xf numFmtId="0" fontId="273" fillId="52" borderId="120" xfId="51691" applyFont="1" applyFill="1" applyBorder="1" applyAlignment="1">
      <alignmen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73" fillId="52" borderId="120" xfId="51691" applyFont="1" applyFill="1" applyBorder="1" applyAlignment="1">
      <alignment horizontal="left" vertical="center"/>
    </xf>
    <xf numFmtId="0" fontId="285" fillId="0" borderId="0" xfId="51691" applyFont="1" applyAlignment="1">
      <alignment vertical="center"/>
    </xf>
    <xf numFmtId="177" fontId="10" fillId="0" borderId="0" xfId="2" applyNumberFormat="1" applyFont="1"/>
    <xf numFmtId="352" fontId="2" fillId="0" borderId="0" xfId="51691" applyNumberFormat="1" applyAlignment="1">
      <alignment vertical="center"/>
    </xf>
    <xf numFmtId="0" fontId="2" fillId="0" borderId="0" xfId="51691" applyAlignment="1">
      <alignment vertical="center" wrapText="1"/>
    </xf>
    <xf numFmtId="0" fontId="1" fillId="0" borderId="0" xfId="51691" applyFont="1" applyAlignment="1">
      <alignment vertical="center"/>
    </xf>
    <xf numFmtId="178" fontId="287" fillId="0" borderId="0" xfId="75" applyNumberFormat="1" applyFont="1" applyAlignment="1">
      <alignment horizontal="center" vertical="center"/>
    </xf>
    <xf numFmtId="0" fontId="2" fillId="0" borderId="6" xfId="51691" applyBorder="1" applyAlignment="1">
      <alignment vertical="center" wrapText="1"/>
    </xf>
    <xf numFmtId="178" fontId="273" fillId="0" borderId="0" xfId="51691" applyNumberFormat="1" applyFont="1" applyAlignment="1">
      <alignment horizontal="center" vertical="center"/>
    </xf>
    <xf numFmtId="352" fontId="2" fillId="0" borderId="0" xfId="51691" applyNumberFormat="1"/>
    <xf numFmtId="0" fontId="2" fillId="0" borderId="0" xfId="51691" applyAlignment="1">
      <alignment wrapText="1"/>
    </xf>
    <xf numFmtId="0" fontId="2" fillId="0" borderId="10" xfId="51691" applyBorder="1"/>
    <xf numFmtId="0" fontId="2" fillId="0" borderId="11" xfId="51691" applyBorder="1"/>
    <xf numFmtId="0" fontId="1" fillId="0" borderId="6" xfId="51691" applyFont="1" applyBorder="1" applyAlignment="1">
      <alignment vertical="center" wrapText="1"/>
    </xf>
    <xf numFmtId="0" fontId="2" fillId="0" borderId="11" xfId="51691" applyBorder="1" applyAlignment="1">
      <alignment vertical="center"/>
    </xf>
    <xf numFmtId="178" fontId="2" fillId="0" borderId="11" xfId="51691" applyNumberFormat="1" applyBorder="1" applyAlignment="1">
      <alignment horizontal="center" vertical="center"/>
    </xf>
    <xf numFmtId="178" fontId="2" fillId="0" borderId="163" xfId="51691" applyNumberFormat="1" applyBorder="1" applyAlignment="1">
      <alignment horizontal="center" vertical="center"/>
    </xf>
    <xf numFmtId="178" fontId="2" fillId="0" borderId="128" xfId="51691" applyNumberFormat="1" applyBorder="1" applyAlignment="1">
      <alignment horizontal="center"/>
    </xf>
    <xf numFmtId="178" fontId="287" fillId="0" borderId="11" xfId="75" applyNumberFormat="1" applyFont="1" applyBorder="1" applyAlignment="1">
      <alignment horizontal="center" vertical="center"/>
    </xf>
    <xf numFmtId="0" fontId="2" fillId="0" borderId="0" xfId="51691" applyAlignment="1">
      <alignment horizontal="left" vertical="center"/>
    </xf>
    <xf numFmtId="178" fontId="2" fillId="0" borderId="21" xfId="51691" applyNumberFormat="1" applyBorder="1" applyAlignment="1">
      <alignment horizontal="center" vertical="center"/>
    </xf>
    <xf numFmtId="0" fontId="2" fillId="0" borderId="10" xfId="51691" applyBorder="1" applyAlignment="1">
      <alignment horizontal="left" vertical="center"/>
    </xf>
    <xf numFmtId="0" fontId="2" fillId="0" borderId="11" xfId="51691" applyBorder="1" applyAlignment="1">
      <alignment horizontal="left" vertical="center"/>
    </xf>
    <xf numFmtId="0" fontId="2" fillId="0" borderId="11" xfId="51691" applyBorder="1" applyAlignment="1">
      <alignment horizontal="left"/>
    </xf>
    <xf numFmtId="0" fontId="2" fillId="0" borderId="128" xfId="51691" applyBorder="1" applyAlignment="1">
      <alignment wrapText="1"/>
    </xf>
    <xf numFmtId="0" fontId="2" fillId="52" borderId="123" xfId="51691" applyFill="1" applyBorder="1" applyAlignment="1">
      <alignment vertical="center"/>
    </xf>
    <xf numFmtId="178" fontId="2" fillId="0" borderId="10" xfId="51691" applyNumberFormat="1" applyBorder="1" applyAlignment="1">
      <alignment horizontal="center" vertical="center"/>
    </xf>
    <xf numFmtId="0" fontId="2" fillId="0" borderId="89" xfId="51691" applyBorder="1" applyAlignment="1">
      <alignment horizontal="left"/>
    </xf>
    <xf numFmtId="0" fontId="2" fillId="0" borderId="90" xfId="51691" applyBorder="1" applyAlignment="1">
      <alignment horizontal="left"/>
    </xf>
    <xf numFmtId="0" fontId="2" fillId="52" borderId="123" xfId="51691" applyFill="1" applyBorder="1" applyAlignment="1">
      <alignment horizontal="left" vertical="center"/>
    </xf>
    <xf numFmtId="178" fontId="1" fillId="52" borderId="6" xfId="51691" applyNumberFormat="1" applyFont="1" applyFill="1" applyBorder="1" applyAlignment="1">
      <alignment horizontal="center" vertical="center"/>
    </xf>
    <xf numFmtId="0" fontId="273" fillId="52" borderId="6" xfId="51691" applyFont="1" applyFill="1" applyBorder="1" applyAlignment="1">
      <alignment horizontal="center" vertical="top"/>
    </xf>
    <xf numFmtId="178" fontId="274" fillId="52" borderId="6" xfId="75" applyNumberFormat="1" applyFont="1" applyFill="1" applyBorder="1" applyAlignment="1">
      <alignment horizontal="center" vertical="center"/>
    </xf>
    <xf numFmtId="0" fontId="263" fillId="47" borderId="165" xfId="90" applyFont="1" applyFill="1" applyBorder="1" applyAlignment="1">
      <alignment horizontal="left"/>
    </xf>
    <xf numFmtId="0" fontId="263" fillId="47" borderId="163" xfId="90" applyFont="1" applyFill="1" applyBorder="1" applyAlignment="1">
      <alignment horizontal="left"/>
    </xf>
    <xf numFmtId="0" fontId="263" fillId="47" borderId="105" xfId="90" applyFont="1" applyFill="1" applyBorder="1" applyAlignment="1">
      <alignment horizontal="left"/>
    </xf>
    <xf numFmtId="0" fontId="273" fillId="135" borderId="165" xfId="51691" applyFont="1" applyFill="1" applyBorder="1" applyAlignment="1">
      <alignment horizontal="center" vertical="center" wrapText="1"/>
    </xf>
    <xf numFmtId="2" fontId="274" fillId="0" borderId="21" xfId="75" applyNumberFormat="1" applyFont="1" applyBorder="1" applyAlignment="1">
      <alignment horizontal="center"/>
    </xf>
    <xf numFmtId="0" fontId="0" fillId="3" borderId="21" xfId="0" applyFill="1" applyBorder="1" applyAlignment="1">
      <alignment wrapText="1"/>
    </xf>
    <xf numFmtId="0" fontId="272" fillId="116" borderId="0" xfId="0" applyFont="1" applyFill="1" applyAlignment="1">
      <alignment horizontal="left" vertical="top"/>
    </xf>
    <xf numFmtId="0" fontId="0" fillId="116" borderId="0" xfId="0" applyFill="1" applyAlignment="1">
      <alignment horizontal="left" vertical="top" indent="1"/>
    </xf>
    <xf numFmtId="0" fontId="263" fillId="47" borderId="166" xfId="90" applyFont="1" applyFill="1" applyBorder="1" applyAlignment="1">
      <alignment horizontal="left"/>
    </xf>
    <xf numFmtId="0" fontId="262" fillId="47" borderId="167" xfId="0" applyFont="1" applyFill="1" applyBorder="1" applyAlignment="1">
      <alignment wrapText="1"/>
    </xf>
    <xf numFmtId="0" fontId="0" fillId="52" borderId="166" xfId="0" applyFill="1" applyBorder="1" applyAlignment="1">
      <alignment horizontal="center" wrapText="1"/>
    </xf>
    <xf numFmtId="0" fontId="0" fillId="52" borderId="167" xfId="0" applyFill="1" applyBorder="1"/>
    <xf numFmtId="0" fontId="31" fillId="47" borderId="167" xfId="75" applyFont="1" applyFill="1" applyBorder="1"/>
    <xf numFmtId="0" fontId="0" fillId="47" borderId="167" xfId="0" applyFill="1" applyBorder="1"/>
    <xf numFmtId="0" fontId="29" fillId="0" borderId="166" xfId="0" applyFont="1" applyBorder="1"/>
    <xf numFmtId="0" fontId="0" fillId="3" borderId="21" xfId="0" applyFill="1" applyBorder="1"/>
    <xf numFmtId="0" fontId="0" fillId="3" borderId="167" xfId="0" applyFill="1" applyBorder="1"/>
    <xf numFmtId="0" fontId="32" fillId="47" borderId="167" xfId="75" applyFont="1" applyFill="1" applyBorder="1"/>
    <xf numFmtId="0" fontId="265" fillId="47" borderId="166" xfId="90" applyFont="1" applyFill="1" applyBorder="1" applyAlignment="1">
      <alignment horizontal="left"/>
    </xf>
    <xf numFmtId="0" fontId="273" fillId="135" borderId="167" xfId="51691" applyFont="1" applyFill="1" applyBorder="1" applyAlignment="1">
      <alignment horizontal="center" vertical="top" wrapText="1"/>
    </xf>
    <xf numFmtId="0" fontId="276" fillId="0" borderId="166" xfId="51691" applyFont="1" applyBorder="1" applyAlignment="1">
      <alignment horizontal="left"/>
    </xf>
    <xf numFmtId="0" fontId="276" fillId="0" borderId="167" xfId="51691" applyFont="1" applyBorder="1" applyAlignment="1">
      <alignment horizontal="left" vertical="center"/>
    </xf>
    <xf numFmtId="0" fontId="1" fillId="0" borderId="0" xfId="51691" applyFont="1"/>
    <xf numFmtId="0" fontId="1" fillId="42" borderId="0" xfId="51691" applyFont="1" applyFill="1" applyAlignment="1">
      <alignment vertical="center"/>
    </xf>
    <xf numFmtId="0" fontId="273" fillId="0" borderId="166" xfId="51691" applyFont="1" applyBorder="1" applyAlignment="1">
      <alignment horizontal="left" vertical="center"/>
    </xf>
    <xf numFmtId="0" fontId="273" fillId="0" borderId="166" xfId="51691" applyFont="1" applyBorder="1" applyAlignment="1">
      <alignment horizontal="left"/>
    </xf>
    <xf numFmtId="0" fontId="276" fillId="0" borderId="167" xfId="51691" applyFont="1" applyBorder="1" applyAlignment="1">
      <alignment horizontal="left"/>
    </xf>
    <xf numFmtId="0" fontId="2" fillId="0" borderId="167" xfId="51691" applyBorder="1" applyAlignment="1">
      <alignment horizontal="left" vertical="center"/>
    </xf>
    <xf numFmtId="0" fontId="0" fillId="3" borderId="166" xfId="0" applyFill="1" applyBorder="1" applyAlignment="1">
      <alignment vertical="top" wrapText="1"/>
    </xf>
    <xf numFmtId="0" fontId="0" fillId="3" borderId="21" xfId="0" applyFill="1" applyBorder="1" applyAlignment="1">
      <alignment vertical="top" wrapText="1"/>
    </xf>
    <xf numFmtId="0" fontId="0" fillId="3" borderId="167" xfId="0" applyFill="1" applyBorder="1" applyAlignment="1">
      <alignment wrapText="1"/>
    </xf>
    <xf numFmtId="0" fontId="0" fillId="3" borderId="6" xfId="0" applyFill="1" applyBorder="1" applyAlignment="1">
      <alignment wrapText="1"/>
    </xf>
    <xf numFmtId="178" fontId="10" fillId="131" borderId="6" xfId="75" applyNumberFormat="1" applyFont="1" applyFill="1" applyBorder="1"/>
    <xf numFmtId="178" fontId="10" fillId="40" borderId="6" xfId="75" applyNumberFormat="1" applyFont="1" applyFill="1" applyBorder="1"/>
    <xf numFmtId="0" fontId="0" fillId="0" borderId="0" xfId="0" applyAlignment="1">
      <alignment horizontal="center"/>
    </xf>
    <xf numFmtId="0" fontId="0" fillId="53" borderId="0" xfId="0" applyFill="1" applyAlignment="1">
      <alignment horizontal="left" wrapText="1"/>
    </xf>
    <xf numFmtId="0" fontId="0" fillId="0" borderId="99" xfId="0" applyBorder="1" applyAlignment="1">
      <alignment horizontal="left" vertical="center" wrapText="1" indent="1"/>
    </xf>
    <xf numFmtId="0" fontId="0" fillId="0" borderId="79" xfId="0" applyBorder="1" applyAlignment="1">
      <alignment horizontal="left" vertical="center" wrapText="1" indent="1"/>
    </xf>
    <xf numFmtId="0" fontId="0" fillId="0" borderId="97" xfId="0" applyBorder="1" applyAlignment="1">
      <alignment horizontal="left" vertical="center" wrapText="1" indent="1"/>
    </xf>
    <xf numFmtId="0" fontId="0" fillId="0" borderId="80" xfId="0" applyBorder="1" applyAlignment="1">
      <alignment horizontal="left" vertical="center" wrapText="1" indent="1"/>
    </xf>
    <xf numFmtId="0" fontId="0" fillId="0" borderId="120" xfId="0" applyBorder="1" applyAlignment="1">
      <alignment vertical="center" wrapText="1"/>
    </xf>
    <xf numFmtId="0" fontId="0" fillId="0" borderId="28" xfId="0" applyBorder="1" applyAlignment="1">
      <alignment vertical="center" wrapText="1"/>
    </xf>
    <xf numFmtId="0" fontId="0" fillId="0" borderId="123" xfId="0" applyBorder="1" applyAlignment="1">
      <alignment vertical="center" wrapText="1"/>
    </xf>
    <xf numFmtId="0" fontId="0" fillId="0" borderId="100" xfId="0" applyBorder="1" applyAlignment="1">
      <alignment vertical="center" wrapText="1"/>
    </xf>
    <xf numFmtId="0" fontId="0" fillId="0" borderId="83" xfId="0" applyBorder="1" applyAlignment="1">
      <alignment vertical="center" wrapText="1"/>
    </xf>
    <xf numFmtId="0" fontId="0" fillId="0" borderId="96" xfId="0"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0" fillId="0" borderId="100" xfId="0" applyBorder="1" applyAlignment="1">
      <alignment horizontal="left" vertical="center" wrapText="1" indent="1"/>
    </xf>
    <xf numFmtId="0" fontId="0" fillId="0" borderId="78" xfId="0" applyBorder="1" applyAlignment="1">
      <alignment horizontal="left" vertical="center" wrapText="1" indent="1"/>
    </xf>
    <xf numFmtId="3" fontId="0" fillId="0" borderId="120" xfId="0" applyNumberFormat="1" applyBorder="1" applyAlignment="1">
      <alignment horizontal="center" vertical="center" wrapText="1"/>
    </xf>
    <xf numFmtId="3" fontId="0" fillId="0" borderId="6" xfId="0" applyNumberFormat="1" applyBorder="1" applyAlignment="1">
      <alignment horizontal="center" vertical="center" wrapText="1"/>
    </xf>
    <xf numFmtId="178" fontId="0" fillId="117" borderId="100" xfId="0" applyNumberFormat="1" applyFill="1" applyBorder="1" applyAlignment="1">
      <alignment horizontal="center"/>
    </xf>
    <xf numFmtId="178" fontId="0" fillId="117" borderId="95" xfId="0" applyNumberFormat="1" applyFill="1" applyBorder="1" applyAlignment="1">
      <alignment horizontal="center"/>
    </xf>
    <xf numFmtId="178" fontId="0" fillId="117" borderId="61" xfId="0" applyNumberFormat="1" applyFill="1" applyBorder="1" applyAlignment="1">
      <alignment horizontal="center"/>
    </xf>
    <xf numFmtId="1" fontId="8" fillId="0" borderId="142" xfId="0" applyNumberFormat="1" applyFont="1" applyBorder="1" applyAlignment="1">
      <alignment horizontal="center" vertical="center"/>
    </xf>
    <xf numFmtId="1" fontId="8" fillId="0" borderId="143" xfId="0" applyNumberFormat="1" applyFont="1" applyBorder="1" applyAlignment="1">
      <alignment horizontal="center" vertical="center"/>
    </xf>
    <xf numFmtId="1" fontId="8" fillId="0" borderId="144" xfId="0" applyNumberFormat="1" applyFont="1" applyBorder="1" applyAlignment="1">
      <alignment horizontal="center" vertical="center"/>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20" xfId="0" applyBorder="1" applyAlignment="1">
      <alignment horizontal="center" vertical="center" wrapText="1"/>
    </xf>
    <xf numFmtId="0" fontId="0" fillId="0" borderId="6" xfId="0" applyBorder="1" applyAlignment="1">
      <alignment horizontal="center" vertical="center" wrapText="1"/>
    </xf>
    <xf numFmtId="0" fontId="0" fillId="0" borderId="99" xfId="0" applyBorder="1" applyAlignment="1">
      <alignment horizontal="left" vertical="center" wrapText="1"/>
    </xf>
    <xf numFmtId="0" fontId="0" fillId="0" borderId="79" xfId="0" applyBorder="1" applyAlignment="1">
      <alignment horizontal="left" vertical="center" wrapText="1"/>
    </xf>
    <xf numFmtId="0" fontId="0" fillId="0" borderId="100" xfId="0" applyBorder="1" applyAlignment="1">
      <alignment horizontal="left" vertical="center" wrapText="1"/>
    </xf>
    <xf numFmtId="0" fontId="0" fillId="0" borderId="78" xfId="0" applyBorder="1" applyAlignment="1">
      <alignment horizontal="left" vertical="center" wrapText="1"/>
    </xf>
    <xf numFmtId="0" fontId="0" fillId="0" borderId="97" xfId="0" applyBorder="1" applyAlignment="1">
      <alignment horizontal="left" vertical="center" wrapText="1"/>
    </xf>
    <xf numFmtId="0" fontId="0" fillId="0" borderId="80"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center" vertical="center" wrapText="1"/>
    </xf>
    <xf numFmtId="0" fontId="0" fillId="0" borderId="123" xfId="0" applyBorder="1" applyAlignment="1">
      <alignment horizontal="center" vertical="center" wrapText="1"/>
    </xf>
    <xf numFmtId="0" fontId="0" fillId="0" borderId="161" xfId="0" applyBorder="1" applyAlignment="1">
      <alignment horizontal="left" vertical="center" wrapText="1" indent="1"/>
    </xf>
    <xf numFmtId="0" fontId="0" fillId="0" borderId="162" xfId="0" applyBorder="1" applyAlignment="1">
      <alignment horizontal="left" vertical="center" wrapText="1" indent="1"/>
    </xf>
    <xf numFmtId="0" fontId="0" fillId="0" borderId="0" xfId="0" applyAlignment="1">
      <alignment horizontal="left" vertical="center" wrapText="1" indent="1"/>
    </xf>
    <xf numFmtId="0" fontId="10" fillId="36" borderId="6" xfId="75" applyFont="1" applyFill="1" applyBorder="1" applyAlignment="1">
      <alignment horizontal="left" vertical="top" wrapText="1"/>
    </xf>
    <xf numFmtId="0" fontId="0" fillId="0" borderId="6" xfId="0" applyBorder="1" applyAlignment="1">
      <alignment horizontal="left" vertical="top" wrapText="1"/>
    </xf>
    <xf numFmtId="0" fontId="33" fillId="0" borderId="6" xfId="75" applyFont="1" applyBorder="1" applyAlignment="1">
      <alignment horizontal="center" vertical="center" wrapText="1"/>
    </xf>
    <xf numFmtId="0" fontId="0" fillId="0" borderId="6" xfId="0" applyBorder="1" applyAlignment="1">
      <alignment wrapText="1"/>
    </xf>
    <xf numFmtId="0" fontId="0" fillId="3" borderId="166" xfId="0" applyFill="1" applyBorder="1" applyAlignment="1">
      <alignment horizontal="left" vertical="top" wrapText="1"/>
    </xf>
    <xf numFmtId="0" fontId="0" fillId="3" borderId="21" xfId="0" applyFill="1" applyBorder="1" applyAlignment="1">
      <alignment wrapText="1"/>
    </xf>
    <xf numFmtId="0" fontId="0" fillId="3" borderId="167" xfId="0" applyFill="1" applyBorder="1" applyAlignment="1">
      <alignment wrapText="1"/>
    </xf>
    <xf numFmtId="0" fontId="0" fillId="3" borderId="0" xfId="0" applyFill="1" applyAlignment="1">
      <alignment horizontal="left" vertical="top" indent="1"/>
    </xf>
    <xf numFmtId="0" fontId="248" fillId="116" borderId="0" xfId="0" applyFont="1" applyFill="1" applyAlignment="1">
      <alignment horizontal="left" vertical="top" wrapText="1"/>
    </xf>
    <xf numFmtId="178" fontId="2" fillId="0" borderId="6" xfId="51691" applyNumberFormat="1" applyBorder="1" applyAlignment="1">
      <alignment horizontal="left"/>
    </xf>
    <xf numFmtId="0" fontId="275" fillId="0" borderId="10" xfId="51691" applyFont="1" applyBorder="1" applyAlignment="1">
      <alignment horizontal="left"/>
    </xf>
    <xf numFmtId="0" fontId="275" fillId="0" borderId="11" xfId="51691" applyFont="1" applyBorder="1" applyAlignment="1">
      <alignment horizontal="left"/>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 fillId="0" borderId="10" xfId="51691" applyBorder="1" applyAlignment="1">
      <alignment horizontal="center"/>
    </xf>
    <xf numFmtId="0" fontId="2" fillId="0" borderId="11" xfId="51691" applyBorder="1" applyAlignment="1">
      <alignment horizontal="center"/>
    </xf>
    <xf numFmtId="0" fontId="273" fillId="52" borderId="120" xfId="51691" applyFont="1" applyFill="1" applyBorder="1" applyAlignment="1">
      <alignment horizontal="left" vertical="center"/>
    </xf>
    <xf numFmtId="0" fontId="273" fillId="52" borderId="123" xfId="51691" applyFont="1" applyFill="1" applyBorder="1" applyAlignment="1">
      <alignment horizontal="left" vertical="center"/>
    </xf>
    <xf numFmtId="0" fontId="273" fillId="135" borderId="165" xfId="51691" applyFont="1" applyFill="1" applyBorder="1" applyAlignment="1">
      <alignment horizontal="center" vertical="center" wrapText="1"/>
    </xf>
    <xf numFmtId="0" fontId="273" fillId="135" borderId="105" xfId="51691" applyFont="1" applyFill="1" applyBorder="1" applyAlignment="1">
      <alignment horizontal="center" vertical="center" wrapText="1"/>
    </xf>
    <xf numFmtId="0" fontId="2" fillId="0" borderId="120" xfId="51691" applyBorder="1" applyAlignment="1">
      <alignment horizontal="left"/>
    </xf>
    <xf numFmtId="0" fontId="2" fillId="0" borderId="123" xfId="51691" applyBorder="1" applyAlignment="1">
      <alignment horizontal="left"/>
    </xf>
    <xf numFmtId="0" fontId="248" fillId="116" borderId="128" xfId="0" applyFont="1" applyFill="1" applyBorder="1" applyAlignment="1">
      <alignment horizontal="left" vertical="top" wrapText="1"/>
    </xf>
    <xf numFmtId="0" fontId="273" fillId="135" borderId="21" xfId="51691" applyFont="1" applyFill="1" applyBorder="1" applyAlignment="1">
      <alignment horizontal="center" vertical="center" wrapText="1"/>
    </xf>
    <xf numFmtId="0" fontId="273" fillId="135" borderId="167" xfId="51691" applyFont="1" applyFill="1" applyBorder="1" applyAlignment="1">
      <alignment horizontal="center" vertical="center" wrapText="1"/>
    </xf>
    <xf numFmtId="0" fontId="273" fillId="135" borderId="128" xfId="51691" applyFont="1" applyFill="1" applyBorder="1" applyAlignment="1">
      <alignment horizontal="center" vertical="center" wrapText="1"/>
    </xf>
    <xf numFmtId="0" fontId="273" fillId="135" borderId="90" xfId="51691" applyFont="1" applyFill="1" applyBorder="1" applyAlignment="1">
      <alignment horizontal="center" vertical="center" wrapText="1"/>
    </xf>
    <xf numFmtId="0" fontId="275" fillId="135" borderId="165" xfId="51691" applyFont="1" applyFill="1" applyBorder="1" applyAlignment="1">
      <alignment horizontal="center" vertical="center" wrapText="1"/>
    </xf>
    <xf numFmtId="0" fontId="275" fillId="135" borderId="105" xfId="51691" applyFont="1" applyFill="1" applyBorder="1" applyAlignment="1">
      <alignment horizontal="center" vertical="center" wrapText="1"/>
    </xf>
    <xf numFmtId="0" fontId="0" fillId="134" borderId="120" xfId="0" applyFill="1" applyBorder="1" applyAlignment="1">
      <alignment horizontal="center"/>
    </xf>
    <xf numFmtId="0" fontId="0" fillId="134" borderId="28" xfId="0" applyFill="1" applyBorder="1" applyAlignment="1">
      <alignment horizontal="center"/>
    </xf>
    <xf numFmtId="0" fontId="0" fillId="134" borderId="123" xfId="0" applyFill="1" applyBorder="1" applyAlignment="1">
      <alignment horizontal="center"/>
    </xf>
    <xf numFmtId="0" fontId="0" fillId="53" borderId="165" xfId="0" applyFill="1" applyBorder="1" applyAlignment="1">
      <alignment horizontal="center" vertical="top" wrapText="1"/>
    </xf>
    <xf numFmtId="0" fontId="0" fillId="53" borderId="163" xfId="0" applyFill="1" applyBorder="1" applyAlignment="1">
      <alignment horizontal="center" vertical="top" wrapText="1"/>
    </xf>
    <xf numFmtId="0" fontId="0" fillId="53" borderId="105" xfId="0" applyFill="1" applyBorder="1" applyAlignment="1">
      <alignment horizontal="center" vertical="top" wrapText="1"/>
    </xf>
  </cellXfs>
  <cellStyles count="51693">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71" xfId="51685" xr:uid="{D88C049C-0ABF-4963-A188-FC0A6DC5C5F8}"/>
    <cellStyle name="Normal 72" xfId="51687" xr:uid="{78AE7F22-65C0-4960-860E-692289CD99BD}"/>
    <cellStyle name="Normal 73" xfId="51689" xr:uid="{6DF7956B-B673-4C54-8158-D8A9E57FE5A2}"/>
    <cellStyle name="Normal 73 2" xfId="51691" xr:uid="{E3D39CB5-B8FD-4775-8F5F-0126836666F3}"/>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16" xfId="51686" xr:uid="{A5ABCC90-F860-4D7D-893B-9C9C2F1A77B2}"/>
    <cellStyle name="Percent 17" xfId="51688" xr:uid="{7E2A4EBC-EDAF-455C-99E2-6E0AFECBF748}"/>
    <cellStyle name="Percent 18" xfId="51690" xr:uid="{30F21A05-C29D-4306-B467-A48BF6254259}"/>
    <cellStyle name="Percent 18 2" xfId="51692" xr:uid="{C980D258-6AFD-4FF7-A41C-BE019F8D96C3}"/>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106">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border>
        <right style="thin">
          <color auto="1"/>
        </right>
        <vertical/>
        <horizontal/>
      </border>
    </dxf>
    <dxf>
      <fill>
        <patternFill patternType="darkUp">
          <fgColor rgb="FFC0C0C0"/>
        </patternFill>
      </fill>
    </dxf>
    <dxf>
      <border>
        <right style="thin">
          <color auto="1"/>
        </right>
        <vertical/>
        <horizontal/>
      </border>
    </dxf>
    <dxf>
      <fill>
        <patternFill patternType="darkUp">
          <fgColor rgb="FFC0C0C0"/>
        </patternFill>
      </fill>
    </dxf>
    <dxf>
      <border>
        <right style="thin">
          <color auto="1"/>
        </right>
        <vertical/>
        <horizontal/>
      </border>
    </dxf>
    <dxf>
      <fill>
        <patternFill patternType="lightUp"/>
      </fill>
    </dxf>
    <dxf>
      <fill>
        <patternFill patternType="lightUp"/>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lightDown"/>
      </fill>
    </dxf>
    <dxf>
      <fill>
        <patternFill patternType="lightDown"/>
      </fill>
    </dxf>
    <dxf>
      <fill>
        <patternFill patternType="darkUp">
          <fgColor rgb="FFC0C0C0"/>
        </patternFill>
      </fill>
    </dxf>
    <dxf>
      <fill>
        <patternFill patternType="lightDown"/>
      </fill>
    </dxf>
    <dxf>
      <fill>
        <patternFill patternType="darkUp">
          <fgColor rgb="FFC0C0C0"/>
        </patternFill>
      </fill>
    </dxf>
    <dxf>
      <fill>
        <patternFill patternType="lightDown"/>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fgColor auto="1"/>
          <bgColor theme="7" tint="0.79998168889431442"/>
        </patternFill>
      </fill>
    </dxf>
    <dxf>
      <fill>
        <patternFill patternType="lightDown"/>
      </fill>
    </dxf>
    <dxf>
      <fill>
        <patternFill patternType="darkUp">
          <fgColor rgb="FFC0C0C0"/>
        </patternFill>
      </fill>
    </dxf>
    <dxf>
      <fill>
        <patternFill patternType="lightDown"/>
      </fill>
    </dxf>
    <dxf>
      <fill>
        <patternFill patternType="lightDown"/>
      </fill>
    </dxf>
    <dxf>
      <fill>
        <patternFill patternType="lightDown"/>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ECFF"/>
      <color rgb="FFCCFFCC"/>
      <color rgb="FFFFFF99"/>
      <color rgb="FFFFFFAB"/>
      <color rgb="FFFFFFCC"/>
      <color rgb="FFFFCC99"/>
      <color rgb="FF99CCFF"/>
      <color rgb="FFFFF4D1"/>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2059781</xdr:colOff>
      <xdr:row>1</xdr:row>
      <xdr:rowOff>158</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2719" cy="702468"/>
        </a:xfrm>
        <a:prstGeom prst="rect">
          <a:avLst/>
        </a:prstGeom>
      </xdr:spPr>
    </xdr:pic>
    <xdr:clientData/>
  </xdr:twoCellAnchor>
  <xdr:twoCellAnchor editAs="oneCell">
    <xdr:from>
      <xdr:col>0</xdr:col>
      <xdr:colOff>1</xdr:colOff>
      <xdr:row>0</xdr:row>
      <xdr:rowOff>0</xdr:rowOff>
    </xdr:from>
    <xdr:to>
      <xdr:col>1</xdr:col>
      <xdr:colOff>2197385</xdr:colOff>
      <xdr:row>1</xdr:row>
      <xdr:rowOff>2184</xdr:rowOff>
    </xdr:to>
    <xdr:pic>
      <xdr:nvPicPr>
        <xdr:cNvPr id="3" name="Picture 2" descr="image of the Ofgem logo" title="Ofgem logo">
          <a:extLst>
            <a:ext uri="{FF2B5EF4-FFF2-40B4-BE49-F238E27FC236}">
              <a16:creationId xmlns:a16="http://schemas.microsoft.com/office/drawing/2014/main" id="{7CD0105B-F760-41D4-B21D-550F978E81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twoCellAnchor editAs="oneCell">
    <xdr:from>
      <xdr:col>5</xdr:col>
      <xdr:colOff>179140</xdr:colOff>
      <xdr:row>0</xdr:row>
      <xdr:rowOff>183509</xdr:rowOff>
    </xdr:from>
    <xdr:to>
      <xdr:col>5</xdr:col>
      <xdr:colOff>1055312</xdr:colOff>
      <xdr:row>0</xdr:row>
      <xdr:rowOff>561334</xdr:rowOff>
    </xdr:to>
    <xdr:pic>
      <xdr:nvPicPr>
        <xdr:cNvPr id="4" name="Picture 3" title="white box">
          <a:extLst>
            <a:ext uri="{FF2B5EF4-FFF2-40B4-BE49-F238E27FC236}">
              <a16:creationId xmlns:a16="http://schemas.microsoft.com/office/drawing/2014/main" id="{BCB364B1-7D82-4753-9837-81D27AAF6E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08140" y="183509"/>
          <a:ext cx="865377" cy="361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809625</xdr:colOff>
      <xdr:row>3</xdr:row>
      <xdr:rowOff>25401</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6488A38D-FE22-47D2-905B-E14089489FE9}"/>
            </a:ext>
          </a:extLst>
        </xdr:cNvPr>
        <xdr:cNvSpPr/>
      </xdr:nvSpPr>
      <xdr:spPr>
        <a:xfrm>
          <a:off x="10239375" y="514350"/>
          <a:ext cx="80645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oneCellAnchor>
    <xdr:from>
      <xdr:col>9</xdr:col>
      <xdr:colOff>350488</xdr:colOff>
      <xdr:row>9</xdr:row>
      <xdr:rowOff>122237</xdr:rowOff>
    </xdr:from>
    <xdr:ext cx="1825180" cy="172227"/>
    <xdr:sp macro="" textlink="">
      <xdr:nvSpPr>
        <xdr:cNvPr id="4" name="TextBox 3">
          <a:extLst>
            <a:ext uri="{FF2B5EF4-FFF2-40B4-BE49-F238E27FC236}">
              <a16:creationId xmlns:a16="http://schemas.microsoft.com/office/drawing/2014/main" id="{94E15318-620C-4C64-861B-F4D04D9D60CE}"/>
            </a:ext>
          </a:extLst>
        </xdr:cNvPr>
        <xdr:cNvSpPr txBox="1"/>
      </xdr:nvSpPr>
      <xdr:spPr>
        <a:xfrm flipH="1">
          <a:off x="14399863" y="1777206"/>
          <a:ext cx="18251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GB"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gemcloud.sharepoint.com/sites/PC/Projects/RFPR%20RIIO-2/Post-Notice/Tax%20Reconciliation/Copy%20of%20RFPR%20draft%20templat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adentgasltd.sharepoint.com/sites/RFPR-RIIO-GD2Workstream/Shared%20Documents/R5%20-%20Financing/FY21_22%20Submission/Network%20Splits%20-%20Broken%20Links/RIIO-2%20RFPR%20R5%20R6%20Network%20Data%20Template%20-%20Links%20Broke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nancing%20Tabs%20to%20be%20Exclud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IIO-2%20RFPR%20template%20v.1.0%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R1 - RoRE"/>
      <sheetName val="Change log"/>
      <sheetName val="R2 - Rec to Revenue and Profit"/>
      <sheetName val="R3 - Totex - Reconciliation"/>
      <sheetName val="R4 - Incentives and Other Rev"/>
      <sheetName val="R5 - Financing"/>
      <sheetName val="R5a - Financing input"/>
      <sheetName val="R6 - Net Debt"/>
      <sheetName val="R6a - Net Debt input"/>
      <sheetName val="R7 - RAV"/>
      <sheetName val="R8 - Tax"/>
      <sheetName val="R9 - Corporate Governance"/>
      <sheetName val="R10 - Pensions &amp; Oth Activ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Change log"/>
      <sheetName val="R1 - RoRE"/>
      <sheetName val="R2 - Rec to Revenue and Pro EE"/>
      <sheetName val="R2 - Rec to Revenue and Pro LN"/>
      <sheetName val="R2 - Rec to Revenue and Pro NW"/>
      <sheetName val="R2 - Rec to Revenue and Pro WM"/>
      <sheetName val="R2 - Rec to Revenue and Profit"/>
      <sheetName val="R3 - Totex - Reconciliation EE"/>
      <sheetName val="R3 - Totex - Reconciliation LN"/>
      <sheetName val="R3 - Totex - Reconciliation NW"/>
      <sheetName val="R3 - Totex - Reconciliation WM"/>
      <sheetName val="R3 - Totex - Reconciliation"/>
      <sheetName val="R4 - Incentives and Other R EE"/>
      <sheetName val="R4 - Incentives and Other R LN"/>
      <sheetName val="R4 - Incentives and Other R NW"/>
      <sheetName val="R4 - Incentives and Other R WM"/>
      <sheetName val="R4 - Incentives and Other Rev"/>
      <sheetName val="R5 - Financing CADENT"/>
      <sheetName val="R5 - Financing EE"/>
      <sheetName val="R5 - Financing LN"/>
      <sheetName val="R5 - Financing NW"/>
      <sheetName val="R5 - Financing WM"/>
      <sheetName val="R5a - Financing input CADENT"/>
      <sheetName val="R5a - Financing input EE"/>
      <sheetName val="R5a - Financing input LN"/>
      <sheetName val="R5a - Financing input NW"/>
      <sheetName val="R5a - Financing input WM"/>
      <sheetName val="R6 - Net Debt CADENT"/>
      <sheetName val="R6 - Net Debt EE"/>
      <sheetName val="R6 - Net Debt LN"/>
      <sheetName val="R6 - Net Debt NW"/>
      <sheetName val="R6 - Net Debt WM"/>
      <sheetName val="R6a - Net Debt input CADENT"/>
      <sheetName val="R6a - Net Debt input EE"/>
      <sheetName val="R6a - Net Debt input LN"/>
      <sheetName val="R6a - Net Debt input NW"/>
      <sheetName val="R6a - Net Debt input WM"/>
      <sheetName val="R7 - RAV EE"/>
      <sheetName val="R7 - RAV LN"/>
      <sheetName val="R7 - RAV NW"/>
      <sheetName val="R7 - RAV WM"/>
      <sheetName val="R7 - RAV"/>
      <sheetName val="R8 - Tax EE"/>
      <sheetName val="R8 - Tax LN"/>
      <sheetName val="R8 - Tax NW"/>
      <sheetName val="R8 - Tax WM"/>
      <sheetName val="R8 - Tax"/>
      <sheetName val="R8a - Tax Reconciliation EE"/>
      <sheetName val="R8a - Tax Reconciliation LN"/>
      <sheetName val="R8a - Tax Reconciliation NW"/>
      <sheetName val="R8a - Tax Reconciliation WM"/>
      <sheetName val="R8a - Tax Reconciliation"/>
      <sheetName val="R9 - Corporate Governance EE"/>
      <sheetName val="R9 - Corporate Governance LN"/>
      <sheetName val="R9 - Corporate Governance NW"/>
      <sheetName val="R9 - Corporate Governance WM"/>
      <sheetName val="R9 - Corporate Governance"/>
      <sheetName val="R10 - Pensions &amp; Oth Activi EE"/>
      <sheetName val="R10 - Pensions &amp; Oth Activi LN"/>
      <sheetName val="R10 - Pensions &amp; Oth Activi NW"/>
      <sheetName val="R10 - Pensions &amp; Oth Activi WM"/>
      <sheetName val="R10 - Pensions &amp; Oth Activ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Q2">
            <v>0.17938206179382063</v>
          </cell>
        </row>
        <row r="3">
          <cell r="Q3">
            <v>0.17921792179217921</v>
          </cell>
        </row>
        <row r="4">
          <cell r="Q4">
            <v>0.17860000000000001</v>
          </cell>
        </row>
        <row r="5">
          <cell r="Q5">
            <v>0.17799999999999999</v>
          </cell>
        </row>
        <row r="6">
          <cell r="Q6">
            <v>0.17771777177717771</v>
          </cell>
        </row>
      </sheetData>
      <sheetData sheetId="21"/>
      <sheetData sheetId="22"/>
      <sheetData sheetId="23"/>
      <sheetData sheetId="24"/>
      <sheetData sheetId="25">
        <row r="19">
          <cell r="M19">
            <v>13.602240909999997</v>
          </cell>
        </row>
      </sheetData>
      <sheetData sheetId="26">
        <row r="19">
          <cell r="M19">
            <v>13.602240909999997</v>
          </cell>
        </row>
      </sheetData>
      <sheetData sheetId="27">
        <row r="19">
          <cell r="M19">
            <v>13.602240909999997</v>
          </cell>
        </row>
      </sheetData>
      <sheetData sheetId="28">
        <row r="19">
          <cell r="M19">
            <v>13.602240909999997</v>
          </cell>
        </row>
      </sheetData>
      <sheetData sheetId="29"/>
      <sheetData sheetId="30"/>
      <sheetData sheetId="31">
        <row r="9">
          <cell r="D9">
            <v>-257.707345971564</v>
          </cell>
        </row>
      </sheetData>
      <sheetData sheetId="32"/>
      <sheetData sheetId="33"/>
      <sheetData sheetId="34"/>
      <sheetData sheetId="35">
        <row r="13">
          <cell r="T13">
            <v>-13</v>
          </cell>
        </row>
      </sheetData>
      <sheetData sheetId="36">
        <row r="13">
          <cell r="T13">
            <v>-13</v>
          </cell>
        </row>
      </sheetData>
      <sheetData sheetId="37">
        <row r="13">
          <cell r="T13">
            <v>-13</v>
          </cell>
        </row>
      </sheetData>
      <sheetData sheetId="38">
        <row r="13">
          <cell r="T13">
            <v>-13</v>
          </cell>
        </row>
      </sheetData>
      <sheetData sheetId="39">
        <row r="13">
          <cell r="T13">
            <v>-13</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a - Financing input"/>
      <sheetName val="R6a - Net Debt input"/>
      <sheetName val="R5a - Financing input (2)"/>
      <sheetName val="R6a - Net Debt input (2)"/>
      <sheetName val="LON"/>
      <sheetName val="R5a - Financing input (3)"/>
      <sheetName val="R6a - Net Debt input (3)"/>
      <sheetName val="R5a - Financing input (4)"/>
      <sheetName val="R6a - Net Debt input (4)"/>
      <sheetName val="NW"/>
      <sheetName val="R5a - Financing input (5)"/>
      <sheetName val="R6a - Net Debt input (5)"/>
      <sheetName val="R5a - Financing input (6)"/>
      <sheetName val="R6a - Net Debt input (6)"/>
      <sheetName val="WM"/>
      <sheetName val="R5a - Financing input (7)"/>
      <sheetName val="R6a - Net Debt input (7)"/>
      <sheetName val="R5a - Financing input (8)"/>
      <sheetName val="R6a - Net Debt input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494">
          <cell r="C494" t="str">
            <v>Net Interest Per Statutory Accounts</v>
          </cell>
        </row>
      </sheetData>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Change log"/>
      <sheetName val="R1 - RoRE"/>
      <sheetName val="R2 - Rec to Revenue and Profit"/>
      <sheetName val="R3 - Totex - Reconciliation"/>
      <sheetName val="R4 - Incentives and Other Rev"/>
      <sheetName val="R5 - Financing"/>
      <sheetName val="R5a - Financing input"/>
      <sheetName val="R6 - Net Debt"/>
      <sheetName val="R6a - Net Debt input"/>
      <sheetName val="R7 - RAV"/>
      <sheetName val="R8 - Tax"/>
      <sheetName val="R8a - Tax Reconciliation"/>
      <sheetName val="R9 - Corporate Governance"/>
      <sheetName val="R10 - Pensions &amp; Oth Activ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2">
          <cell r="D52">
            <v>2022</v>
          </cell>
          <cell r="E52">
            <v>2023</v>
          </cell>
          <cell r="F52">
            <v>2024</v>
          </cell>
          <cell r="G52">
            <v>2025</v>
          </cell>
          <cell r="H52">
            <v>2026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7"/>
  <sheetViews>
    <sheetView showGridLines="0" zoomScale="80" zoomScaleNormal="80" zoomScaleSheetLayoutView="90" workbookViewId="0">
      <selection activeCell="C7" sqref="C7"/>
    </sheetView>
  </sheetViews>
  <sheetFormatPr defaultRowHeight="12.4"/>
  <cols>
    <col min="1" max="1" width="8.3515625" customWidth="1"/>
    <col min="2" max="2" width="41.46875" customWidth="1"/>
    <col min="3" max="6" width="14.1171875" customWidth="1"/>
    <col min="7" max="7" width="14.1171875" style="88" customWidth="1"/>
    <col min="8" max="11" width="14.1171875" customWidth="1"/>
  </cols>
  <sheetData>
    <row r="1" spans="1:11" s="802" customFormat="1" ht="57" customHeight="1"/>
    <row r="2" spans="1:11" ht="20.65">
      <c r="A2" s="288" t="s">
        <v>0</v>
      </c>
      <c r="B2" s="289"/>
      <c r="C2" s="289"/>
      <c r="D2" s="290"/>
      <c r="E2" s="291"/>
      <c r="F2" s="289"/>
      <c r="G2" s="292"/>
      <c r="H2" s="289"/>
      <c r="I2" s="289"/>
      <c r="J2" s="289"/>
      <c r="K2" s="289"/>
    </row>
    <row r="3" spans="1:11" ht="20.65">
      <c r="A3" s="288" t="str">
        <f>Licensee</f>
        <v>Cadent-WM</v>
      </c>
      <c r="B3" s="289"/>
      <c r="C3" s="289"/>
      <c r="D3" s="291"/>
      <c r="E3" s="291"/>
      <c r="F3" s="289"/>
      <c r="G3" s="292"/>
      <c r="H3" s="289"/>
      <c r="I3" s="289"/>
      <c r="J3" s="289"/>
      <c r="K3" s="289"/>
    </row>
    <row r="4" spans="1:11" ht="20.65">
      <c r="A4" s="288" t="s">
        <v>1</v>
      </c>
      <c r="B4" s="289"/>
      <c r="C4" s="289"/>
      <c r="D4" s="291"/>
      <c r="E4" s="291"/>
      <c r="F4" s="289"/>
      <c r="G4" s="292"/>
      <c r="H4" s="289"/>
      <c r="I4" s="289"/>
      <c r="J4" s="289"/>
      <c r="K4" s="289"/>
    </row>
    <row r="5" spans="1:11" ht="20.65">
      <c r="A5" s="449"/>
      <c r="B5" s="450"/>
      <c r="C5" s="450"/>
      <c r="D5" s="451"/>
      <c r="E5" s="451"/>
      <c r="F5" s="450"/>
      <c r="G5" s="452"/>
      <c r="H5" s="450"/>
      <c r="I5" s="450"/>
      <c r="J5" s="450"/>
      <c r="K5" s="450"/>
    </row>
    <row r="6" spans="1:11" ht="13.5">
      <c r="A6" s="17"/>
      <c r="B6" s="542" t="s">
        <v>2</v>
      </c>
      <c r="C6" s="543">
        <v>2022</v>
      </c>
      <c r="D6" s="17"/>
      <c r="E6" s="17"/>
      <c r="H6" s="4"/>
      <c r="I6" s="4"/>
      <c r="J6" s="4"/>
    </row>
    <row r="7" spans="1:11" ht="13.5" customHeight="1">
      <c r="A7" s="17"/>
      <c r="B7" s="542" t="s">
        <v>3</v>
      </c>
      <c r="C7" s="544" t="s">
        <v>4</v>
      </c>
      <c r="D7" s="136"/>
      <c r="E7" s="10"/>
      <c r="F7" s="545"/>
      <c r="G7" s="191" t="s">
        <v>5</v>
      </c>
      <c r="H7" s="4"/>
      <c r="I7" s="4"/>
      <c r="J7" s="4"/>
    </row>
    <row r="8" spans="1:11" ht="13.5" customHeight="1">
      <c r="A8" s="17"/>
      <c r="B8" s="542" t="s">
        <v>6</v>
      </c>
      <c r="C8" s="546" t="str">
        <f>INDEX(Data!$A$55:$A$83,MATCH($C$7,Data!$B$55:$B$83,0),0)&amp;"2"</f>
        <v>GD2</v>
      </c>
      <c r="D8" s="136"/>
      <c r="E8" s="10"/>
      <c r="F8" s="547"/>
      <c r="G8" s="191" t="s">
        <v>7</v>
      </c>
      <c r="H8" s="4"/>
      <c r="I8" s="4"/>
      <c r="J8" s="4"/>
    </row>
    <row r="9" spans="1:11" ht="25.15">
      <c r="A9" s="17"/>
      <c r="B9" s="548" t="s">
        <v>8</v>
      </c>
      <c r="C9" s="549">
        <v>2022</v>
      </c>
      <c r="D9" s="136"/>
      <c r="E9" s="10"/>
      <c r="F9" s="550"/>
      <c r="G9" s="192" t="s">
        <v>9</v>
      </c>
      <c r="H9" s="4"/>
      <c r="I9" s="4"/>
      <c r="J9" s="4"/>
    </row>
    <row r="10" spans="1:11" ht="13.5">
      <c r="A10" s="17"/>
      <c r="B10" s="542" t="s">
        <v>10</v>
      </c>
      <c r="C10" s="549"/>
      <c r="D10" s="10"/>
      <c r="E10" s="9"/>
      <c r="F10" s="551"/>
      <c r="G10" s="191" t="s">
        <v>11</v>
      </c>
      <c r="H10" s="4"/>
      <c r="I10" s="4"/>
      <c r="J10" s="4"/>
    </row>
    <row r="11" spans="1:11" ht="13.5">
      <c r="A11" s="17"/>
      <c r="B11" s="542" t="s">
        <v>12</v>
      </c>
      <c r="C11" s="552"/>
      <c r="D11" s="9"/>
      <c r="E11" s="9"/>
      <c r="F11" s="553"/>
      <c r="G11" s="191" t="s">
        <v>13</v>
      </c>
      <c r="H11" s="4"/>
      <c r="I11" s="4"/>
      <c r="J11" s="4"/>
    </row>
    <row r="12" spans="1:11" ht="13.5">
      <c r="A12" s="17"/>
      <c r="D12" s="9"/>
      <c r="E12" s="9"/>
      <c r="F12" s="554"/>
      <c r="G12" s="191" t="s">
        <v>14</v>
      </c>
      <c r="H12" s="4"/>
      <c r="I12" s="4"/>
      <c r="J12" s="4"/>
    </row>
    <row r="13" spans="1:11" ht="13.5">
      <c r="A13" s="17"/>
      <c r="D13" s="10"/>
      <c r="E13" s="10"/>
      <c r="F13" s="555"/>
      <c r="G13" s="191" t="s">
        <v>15</v>
      </c>
      <c r="H13" s="4"/>
      <c r="I13" s="4"/>
      <c r="J13" s="4"/>
    </row>
    <row r="14" spans="1:11">
      <c r="A14" s="17"/>
      <c r="D14" s="9"/>
      <c r="E14" s="9"/>
      <c r="F14" s="9"/>
      <c r="G14" s="193"/>
    </row>
    <row r="15" spans="1:11">
      <c r="A15" s="17"/>
      <c r="D15" s="9"/>
      <c r="E15" s="9"/>
    </row>
    <row r="16" spans="1:11">
      <c r="A16" s="17"/>
      <c r="D16" s="9"/>
      <c r="E16" s="9"/>
    </row>
    <row r="17" spans="1:7">
      <c r="A17" s="17"/>
      <c r="B17" s="9"/>
      <c r="C17" s="9"/>
      <c r="D17" s="9"/>
      <c r="E17" s="9"/>
      <c r="F17" s="9"/>
      <c r="G17" s="193"/>
    </row>
    <row r="87" spans="1:1">
      <c r="A87" s="33"/>
    </row>
  </sheetData>
  <mergeCells count="1">
    <mergeCell ref="A1:XFD1"/>
  </mergeCells>
  <pageMargins left="0.70866141732283472" right="0.70866141732283472" top="0.74803149606299213" bottom="0.74803149606299213" header="0.31496062992125984" footer="0.31496062992125984"/>
  <pageSetup scale="45" orientation="portrait" r:id="rId1"/>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Data!$F$15:$L$15</xm:f>
          </x14:formula1>
          <xm:sqref>C9</xm:sqref>
        </x14:dataValidation>
        <x14:dataValidation type="list" allowBlank="1" showInputMessage="1" showErrorMessage="1" xr:uid="{00000000-0002-0000-0000-000001000000}">
          <x14:formula1>
            <xm:f>Data!$B$55:$B$83</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tabColor rgb="FFFFFFCC"/>
    <pageSetUpPr fitToPage="1"/>
  </sheetPr>
  <dimension ref="A1:K67"/>
  <sheetViews>
    <sheetView showGridLines="0" zoomScale="80" zoomScaleNormal="80" workbookViewId="0">
      <pane ySplit="7" topLeftCell="A13" activePane="bottomLeft" state="frozen"/>
      <selection activeCell="B9" sqref="B9"/>
      <selection pane="bottomLeft" activeCell="B25" sqref="B25"/>
    </sheetView>
  </sheetViews>
  <sheetFormatPr defaultRowHeight="12.4"/>
  <cols>
    <col min="1" max="1" width="8.3515625" customWidth="1"/>
    <col min="2" max="2" width="85.76171875" bestFit="1" customWidth="1"/>
    <col min="3" max="3" width="14.1171875" customWidth="1"/>
    <col min="4" max="8" width="11.1171875" customWidth="1"/>
    <col min="9" max="9" width="5" customWidth="1"/>
    <col min="10" max="10" width="12.87890625" customWidth="1"/>
  </cols>
  <sheetData>
    <row r="1" spans="1:9" ht="20.65">
      <c r="A1" s="776" t="s">
        <v>179</v>
      </c>
      <c r="B1" s="395"/>
      <c r="C1" s="396"/>
      <c r="D1" s="396"/>
      <c r="E1" s="396"/>
      <c r="F1" s="396"/>
      <c r="G1" s="396"/>
      <c r="H1" s="396"/>
      <c r="I1" s="785"/>
    </row>
    <row r="2" spans="1:9" ht="20.65">
      <c r="A2" s="293" t="str">
        <f>Licensee</f>
        <v>Cadent-WM</v>
      </c>
      <c r="B2" s="288"/>
      <c r="C2" s="16"/>
      <c r="D2" s="16"/>
      <c r="E2" s="16"/>
      <c r="F2" s="16"/>
      <c r="G2" s="16"/>
      <c r="H2" s="16"/>
      <c r="I2" s="65"/>
    </row>
    <row r="3" spans="1:9" ht="20.65">
      <c r="A3" s="288">
        <f>Reporting_Year</f>
        <v>2022</v>
      </c>
      <c r="B3" s="587" t="str">
        <f>'R5 - Financing'!B3</f>
        <v/>
      </c>
      <c r="C3" s="575"/>
      <c r="D3" s="575"/>
      <c r="E3" s="575"/>
      <c r="F3" s="575"/>
      <c r="G3" s="575"/>
      <c r="H3" s="575"/>
      <c r="I3" s="119"/>
    </row>
    <row r="4" spans="1:9" ht="12.75" customHeight="1">
      <c r="A4" s="22"/>
      <c r="B4" s="22"/>
      <c r="C4" s="22"/>
      <c r="D4" s="22"/>
      <c r="E4" s="22"/>
      <c r="F4" s="22"/>
      <c r="G4" s="22"/>
      <c r="H4" s="22"/>
      <c r="I4" s="19"/>
    </row>
    <row r="5" spans="1:9" s="2" customFormat="1">
      <c r="B5" s="3"/>
      <c r="C5" s="3"/>
      <c r="D5" s="151" t="str">
        <f t="shared" ref="D5:H5" si="0">IF(D6&lt;=Reporting_Year,"Actuals","Forecast")</f>
        <v>Actuals</v>
      </c>
      <c r="E5" s="151" t="str">
        <f t="shared" si="0"/>
        <v>Forecast</v>
      </c>
      <c r="F5" s="151" t="str">
        <f t="shared" si="0"/>
        <v>Forecast</v>
      </c>
      <c r="G5" s="151" t="str">
        <f t="shared" si="0"/>
        <v>Forecast</v>
      </c>
      <c r="H5" s="151" t="str">
        <f t="shared" si="0"/>
        <v>Forecast</v>
      </c>
    </row>
    <row r="6" spans="1:9" s="2" customFormat="1">
      <c r="D6" s="62">
        <f>'RFPR cover'!$C$6</f>
        <v>2022</v>
      </c>
      <c r="E6" s="63">
        <f>D6+1</f>
        <v>2023</v>
      </c>
      <c r="F6" s="63">
        <f t="shared" ref="F6:H6" si="1">E6+1</f>
        <v>2024</v>
      </c>
      <c r="G6" s="63">
        <f t="shared" si="1"/>
        <v>2025</v>
      </c>
      <c r="H6" s="63">
        <f t="shared" si="1"/>
        <v>2026</v>
      </c>
    </row>
    <row r="7" spans="1:9"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row>
    <row r="8" spans="1:9" s="2" customFormat="1"/>
    <row r="9" spans="1:9" s="2" customFormat="1">
      <c r="B9" s="88" t="s">
        <v>442</v>
      </c>
      <c r="C9" s="75" t="s">
        <v>230</v>
      </c>
      <c r="D9" s="591">
        <v>-257.707345971564</v>
      </c>
      <c r="E9" s="638">
        <v>-92</v>
      </c>
      <c r="F9" s="638">
        <v>-60</v>
      </c>
      <c r="G9" s="638">
        <v>-60</v>
      </c>
      <c r="H9" s="638">
        <v>-60</v>
      </c>
    </row>
    <row r="10" spans="1:9" s="2" customFormat="1">
      <c r="B10" s="88"/>
    </row>
    <row r="11" spans="1:9">
      <c r="B11" s="88" t="s">
        <v>443</v>
      </c>
      <c r="C11" s="75" t="s">
        <v>230</v>
      </c>
      <c r="D11" s="224">
        <v>-92</v>
      </c>
      <c r="E11" s="225">
        <v>-60</v>
      </c>
      <c r="F11" s="225">
        <v>-60</v>
      </c>
      <c r="G11" s="225">
        <v>-60</v>
      </c>
      <c r="H11" s="225">
        <v>-60</v>
      </c>
    </row>
    <row r="12" spans="1:9">
      <c r="B12" s="88" t="s">
        <v>444</v>
      </c>
      <c r="C12" s="75" t="s">
        <v>230</v>
      </c>
      <c r="D12" s="226">
        <v>6926.6655402777124</v>
      </c>
      <c r="E12" s="227">
        <v>7125.8743694017794</v>
      </c>
      <c r="F12" s="227">
        <v>7055.2214356140075</v>
      </c>
      <c r="G12" s="227">
        <v>5923.5721871313517</v>
      </c>
      <c r="H12" s="227">
        <v>5931.1916299984878</v>
      </c>
    </row>
    <row r="13" spans="1:9">
      <c r="B13" s="88" t="s">
        <v>445</v>
      </c>
      <c r="C13" s="75" t="s">
        <v>230</v>
      </c>
      <c r="D13" s="226">
        <v>0</v>
      </c>
      <c r="E13" s="227">
        <v>0</v>
      </c>
      <c r="F13" s="227">
        <v>0</v>
      </c>
      <c r="G13" s="227">
        <v>0</v>
      </c>
      <c r="H13" s="227">
        <v>0</v>
      </c>
    </row>
    <row r="14" spans="1:9">
      <c r="B14" s="88" t="s">
        <v>446</v>
      </c>
      <c r="C14" s="75" t="s">
        <v>230</v>
      </c>
      <c r="D14" s="226">
        <v>0</v>
      </c>
      <c r="E14" s="227">
        <v>0</v>
      </c>
      <c r="F14" s="227">
        <v>0</v>
      </c>
      <c r="G14" s="227">
        <v>0</v>
      </c>
      <c r="H14" s="227">
        <v>0</v>
      </c>
    </row>
    <row r="15" spans="1:9">
      <c r="B15" s="88" t="s">
        <v>447</v>
      </c>
      <c r="C15" s="75" t="s">
        <v>230</v>
      </c>
      <c r="D15" s="226">
        <v>0</v>
      </c>
      <c r="E15" s="227">
        <v>0</v>
      </c>
      <c r="F15" s="227">
        <v>0</v>
      </c>
      <c r="G15" s="227">
        <v>0</v>
      </c>
      <c r="H15" s="227">
        <v>0</v>
      </c>
    </row>
    <row r="16" spans="1:9">
      <c r="B16" s="88" t="s">
        <v>448</v>
      </c>
      <c r="C16" s="75" t="s">
        <v>230</v>
      </c>
      <c r="D16" s="226">
        <v>118.31087572122414</v>
      </c>
      <c r="E16" s="227">
        <v>42.342801250000001</v>
      </c>
      <c r="F16" s="227">
        <v>42.342801250000001</v>
      </c>
      <c r="G16" s="227">
        <v>42.342801250000001</v>
      </c>
      <c r="H16" s="227">
        <v>42.342801250000001</v>
      </c>
    </row>
    <row r="17" spans="2:10">
      <c r="B17" s="88" t="s">
        <v>449</v>
      </c>
      <c r="C17" s="75" t="s">
        <v>230</v>
      </c>
      <c r="D17" s="226">
        <v>49.598232132264926</v>
      </c>
      <c r="E17" s="227">
        <v>0</v>
      </c>
      <c r="F17" s="227">
        <v>0</v>
      </c>
      <c r="G17" s="227">
        <v>0</v>
      </c>
      <c r="H17" s="227">
        <v>0</v>
      </c>
    </row>
    <row r="18" spans="2:10">
      <c r="B18" s="88" t="s">
        <v>450</v>
      </c>
      <c r="C18" s="75" t="s">
        <v>230</v>
      </c>
      <c r="D18" s="226">
        <v>0</v>
      </c>
      <c r="E18" s="227">
        <v>0</v>
      </c>
      <c r="F18" s="227">
        <v>0</v>
      </c>
      <c r="G18" s="227">
        <v>0</v>
      </c>
      <c r="H18" s="227">
        <v>0</v>
      </c>
    </row>
    <row r="19" spans="2:10">
      <c r="B19" s="88" t="s">
        <v>451</v>
      </c>
      <c r="C19" s="75" t="s">
        <v>230</v>
      </c>
      <c r="D19" s="226">
        <v>212.37004729638787</v>
      </c>
      <c r="E19" s="227">
        <v>0</v>
      </c>
      <c r="F19" s="227">
        <v>0</v>
      </c>
      <c r="G19" s="227">
        <v>0</v>
      </c>
      <c r="H19" s="227">
        <v>0</v>
      </c>
    </row>
    <row r="20" spans="2:10">
      <c r="B20" s="88" t="s">
        <v>452</v>
      </c>
      <c r="C20" s="75" t="s">
        <v>230</v>
      </c>
      <c r="D20" s="226">
        <v>0</v>
      </c>
      <c r="E20" s="227">
        <v>0</v>
      </c>
      <c r="F20" s="227">
        <v>0</v>
      </c>
      <c r="G20" s="227">
        <v>0</v>
      </c>
      <c r="H20" s="227">
        <v>0</v>
      </c>
    </row>
    <row r="21" spans="2:10">
      <c r="B21" s="88" t="s">
        <v>453</v>
      </c>
      <c r="C21" s="75" t="s">
        <v>230</v>
      </c>
      <c r="D21" s="226">
        <v>3.2839130000000001E-2</v>
      </c>
      <c r="E21" s="227">
        <v>0</v>
      </c>
      <c r="F21" s="227">
        <v>0</v>
      </c>
      <c r="G21" s="227">
        <v>0</v>
      </c>
      <c r="H21" s="227">
        <v>0</v>
      </c>
    </row>
    <row r="22" spans="2:10">
      <c r="B22" s="88" t="s">
        <v>454</v>
      </c>
      <c r="C22" s="75" t="s">
        <v>230</v>
      </c>
      <c r="D22" s="226">
        <v>-1.0498970000000001</v>
      </c>
      <c r="E22" s="227">
        <v>0</v>
      </c>
      <c r="F22" s="227">
        <v>0</v>
      </c>
      <c r="G22" s="227">
        <v>0</v>
      </c>
      <c r="H22" s="227">
        <v>0</v>
      </c>
    </row>
    <row r="23" spans="2:10">
      <c r="B23" s="88" t="s">
        <v>455</v>
      </c>
      <c r="C23" s="75" t="s">
        <v>230</v>
      </c>
      <c r="D23" s="226">
        <v>0</v>
      </c>
      <c r="E23" s="227">
        <v>0</v>
      </c>
      <c r="F23" s="227">
        <v>0</v>
      </c>
      <c r="G23" s="227">
        <v>0</v>
      </c>
      <c r="H23" s="227">
        <v>0</v>
      </c>
    </row>
    <row r="24" spans="2:10">
      <c r="B24" s="6" t="s">
        <v>456</v>
      </c>
      <c r="C24" s="109" t="s">
        <v>230</v>
      </c>
      <c r="D24" s="228">
        <f>SUM(D11:D23)</f>
        <v>7213.9276375575901</v>
      </c>
      <c r="E24" s="228">
        <f t="shared" ref="E24:H24" si="2">SUM(E11:E23)</f>
        <v>7108.2171706517793</v>
      </c>
      <c r="F24" s="228">
        <f t="shared" si="2"/>
        <v>7037.5642368640074</v>
      </c>
      <c r="G24" s="228">
        <f t="shared" si="2"/>
        <v>5905.9149883813516</v>
      </c>
      <c r="H24" s="228">
        <f t="shared" si="2"/>
        <v>5913.5344312484876</v>
      </c>
      <c r="I24" s="2"/>
      <c r="J24" s="123"/>
    </row>
    <row r="25" spans="2:10">
      <c r="B25" s="6"/>
      <c r="C25" s="75"/>
      <c r="D25" s="112"/>
      <c r="E25" s="112"/>
      <c r="F25" s="112"/>
      <c r="G25" s="112"/>
      <c r="H25" s="112"/>
      <c r="I25" s="2"/>
      <c r="J25" s="2"/>
    </row>
    <row r="26" spans="2:10">
      <c r="B26" s="6" t="s">
        <v>457</v>
      </c>
      <c r="C26" s="8"/>
      <c r="D26" s="113"/>
      <c r="E26" s="113"/>
      <c r="F26" s="113"/>
      <c r="G26" s="113"/>
      <c r="H26" s="113"/>
      <c r="I26" s="2"/>
      <c r="J26" s="2"/>
    </row>
    <row r="27" spans="2:10">
      <c r="B27" s="146" t="s">
        <v>474</v>
      </c>
      <c r="C27" s="75" t="s">
        <v>230</v>
      </c>
      <c r="D27" s="140">
        <v>14.584858929999999</v>
      </c>
      <c r="E27" s="140">
        <v>-11.765850908497875</v>
      </c>
      <c r="F27" s="140">
        <v>-10.550220879035271</v>
      </c>
      <c r="G27" s="140">
        <v>-9.4250060535101792</v>
      </c>
      <c r="H27" s="140">
        <v>-8.3873635758193359</v>
      </c>
      <c r="I27" s="2"/>
      <c r="J27" s="2"/>
    </row>
    <row r="28" spans="2:10">
      <c r="B28" s="146" t="s">
        <v>475</v>
      </c>
      <c r="C28" s="75" t="s">
        <v>230</v>
      </c>
      <c r="D28" s="140">
        <v>0</v>
      </c>
      <c r="E28" s="149">
        <v>0</v>
      </c>
      <c r="F28" s="149">
        <v>0</v>
      </c>
      <c r="G28" s="149">
        <v>0</v>
      </c>
      <c r="H28" s="149">
        <v>0</v>
      </c>
      <c r="I28" s="2"/>
      <c r="J28" s="2"/>
    </row>
    <row r="29" spans="2:10">
      <c r="B29" s="146" t="s">
        <v>476</v>
      </c>
      <c r="C29" s="75" t="s">
        <v>230</v>
      </c>
      <c r="D29" s="140">
        <v>0</v>
      </c>
      <c r="E29" s="149">
        <v>0</v>
      </c>
      <c r="F29" s="149">
        <v>0</v>
      </c>
      <c r="G29" s="149">
        <v>0</v>
      </c>
      <c r="H29" s="149">
        <v>0</v>
      </c>
      <c r="I29" s="2"/>
      <c r="J29" s="2"/>
    </row>
    <row r="30" spans="2:10">
      <c r="B30" s="146" t="s">
        <v>477</v>
      </c>
      <c r="C30" s="75" t="s">
        <v>230</v>
      </c>
      <c r="D30" s="140">
        <v>0</v>
      </c>
      <c r="E30" s="149">
        <v>0</v>
      </c>
      <c r="F30" s="149">
        <v>0</v>
      </c>
      <c r="G30" s="149">
        <v>0</v>
      </c>
      <c r="H30" s="149">
        <v>0</v>
      </c>
      <c r="I30" s="2"/>
      <c r="J30" s="2"/>
    </row>
    <row r="31" spans="2:10">
      <c r="B31" s="146" t="s">
        <v>478</v>
      </c>
      <c r="C31" s="75" t="s">
        <v>230</v>
      </c>
      <c r="D31" s="140">
        <v>22.404302035568072</v>
      </c>
      <c r="E31" s="149">
        <v>0</v>
      </c>
      <c r="F31" s="149">
        <v>0</v>
      </c>
      <c r="G31" s="149">
        <v>0</v>
      </c>
      <c r="H31" s="149">
        <v>0</v>
      </c>
      <c r="I31" s="2"/>
      <c r="J31" s="2"/>
    </row>
    <row r="32" spans="2:10">
      <c r="B32" s="146" t="s">
        <v>479</v>
      </c>
      <c r="C32" s="75" t="s">
        <v>230</v>
      </c>
      <c r="D32" s="140">
        <v>-259.41074457999997</v>
      </c>
      <c r="E32" s="149">
        <v>-251.19207253677206</v>
      </c>
      <c r="F32" s="149">
        <v>-238.68304118121674</v>
      </c>
      <c r="G32" s="149">
        <v>-236.37756616922883</v>
      </c>
      <c r="H32" s="149">
        <v>-234.92019262764376</v>
      </c>
      <c r="I32" s="2"/>
      <c r="J32" s="2"/>
    </row>
    <row r="33" spans="2:11" ht="12.75" customHeight="1">
      <c r="B33" s="146" t="s">
        <v>473</v>
      </c>
      <c r="C33" s="75" t="s">
        <v>230</v>
      </c>
      <c r="D33" s="140">
        <v>-42.342801250000001</v>
      </c>
      <c r="E33" s="149">
        <v>-42.342801250000001</v>
      </c>
      <c r="F33" s="149">
        <v>-42.342801250000001</v>
      </c>
      <c r="G33" s="149">
        <v>-42.342801250000001</v>
      </c>
      <c r="H33" s="149">
        <v>-42.342801250000001</v>
      </c>
      <c r="I33" s="2"/>
      <c r="J33" s="2"/>
    </row>
    <row r="34" spans="2:11">
      <c r="B34" s="146" t="s">
        <v>480</v>
      </c>
      <c r="C34" s="75" t="s">
        <v>230</v>
      </c>
      <c r="D34" s="140">
        <v>-212.37004729638787</v>
      </c>
      <c r="E34" s="149">
        <v>0</v>
      </c>
      <c r="F34" s="149">
        <v>0</v>
      </c>
      <c r="G34" s="149">
        <v>0</v>
      </c>
      <c r="H34" s="149">
        <v>0</v>
      </c>
      <c r="I34" s="2"/>
      <c r="J34" s="2"/>
    </row>
    <row r="35" spans="2:11">
      <c r="B35" s="146" t="s">
        <v>481</v>
      </c>
      <c r="C35" s="75" t="s">
        <v>230</v>
      </c>
      <c r="D35" s="140">
        <v>126.26711447</v>
      </c>
      <c r="E35" s="149">
        <v>248.78923442657765</v>
      </c>
      <c r="F35" s="149">
        <v>303.90062296828182</v>
      </c>
      <c r="G35" s="149">
        <v>333.09126802576714</v>
      </c>
      <c r="H35" s="149">
        <v>365.5721195115475</v>
      </c>
      <c r="I35" s="2"/>
      <c r="J35" s="2"/>
    </row>
    <row r="36" spans="2:11">
      <c r="B36" s="146" t="s">
        <v>482</v>
      </c>
      <c r="C36" s="75" t="s">
        <v>230</v>
      </c>
      <c r="D36" s="140">
        <v>-75.968074471224128</v>
      </c>
      <c r="E36" s="149">
        <v>0</v>
      </c>
      <c r="F36" s="149">
        <v>0</v>
      </c>
      <c r="G36" s="149">
        <v>0</v>
      </c>
      <c r="H36" s="149">
        <v>0</v>
      </c>
      <c r="I36" s="2"/>
      <c r="J36" s="2"/>
    </row>
    <row r="37" spans="2:11">
      <c r="B37" s="146" t="s">
        <v>483</v>
      </c>
      <c r="C37" s="75" t="s">
        <v>230</v>
      </c>
      <c r="D37" s="140">
        <v>-5569.6096448316412</v>
      </c>
      <c r="E37" s="149">
        <v>-5787.9136432547257</v>
      </c>
      <c r="F37" s="149">
        <v>-5790.7786574632019</v>
      </c>
      <c r="G37" s="149">
        <v>-4891.6076457720601</v>
      </c>
      <c r="H37" s="149">
        <v>-4928.3125133880021</v>
      </c>
      <c r="I37" s="2"/>
      <c r="J37" s="2"/>
    </row>
    <row r="38" spans="2:11">
      <c r="B38" s="146">
        <v>0</v>
      </c>
      <c r="C38" s="75" t="s">
        <v>230</v>
      </c>
      <c r="D38" s="140">
        <v>0</v>
      </c>
      <c r="E38" s="149">
        <v>0</v>
      </c>
      <c r="F38" s="149">
        <v>0</v>
      </c>
      <c r="G38" s="149">
        <v>0</v>
      </c>
      <c r="H38" s="149">
        <v>0</v>
      </c>
      <c r="I38" s="2"/>
      <c r="J38" s="2"/>
      <c r="K38" s="304"/>
    </row>
    <row r="39" spans="2:11">
      <c r="B39" s="146">
        <v>0</v>
      </c>
      <c r="C39" s="75" t="s">
        <v>230</v>
      </c>
      <c r="D39" s="140">
        <v>0</v>
      </c>
      <c r="E39" s="149">
        <v>0</v>
      </c>
      <c r="F39" s="149">
        <v>0</v>
      </c>
      <c r="G39" s="149">
        <v>0</v>
      </c>
      <c r="H39" s="149">
        <v>0</v>
      </c>
    </row>
    <row r="40" spans="2:11">
      <c r="B40" s="146">
        <v>0</v>
      </c>
      <c r="C40" s="75" t="s">
        <v>230</v>
      </c>
      <c r="D40" s="140">
        <v>0</v>
      </c>
      <c r="E40" s="149">
        <v>0</v>
      </c>
      <c r="F40" s="149">
        <v>0</v>
      </c>
      <c r="G40" s="149">
        <v>0</v>
      </c>
      <c r="H40" s="149">
        <v>0</v>
      </c>
    </row>
    <row r="41" spans="2:11">
      <c r="B41" s="146">
        <v>0</v>
      </c>
      <c r="C41" s="75" t="s">
        <v>230</v>
      </c>
      <c r="D41" s="140">
        <v>0</v>
      </c>
      <c r="E41" s="149">
        <v>0</v>
      </c>
      <c r="F41" s="149">
        <v>0</v>
      </c>
      <c r="G41" s="149">
        <v>0</v>
      </c>
      <c r="H41" s="149">
        <v>0</v>
      </c>
    </row>
    <row r="42" spans="2:11">
      <c r="B42" s="146">
        <v>0</v>
      </c>
      <c r="C42" s="75" t="s">
        <v>230</v>
      </c>
      <c r="D42" s="140">
        <v>0</v>
      </c>
      <c r="E42" s="149">
        <v>0</v>
      </c>
      <c r="F42" s="149">
        <v>0</v>
      </c>
      <c r="G42" s="149">
        <v>0</v>
      </c>
      <c r="H42" s="149">
        <v>0</v>
      </c>
    </row>
    <row r="43" spans="2:11">
      <c r="B43" s="375" t="s">
        <v>458</v>
      </c>
      <c r="C43" s="75" t="s">
        <v>230</v>
      </c>
      <c r="D43" s="231">
        <f>SUM(D24,D27:D42)</f>
        <v>1217.4826005639052</v>
      </c>
      <c r="E43" s="231">
        <f t="shared" ref="E43:H43" si="3">SUM(E24,E27:E42)</f>
        <v>1263.7920371283617</v>
      </c>
      <c r="F43" s="231">
        <f t="shared" si="3"/>
        <v>1259.1101390588356</v>
      </c>
      <c r="G43" s="231">
        <f t="shared" si="3"/>
        <v>1059.2532371623192</v>
      </c>
      <c r="H43" s="231">
        <f t="shared" si="3"/>
        <v>1065.1436799185703</v>
      </c>
    </row>
    <row r="44" spans="2:11">
      <c r="B44" s="147" t="s">
        <v>459</v>
      </c>
      <c r="C44" s="75" t="s">
        <v>230</v>
      </c>
      <c r="D44" s="531"/>
      <c r="E44" s="260">
        <v>107.84809492023567</v>
      </c>
      <c r="F44" s="260">
        <v>107.44409962898833</v>
      </c>
      <c r="G44" s="260">
        <v>295.0582116593352</v>
      </c>
      <c r="H44" s="260">
        <v>292.26719455410165</v>
      </c>
    </row>
    <row r="45" spans="2:11">
      <c r="B45" s="375" t="s">
        <v>460</v>
      </c>
      <c r="C45" s="75" t="s">
        <v>230</v>
      </c>
      <c r="D45" s="46">
        <f>SUM(D43:D44)</f>
        <v>1217.4826005639052</v>
      </c>
      <c r="E45" s="47">
        <f t="shared" ref="E45:H45" si="4">SUM(E43:E44)</f>
        <v>1371.6401320485975</v>
      </c>
      <c r="F45" s="47">
        <f t="shared" si="4"/>
        <v>1366.554238687824</v>
      </c>
      <c r="G45" s="47">
        <f t="shared" si="4"/>
        <v>1354.3114488216545</v>
      </c>
      <c r="H45" s="47">
        <f t="shared" si="4"/>
        <v>1357.410874472672</v>
      </c>
    </row>
    <row r="46" spans="2:11">
      <c r="D46" s="103" t="str">
        <f>IF(ABS(D43-'[7]R6a - Net Debt input (8)'!T324)&lt;Data!$F$7,"OK","Error")</f>
        <v>OK</v>
      </c>
      <c r="E46" s="104" t="str">
        <f>IF(ABS(E43-'[7]R6a - Net Debt input (8)'!U324)&lt;Data!$F$7,"OK","Error")</f>
        <v>OK</v>
      </c>
      <c r="F46" s="104" t="str">
        <f>IF(ABS(F43-'[7]R6a - Net Debt input (8)'!V324)&lt;Data!$F$7,"OK","Error")</f>
        <v>OK</v>
      </c>
      <c r="G46" s="104" t="str">
        <f>IF(ABS(G43-'[7]R6a - Net Debt input (8)'!W324)&lt;Data!$F$7,"OK","Error")</f>
        <v>OK</v>
      </c>
      <c r="H46" s="104" t="str">
        <f>IF(ABS(H43-'[7]R6a - Net Debt input (8)'!X324)&lt;Data!$F$7,"OK","Error")</f>
        <v>OK</v>
      </c>
    </row>
    <row r="48" spans="2:11">
      <c r="B48" s="376" t="s">
        <v>461</v>
      </c>
      <c r="C48" s="75" t="s">
        <v>230</v>
      </c>
      <c r="D48" s="260">
        <v>891.71638290438386</v>
      </c>
      <c r="E48" s="47">
        <f>D49</f>
        <v>1217.4826005639052</v>
      </c>
      <c r="F48" s="47">
        <f t="shared" ref="F48:H48" si="5">E49</f>
        <v>1371.6401320485975</v>
      </c>
      <c r="G48" s="47">
        <f t="shared" si="5"/>
        <v>1366.554238687824</v>
      </c>
      <c r="H48" s="47">
        <f t="shared" si="5"/>
        <v>1354.3114488216545</v>
      </c>
      <c r="I48" s="90"/>
    </row>
    <row r="49" spans="2:10">
      <c r="B49" s="376" t="s">
        <v>462</v>
      </c>
      <c r="C49" s="75" t="s">
        <v>230</v>
      </c>
      <c r="D49" s="197">
        <f>D45</f>
        <v>1217.4826005639052</v>
      </c>
      <c r="E49" s="198">
        <f>E45</f>
        <v>1371.6401320485975</v>
      </c>
      <c r="F49" s="198">
        <f t="shared" ref="F49:H49" si="6">F45</f>
        <v>1366.554238687824</v>
      </c>
      <c r="G49" s="198">
        <f t="shared" si="6"/>
        <v>1354.3114488216545</v>
      </c>
      <c r="H49" s="198">
        <f t="shared" si="6"/>
        <v>1357.410874472672</v>
      </c>
      <c r="I49" s="90"/>
    </row>
    <row r="50" spans="2:10">
      <c r="D50" s="12"/>
      <c r="E50" s="12"/>
      <c r="F50" s="12"/>
      <c r="G50" s="12"/>
      <c r="H50" s="12"/>
    </row>
    <row r="51" spans="2:10">
      <c r="B51" s="6" t="s">
        <v>463</v>
      </c>
    </row>
    <row r="52" spans="2:10">
      <c r="B52" t="s">
        <v>464</v>
      </c>
      <c r="C52" s="90" t="s">
        <v>194</v>
      </c>
      <c r="D52" s="406">
        <v>0</v>
      </c>
      <c r="E52" s="407">
        <v>0</v>
      </c>
      <c r="F52" s="407">
        <v>0</v>
      </c>
      <c r="G52" s="407">
        <v>0</v>
      </c>
      <c r="H52" s="407">
        <v>0</v>
      </c>
    </row>
    <row r="53" spans="2:10">
      <c r="B53" t="s">
        <v>441</v>
      </c>
      <c r="C53" s="90" t="s">
        <v>194</v>
      </c>
      <c r="D53" s="174">
        <f>1-D52</f>
        <v>1</v>
      </c>
      <c r="E53" s="175">
        <f t="shared" ref="E53:H53" si="7">1-E52</f>
        <v>1</v>
      </c>
      <c r="F53" s="175">
        <f t="shared" si="7"/>
        <v>1</v>
      </c>
      <c r="G53" s="175">
        <f t="shared" si="7"/>
        <v>1</v>
      </c>
      <c r="H53" s="175">
        <f t="shared" si="7"/>
        <v>1</v>
      </c>
      <c r="J53" s="304"/>
    </row>
    <row r="54" spans="2:10">
      <c r="C54" s="90"/>
      <c r="D54" s="90"/>
      <c r="E54" s="90"/>
      <c r="F54" s="90"/>
      <c r="G54" s="90"/>
      <c r="H54" s="90"/>
      <c r="I54" s="90"/>
    </row>
    <row r="55" spans="2:10">
      <c r="B55" t="s">
        <v>465</v>
      </c>
      <c r="C55" s="75" t="s">
        <v>230</v>
      </c>
      <c r="D55" s="232">
        <f>AVERAGE(D48:D49)*D53</f>
        <v>1054.5994917341445</v>
      </c>
      <c r="E55" s="233">
        <f t="shared" ref="E55:H55" si="8">AVERAGE(E48:E49)*E53</f>
        <v>1294.5613663062513</v>
      </c>
      <c r="F55" s="233">
        <f t="shared" si="8"/>
        <v>1369.0971853682108</v>
      </c>
      <c r="G55" s="233">
        <f t="shared" si="8"/>
        <v>1360.4328437547392</v>
      </c>
      <c r="H55" s="233">
        <f t="shared" si="8"/>
        <v>1355.8611616471633</v>
      </c>
    </row>
    <row r="56" spans="2:10">
      <c r="B56" t="s">
        <v>466</v>
      </c>
      <c r="C56" s="75" t="s">
        <v>230</v>
      </c>
      <c r="D56" s="229">
        <f>D57-D55</f>
        <v>866.17264338874702</v>
      </c>
      <c r="E56" s="230">
        <f t="shared" ref="E56:H56" si="9">E57-E55</f>
        <v>768.04267357335539</v>
      </c>
      <c r="F56" s="230">
        <f t="shared" si="9"/>
        <v>787.51783433311675</v>
      </c>
      <c r="G56" s="230">
        <f t="shared" si="9"/>
        <v>848.3909909834565</v>
      </c>
      <c r="H56" s="230">
        <f t="shared" si="9"/>
        <v>899.68582434491714</v>
      </c>
    </row>
    <row r="57" spans="2:10">
      <c r="B57" t="s">
        <v>467</v>
      </c>
      <c r="C57" s="75" t="s">
        <v>230</v>
      </c>
      <c r="D57" s="275">
        <v>1920.7721351228915</v>
      </c>
      <c r="E57" s="275">
        <v>2062.6040398796067</v>
      </c>
      <c r="F57" s="275">
        <v>2156.6150197013276</v>
      </c>
      <c r="G57" s="275">
        <v>2208.8238347381957</v>
      </c>
      <c r="H57" s="275">
        <v>2255.5469859920804</v>
      </c>
    </row>
    <row r="58" spans="2:10">
      <c r="B58" t="s">
        <v>468</v>
      </c>
      <c r="C58" s="75" t="s">
        <v>194</v>
      </c>
      <c r="D58" s="107">
        <f>D55/D57</f>
        <v>0.54904976621116541</v>
      </c>
      <c r="E58" s="108">
        <f t="shared" ref="E58:H58" si="10">E55/E57</f>
        <v>0.62763445686929531</v>
      </c>
      <c r="F58" s="108">
        <f t="shared" si="10"/>
        <v>0.63483615427932005</v>
      </c>
      <c r="G58" s="108">
        <f t="shared" si="10"/>
        <v>0.61590825957199369</v>
      </c>
      <c r="H58" s="108">
        <f t="shared" si="10"/>
        <v>0.60112299591524621</v>
      </c>
    </row>
    <row r="59" spans="2:10">
      <c r="B59" t="s">
        <v>24</v>
      </c>
      <c r="C59" s="75" t="s">
        <v>194</v>
      </c>
      <c r="D59" s="276">
        <v>0.6</v>
      </c>
      <c r="E59" s="277">
        <v>0.6</v>
      </c>
      <c r="F59" s="277">
        <v>0.6</v>
      </c>
      <c r="G59" s="277">
        <v>0.6</v>
      </c>
      <c r="H59" s="277">
        <v>0.6</v>
      </c>
    </row>
    <row r="60" spans="2:10">
      <c r="B60" t="s">
        <v>469</v>
      </c>
      <c r="C60" s="75" t="s">
        <v>194</v>
      </c>
      <c r="D60" s="110">
        <f t="shared" ref="D60:H60" si="11">IF(ISBLANK(D24),"n/a",D58-D59)</f>
        <v>-5.0950233788834565E-2</v>
      </c>
      <c r="E60" s="111">
        <f t="shared" si="11"/>
        <v>2.7634456869295332E-2</v>
      </c>
      <c r="F60" s="111">
        <f t="shared" si="11"/>
        <v>3.4836154279320075E-2</v>
      </c>
      <c r="G60" s="111">
        <f t="shared" si="11"/>
        <v>1.590825957199371E-2</v>
      </c>
      <c r="H60" s="111">
        <f t="shared" si="11"/>
        <v>1.1229959152462277E-3</v>
      </c>
    </row>
    <row r="62" spans="2:10">
      <c r="B62" t="s">
        <v>470</v>
      </c>
      <c r="C62" s="38" t="str">
        <f>Data!$C$9</f>
        <v>£m 18/19</v>
      </c>
      <c r="D62" s="524">
        <f>D64*D58</f>
        <v>951.91449988187321</v>
      </c>
      <c r="E62" s="334">
        <f t="shared" ref="E62:H62" si="12">E64*E58</f>
        <v>1098.9534293320985</v>
      </c>
      <c r="F62" s="334">
        <f t="shared" si="12"/>
        <v>1120.3411471571733</v>
      </c>
      <c r="G62" s="334">
        <f t="shared" si="12"/>
        <v>1092.3176028550445</v>
      </c>
      <c r="H62" s="334">
        <f t="shared" si="12"/>
        <v>1068.9597356121699</v>
      </c>
    </row>
    <row r="63" spans="2:10">
      <c r="B63" t="s">
        <v>471</v>
      </c>
      <c r="C63" s="38" t="str">
        <f>Data!$C$9</f>
        <v>£m 18/19</v>
      </c>
      <c r="D63" s="217">
        <f>D64*(1-D58)</f>
        <v>781.83453064911407</v>
      </c>
      <c r="E63" s="218">
        <f t="shared" ref="E63:H63" si="13">E64*(1-E58)</f>
        <v>651.99159496403445</v>
      </c>
      <c r="F63" s="218">
        <f t="shared" si="13"/>
        <v>644.43097491739445</v>
      </c>
      <c r="G63" s="218">
        <f t="shared" si="13"/>
        <v>681.18938601715649</v>
      </c>
      <c r="H63" s="218">
        <f t="shared" si="13"/>
        <v>709.31150484272882</v>
      </c>
    </row>
    <row r="64" spans="2:10">
      <c r="B64" t="s">
        <v>472</v>
      </c>
      <c r="C64" s="38" t="str">
        <f>Data!$C$9</f>
        <v>£m 18/19</v>
      </c>
      <c r="D64" s="275">
        <v>1733.7490305309873</v>
      </c>
      <c r="E64" s="275">
        <v>1750.9450242961329</v>
      </c>
      <c r="F64" s="275">
        <v>1764.7721220745677</v>
      </c>
      <c r="G64" s="275">
        <v>1773.506988872201</v>
      </c>
      <c r="H64" s="275">
        <v>1778.2712404548986</v>
      </c>
    </row>
    <row r="65" spans="2:8">
      <c r="B65" t="s">
        <v>468</v>
      </c>
      <c r="C65" s="75" t="s">
        <v>194</v>
      </c>
      <c r="D65" s="107">
        <f>D62/D64</f>
        <v>0.54904976621116541</v>
      </c>
      <c r="E65" s="108">
        <f t="shared" ref="E65:H65" si="14">E62/E64</f>
        <v>0.62763445686929531</v>
      </c>
      <c r="F65" s="108">
        <f t="shared" si="14"/>
        <v>0.63483615427932005</v>
      </c>
      <c r="G65" s="108">
        <f t="shared" si="14"/>
        <v>0.61590825957199369</v>
      </c>
      <c r="H65" s="108">
        <f t="shared" si="14"/>
        <v>0.60112299591524621</v>
      </c>
    </row>
    <row r="66" spans="2:8">
      <c r="B66" t="s">
        <v>24</v>
      </c>
      <c r="C66" s="75" t="s">
        <v>194</v>
      </c>
      <c r="D66" s="276">
        <v>0.6</v>
      </c>
      <c r="E66" s="277">
        <v>0.6</v>
      </c>
      <c r="F66" s="277">
        <v>0.6</v>
      </c>
      <c r="G66" s="277">
        <v>0.6</v>
      </c>
      <c r="H66" s="277">
        <v>0.6</v>
      </c>
    </row>
    <row r="67" spans="2:8">
      <c r="B67" t="s">
        <v>469</v>
      </c>
      <c r="C67" s="75" t="s">
        <v>194</v>
      </c>
      <c r="D67" s="110">
        <f t="shared" ref="D67:H67" si="15">IF(ISBLANK(D24),"n/a",D65-D66)</f>
        <v>-5.0950233788834565E-2</v>
      </c>
      <c r="E67" s="111">
        <f t="shared" si="15"/>
        <v>2.7634456869295332E-2</v>
      </c>
      <c r="F67" s="111">
        <f t="shared" si="15"/>
        <v>3.4836154279320075E-2</v>
      </c>
      <c r="G67" s="111">
        <f t="shared" si="15"/>
        <v>1.590825957199371E-2</v>
      </c>
      <c r="H67" s="111">
        <f t="shared" si="15"/>
        <v>1.1229959152462277E-3</v>
      </c>
    </row>
  </sheetData>
  <conditionalFormatting sqref="D44">
    <cfRule type="expression" dxfId="42" priority="3">
      <formula>C$12="N/A"</formula>
    </cfRule>
  </conditionalFormatting>
  <conditionalFormatting sqref="D44">
    <cfRule type="expression" dxfId="41" priority="2">
      <formula>D$5="Forecast"</formula>
    </cfRule>
  </conditionalFormatting>
  <conditionalFormatting sqref="D44:H44">
    <cfRule type="expression" dxfId="40" priority="1">
      <formula>D$5="Actuals"</formula>
    </cfRule>
  </conditionalFormatting>
  <pageMargins left="0.70866141732283472" right="0.70866141732283472" top="0.74803149606299213" bottom="0.74803149606299213" header="0.31496062992125984" footer="0.31496062992125984"/>
  <pageSetup paperSize="8" orientation="landscape" r:id="rId1"/>
  <customProperties>
    <customPr name="_pios_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CC"/>
    <pageSetUpPr fitToPage="1"/>
  </sheetPr>
  <dimension ref="A1:R64"/>
  <sheetViews>
    <sheetView showGridLines="0" zoomScaleNormal="100" workbookViewId="0">
      <pane ySplit="7" topLeftCell="A31" activePane="bottomLeft" state="frozen"/>
      <selection activeCell="B3" sqref="B3:F3"/>
      <selection pane="bottomLeft" activeCell="E34" sqref="E34:I36"/>
    </sheetView>
  </sheetViews>
  <sheetFormatPr defaultRowHeight="12.4"/>
  <cols>
    <col min="1" max="1" width="8.3515625" customWidth="1"/>
    <col min="2" max="2" width="52.1171875" bestFit="1" customWidth="1"/>
    <col min="3" max="3" width="4.234375" customWidth="1"/>
    <col min="4" max="4" width="14.1171875" style="90" customWidth="1"/>
    <col min="5" max="9" width="11.1171875" customWidth="1"/>
    <col min="10" max="10" width="5" customWidth="1"/>
    <col min="12" max="12" width="9" style="88"/>
  </cols>
  <sheetData>
    <row r="1" spans="1:18" ht="20.65">
      <c r="A1" s="776" t="s">
        <v>484</v>
      </c>
      <c r="B1" s="395"/>
      <c r="C1" s="395"/>
      <c r="D1" s="408"/>
      <c r="E1" s="396"/>
      <c r="F1" s="396"/>
      <c r="G1" s="396"/>
      <c r="H1" s="396"/>
      <c r="I1" s="396"/>
      <c r="J1" s="785"/>
    </row>
    <row r="2" spans="1:18" ht="20.65">
      <c r="A2" s="293" t="str">
        <f>Licensee</f>
        <v>Cadent-WM</v>
      </c>
      <c r="B2" s="288"/>
      <c r="C2" s="288"/>
      <c r="D2" s="100"/>
      <c r="E2" s="16"/>
      <c r="F2" s="16"/>
      <c r="G2" s="16"/>
      <c r="H2" s="16"/>
      <c r="I2" s="16"/>
      <c r="J2" s="65"/>
    </row>
    <row r="3" spans="1:18" ht="20.65">
      <c r="A3" s="288">
        <f>Reporting_Year</f>
        <v>2022</v>
      </c>
      <c r="B3" s="575"/>
      <c r="C3" s="575"/>
      <c r="D3" s="575"/>
      <c r="E3" s="575"/>
      <c r="F3" s="575"/>
      <c r="G3" s="575"/>
      <c r="H3" s="575"/>
      <c r="I3" s="575"/>
      <c r="J3" s="119"/>
    </row>
    <row r="4" spans="1:18" s="2" customFormat="1" ht="12.75" customHeight="1">
      <c r="D4" s="1"/>
      <c r="L4" s="66"/>
    </row>
    <row r="5" spans="1:18" s="2" customFormat="1">
      <c r="B5" s="21"/>
      <c r="C5" s="21"/>
      <c r="D5" s="101"/>
      <c r="E5" s="152" t="str">
        <f t="shared" ref="E5:I5" si="0">IF(E6&lt;=Reporting_Year,"Actuals","Forecast")</f>
        <v>Actuals</v>
      </c>
      <c r="F5" s="152" t="str">
        <f t="shared" si="0"/>
        <v>Forecast</v>
      </c>
      <c r="G5" s="152" t="str">
        <f t="shared" si="0"/>
        <v>Forecast</v>
      </c>
      <c r="H5" s="152" t="str">
        <f t="shared" si="0"/>
        <v>Forecast</v>
      </c>
      <c r="I5" s="152" t="str">
        <f t="shared" si="0"/>
        <v>Forecast</v>
      </c>
      <c r="L5" s="66"/>
    </row>
    <row r="6" spans="1:18" s="2" customFormat="1">
      <c r="D6" s="1"/>
      <c r="E6" s="62">
        <f>'RFPR cover'!$C$6</f>
        <v>2022</v>
      </c>
      <c r="F6" s="63">
        <f>E6+1</f>
        <v>2023</v>
      </c>
      <c r="G6" s="63">
        <f t="shared" ref="G6:I6" si="1">F6+1</f>
        <v>2024</v>
      </c>
      <c r="H6" s="63">
        <f t="shared" si="1"/>
        <v>2025</v>
      </c>
      <c r="I6" s="63">
        <f t="shared" si="1"/>
        <v>2026</v>
      </c>
      <c r="L6" s="66"/>
    </row>
    <row r="7" spans="1:18" s="2" customFormat="1">
      <c r="D7" s="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0" t="str">
        <f>RIIO_2_start_date+3&amp;"/"&amp;RIGHT(RIIO_2_start_date+4,2)</f>
        <v>2025/26</v>
      </c>
      <c r="L7" s="66"/>
    </row>
    <row r="8" spans="1:18" s="2" customFormat="1">
      <c r="D8" s="1"/>
      <c r="E8" s="1"/>
      <c r="F8" s="1"/>
      <c r="G8" s="1"/>
      <c r="H8" s="1"/>
      <c r="I8" s="1"/>
      <c r="J8" s="1"/>
      <c r="K8" s="1"/>
      <c r="L8" s="1"/>
      <c r="M8" s="1"/>
      <c r="N8" s="1"/>
      <c r="O8" s="1"/>
      <c r="P8" s="1"/>
      <c r="Q8" s="1"/>
      <c r="R8" s="1"/>
    </row>
    <row r="9" spans="1:18" s="2" customFormat="1">
      <c r="B9" s="610" t="s">
        <v>485</v>
      </c>
      <c r="C9" s="610"/>
      <c r="K9" s="1"/>
      <c r="L9" s="66"/>
    </row>
    <row r="10" spans="1:18" s="2" customFormat="1">
      <c r="K10" s="1"/>
    </row>
    <row r="11" spans="1:18" s="2" customFormat="1">
      <c r="B11" s="158"/>
      <c r="C11" s="158"/>
      <c r="D11" s="158"/>
      <c r="E11" s="158"/>
      <c r="F11" s="158"/>
      <c r="G11" s="158"/>
      <c r="H11" s="158"/>
      <c r="I11" s="158"/>
      <c r="J11" s="158"/>
      <c r="K11" s="1"/>
      <c r="L11" s="66"/>
    </row>
    <row r="12" spans="1:18" s="2" customFormat="1">
      <c r="B12" t="s">
        <v>486</v>
      </c>
      <c r="C12"/>
      <c r="D12" s="94" t="str">
        <f>Data!$C$9</f>
        <v>£m 18/19</v>
      </c>
      <c r="E12" s="337">
        <v>1772.216874333315</v>
      </c>
      <c r="F12" s="337">
        <v>1786.5653237275915</v>
      </c>
      <c r="G12" s="337">
        <v>1799.6470445073819</v>
      </c>
      <c r="H12" s="337">
        <v>1809.9155077601592</v>
      </c>
      <c r="I12" s="337">
        <v>1815.4035276158734</v>
      </c>
      <c r="K12" s="1"/>
      <c r="L12" s="66"/>
    </row>
    <row r="13" spans="1:18" s="2" customFormat="1">
      <c r="K13" s="1"/>
      <c r="L13" s="66"/>
    </row>
    <row r="14" spans="1:18" s="2" customFormat="1">
      <c r="B14" s="158"/>
      <c r="C14" s="158"/>
      <c r="D14" s="1"/>
      <c r="E14" s="1"/>
      <c r="F14" s="1"/>
      <c r="G14" s="1"/>
      <c r="H14" s="1"/>
      <c r="I14" s="1"/>
      <c r="K14" s="1"/>
      <c r="L14" s="66"/>
    </row>
    <row r="15" spans="1:18" s="2" customFormat="1" ht="13.5">
      <c r="B15" s="2" t="s">
        <v>487</v>
      </c>
      <c r="D15" s="94" t="str">
        <f>Data!$C$9</f>
        <v>£m 18/19</v>
      </c>
      <c r="E15" s="337">
        <v>1751.424347348873</v>
      </c>
      <c r="F15" s="710">
        <v>1768.1955957198579</v>
      </c>
      <c r="G15" s="710">
        <v>1785.0590379817168</v>
      </c>
      <c r="H15" s="710">
        <v>1795.3188993898739</v>
      </c>
      <c r="I15" s="710">
        <v>1802.3824928957272</v>
      </c>
      <c r="K15" s="1"/>
      <c r="L15" s="66"/>
    </row>
    <row r="16" spans="1:18" s="2" customFormat="1">
      <c r="B16" s="2" t="s">
        <v>488</v>
      </c>
      <c r="D16" s="94" t="str">
        <f>Data!$C$9</f>
        <v>£m 18/19</v>
      </c>
      <c r="E16" s="337">
        <v>0</v>
      </c>
      <c r="F16" s="337">
        <v>0</v>
      </c>
      <c r="G16" s="337">
        <v>0</v>
      </c>
      <c r="H16" s="337">
        <v>0</v>
      </c>
      <c r="I16" s="337">
        <v>0</v>
      </c>
      <c r="K16" s="1"/>
      <c r="L16" s="66"/>
    </row>
    <row r="17" spans="1:13" s="2" customFormat="1">
      <c r="B17" s="5" t="s">
        <v>489</v>
      </c>
      <c r="C17" s="5"/>
      <c r="D17" s="94" t="str">
        <f>Data!$C$9</f>
        <v>£m 18/19</v>
      </c>
      <c r="E17" s="428">
        <f>SUM(E15:E16)</f>
        <v>1751.424347348873</v>
      </c>
      <c r="F17" s="429">
        <f t="shared" ref="F17:I17" si="2">SUM(F15:F16)</f>
        <v>1768.1955957198579</v>
      </c>
      <c r="G17" s="429">
        <f t="shared" si="2"/>
        <v>1785.0590379817168</v>
      </c>
      <c r="H17" s="429">
        <f t="shared" si="2"/>
        <v>1795.3188993898739</v>
      </c>
      <c r="I17" s="429">
        <f t="shared" si="2"/>
        <v>1802.3824928957272</v>
      </c>
      <c r="K17" s="1"/>
      <c r="L17" s="66"/>
    </row>
    <row r="18" spans="1:13" s="2" customFormat="1">
      <c r="B18" s="326" t="s">
        <v>490</v>
      </c>
      <c r="C18" s="326"/>
      <c r="D18" s="94" t="str">
        <f>Data!$C$9</f>
        <v>£m 18/19</v>
      </c>
      <c r="E18" s="336">
        <v>112.34286783416877</v>
      </c>
      <c r="F18" s="336">
        <v>108.30828410791329</v>
      </c>
      <c r="G18" s="336">
        <v>109.16708883993049</v>
      </c>
      <c r="H18" s="336">
        <v>108.41205831046713</v>
      </c>
      <c r="I18" s="336">
        <v>105.55153904847441</v>
      </c>
      <c r="K18" s="1"/>
      <c r="L18" s="66"/>
    </row>
    <row r="19" spans="1:13" s="2" customFormat="1">
      <c r="B19" s="326" t="s">
        <v>491</v>
      </c>
      <c r="C19" s="326"/>
      <c r="D19" s="94" t="str">
        <f>Data!$C$9</f>
        <v>£m 18/19</v>
      </c>
      <c r="E19" s="652">
        <v>-4.0212786134570848</v>
      </c>
      <c r="F19" s="652">
        <v>2.3401546669972362</v>
      </c>
      <c r="G19" s="652">
        <v>-2.8910664237853325</v>
      </c>
      <c r="H19" s="652">
        <v>-3.3981510648962399</v>
      </c>
      <c r="I19" s="652">
        <v>-3.4686435572002097</v>
      </c>
      <c r="K19" s="1"/>
      <c r="L19" s="66"/>
    </row>
    <row r="20" spans="1:13" s="2" customFormat="1">
      <c r="B20" s="662" t="s">
        <v>492</v>
      </c>
      <c r="C20" s="662"/>
      <c r="D20" s="94" t="str">
        <f>Data!$C$9</f>
        <v>£m 18/19</v>
      </c>
      <c r="E20" s="667">
        <f>SUM(E18:E19)</f>
        <v>108.32158922071169</v>
      </c>
      <c r="F20" s="667">
        <f t="shared" ref="F20:I20" si="3">SUM(F18:F19)</f>
        <v>110.64843877491053</v>
      </c>
      <c r="G20" s="667">
        <f t="shared" si="3"/>
        <v>106.27602241614515</v>
      </c>
      <c r="H20" s="667">
        <f t="shared" si="3"/>
        <v>105.01390724557089</v>
      </c>
      <c r="I20" s="667">
        <f t="shared" si="3"/>
        <v>102.0828954912742</v>
      </c>
      <c r="K20" s="1"/>
      <c r="L20" s="66"/>
    </row>
    <row r="21" spans="1:13" s="2" customFormat="1">
      <c r="B21" s="326" t="s">
        <v>493</v>
      </c>
      <c r="C21" s="326"/>
      <c r="D21" s="94" t="str">
        <f>Data!$C$9</f>
        <v>£m 18/19</v>
      </c>
      <c r="E21" s="668">
        <v>-91.550340849726922</v>
      </c>
      <c r="F21" s="668">
        <v>-93.959834713636724</v>
      </c>
      <c r="G21" s="668">
        <v>-96.085368060140098</v>
      </c>
      <c r="H21" s="668">
        <v>-98.143595057689708</v>
      </c>
      <c r="I21" s="668">
        <v>-100.06351919276032</v>
      </c>
      <c r="K21" s="1"/>
      <c r="L21" s="66"/>
    </row>
    <row r="22" spans="1:13" s="2" customFormat="1">
      <c r="B22" s="326" t="s">
        <v>494</v>
      </c>
      <c r="C22" s="326"/>
      <c r="D22" s="94" t="str">
        <f>Data!$C$9</f>
        <v>£m 18/19</v>
      </c>
      <c r="E22" s="653">
        <v>0</v>
      </c>
      <c r="F22" s="653">
        <v>0.17483820058509991</v>
      </c>
      <c r="G22" s="653">
        <v>6.920705215190992E-2</v>
      </c>
      <c r="H22" s="653">
        <v>0.1932813179720938</v>
      </c>
      <c r="I22" s="653">
        <v>0.33660944120889269</v>
      </c>
      <c r="K22" s="1"/>
      <c r="L22" s="66"/>
    </row>
    <row r="23" spans="1:13" s="2" customFormat="1">
      <c r="B23" s="153" t="s">
        <v>495</v>
      </c>
      <c r="C23" s="153"/>
      <c r="D23" s="94" t="str">
        <f>Data!$C$9</f>
        <v>£m 18/19</v>
      </c>
      <c r="E23" s="409">
        <f>SUM(E21:E22)</f>
        <v>-91.550340849726922</v>
      </c>
      <c r="F23" s="409">
        <f t="shared" ref="F23:I23" si="4">SUM(F21:F22)</f>
        <v>-93.784996513051624</v>
      </c>
      <c r="G23" s="409">
        <f t="shared" si="4"/>
        <v>-96.016161007988188</v>
      </c>
      <c r="H23" s="409">
        <f t="shared" si="4"/>
        <v>-97.950313739717615</v>
      </c>
      <c r="I23" s="409">
        <f t="shared" si="4"/>
        <v>-99.726909751551432</v>
      </c>
      <c r="K23" s="1"/>
      <c r="L23" s="66"/>
    </row>
    <row r="24" spans="1:13" s="2" customFormat="1">
      <c r="B24" s="5" t="s">
        <v>496</v>
      </c>
      <c r="C24" s="5"/>
      <c r="D24" s="94" t="str">
        <f>Data!$C$9</f>
        <v>£m 18/19</v>
      </c>
      <c r="E24" s="234">
        <f>E17+E20+E23</f>
        <v>1768.1955957198579</v>
      </c>
      <c r="F24" s="234">
        <f t="shared" ref="F24:I24" si="5">F17+F20+F23</f>
        <v>1785.0590379817168</v>
      </c>
      <c r="G24" s="234">
        <f t="shared" si="5"/>
        <v>1795.3188993898739</v>
      </c>
      <c r="H24" s="234">
        <f t="shared" si="5"/>
        <v>1802.3824928957272</v>
      </c>
      <c r="I24" s="234">
        <f t="shared" si="5"/>
        <v>1804.7384786354501</v>
      </c>
      <c r="K24" s="1"/>
      <c r="L24" s="66"/>
    </row>
    <row r="25" spans="1:13" s="2" customFormat="1">
      <c r="B25" s="5"/>
      <c r="C25" s="5"/>
      <c r="D25" s="94"/>
      <c r="E25" s="94"/>
      <c r="F25" s="94"/>
      <c r="G25" s="94"/>
      <c r="H25" s="94"/>
      <c r="I25" s="94"/>
      <c r="J25" s="94"/>
      <c r="K25" s="1"/>
      <c r="L25" s="94"/>
      <c r="M25" s="94"/>
    </row>
    <row r="26" spans="1:13" s="2" customFormat="1">
      <c r="B26" s="5" t="s">
        <v>497</v>
      </c>
      <c r="C26" s="94"/>
      <c r="D26" s="350"/>
      <c r="E26" s="234">
        <f>E19+E22</f>
        <v>-4.0212786134570848</v>
      </c>
      <c r="F26" s="713">
        <f>F19+F22</f>
        <v>2.5149928675823361</v>
      </c>
      <c r="G26" s="713">
        <f t="shared" ref="G26:I26" si="6">G19+G22</f>
        <v>-2.8218593716334226</v>
      </c>
      <c r="H26" s="713">
        <f t="shared" si="6"/>
        <v>-3.2048697469241461</v>
      </c>
      <c r="I26" s="714">
        <f t="shared" si="6"/>
        <v>-3.132034115991317</v>
      </c>
      <c r="J26" s="94"/>
      <c r="K26" s="1"/>
      <c r="L26" s="94"/>
      <c r="M26" s="94"/>
    </row>
    <row r="27" spans="1:13" s="2" customFormat="1">
      <c r="B27" s="5" t="s">
        <v>498</v>
      </c>
      <c r="C27" s="94"/>
      <c r="D27" s="712"/>
      <c r="E27" s="715" t="str">
        <f>IF(E5="Actuals",IF(ABS((E24-SUM($E26:E$26))-E12)&lt;0.1,"TRUE","FALSE"),"NA")</f>
        <v>TRUE</v>
      </c>
      <c r="F27" s="716" t="str">
        <f>IF(F5="Actuals",IF(ABS((F24-SUM($E26:F$26))-F12)&lt;0.1,"TRUE","FALSE"),"NA")</f>
        <v>NA</v>
      </c>
      <c r="G27" s="716" t="str">
        <f>IF(G5="Actuals",IF(ABS((G24-SUM($E26:G$26))-G12)&lt;0.1,"TRUE","FALSE"),"NA")</f>
        <v>NA</v>
      </c>
      <c r="H27" s="716" t="str">
        <f>IF(H5="Actuals",IF(ABS((H24-SUM($E26:H$26))-H12)&lt;0.1,"TRUE","FALSE"),"NA")</f>
        <v>NA</v>
      </c>
      <c r="I27" s="717" t="str">
        <f>IF(I5="Actuals",IF(ABS((I24-SUM($E26:I$26))-I12)&lt;0.1,"TRUE","FALSE"),"NA")</f>
        <v>NA</v>
      </c>
      <c r="J27" s="94"/>
      <c r="K27" s="1"/>
      <c r="L27" s="94"/>
      <c r="M27" s="94"/>
    </row>
    <row r="28" spans="1:13" s="2" customFormat="1">
      <c r="B28" s="5"/>
      <c r="C28" s="5"/>
      <c r="D28" s="94"/>
      <c r="E28" s="94"/>
      <c r="F28" s="94"/>
      <c r="G28" s="94"/>
      <c r="H28" s="94"/>
      <c r="I28" s="94"/>
      <c r="J28" s="94"/>
      <c r="K28" s="1"/>
      <c r="L28" s="94"/>
      <c r="M28" s="94"/>
    </row>
    <row r="29" spans="1:13" s="2" customFormat="1">
      <c r="B29" s="5"/>
      <c r="C29" s="5"/>
      <c r="D29" s="94"/>
      <c r="E29" s="350"/>
      <c r="F29" s="94"/>
      <c r="G29" s="350"/>
      <c r="H29" s="350"/>
      <c r="I29" s="350"/>
      <c r="J29" s="94"/>
      <c r="K29" s="1"/>
      <c r="L29" s="94"/>
      <c r="M29" s="94"/>
    </row>
    <row r="30" spans="1:13" s="2" customFormat="1">
      <c r="A30"/>
      <c r="B30" s="2" t="s">
        <v>499</v>
      </c>
      <c r="D30" s="90" t="s">
        <v>500</v>
      </c>
      <c r="E30" s="647">
        <f>INDEX(Data!C17:N17,MATCH(RIIO_2_start_date-1,Data!C15:N15,0))/IF(Sector="ED2",Data!$E$16,Data!$C$16)</f>
        <v>1.0533528227824487</v>
      </c>
      <c r="F30" s="94"/>
      <c r="G30" s="350"/>
      <c r="H30" s="350"/>
      <c r="I30" s="526"/>
      <c r="J30" s="528"/>
      <c r="K30" s="1"/>
      <c r="L30" s="94"/>
      <c r="M30" s="94"/>
    </row>
    <row r="31" spans="1:13" s="2" customFormat="1">
      <c r="B31" s="5"/>
      <c r="C31" s="5"/>
      <c r="D31" s="94"/>
      <c r="E31" s="172"/>
      <c r="F31" s="172"/>
      <c r="G31" s="172"/>
      <c r="H31" s="172"/>
      <c r="I31" s="172"/>
      <c r="J31" s="94"/>
      <c r="K31" s="1"/>
      <c r="L31" s="94"/>
      <c r="M31" s="94"/>
    </row>
    <row r="32" spans="1:13" s="2" customFormat="1">
      <c r="B32" s="5" t="s">
        <v>496</v>
      </c>
      <c r="C32" s="5"/>
      <c r="D32" s="75" t="s">
        <v>230</v>
      </c>
      <c r="E32" s="654">
        <f>E24*Combined_real_to_nominal_prices_conversion_factor__financial_year_end</f>
        <v>1996.6764900759399</v>
      </c>
      <c r="F32" s="654">
        <f>F24*Combined_real_to_nominal_prices_conversion_factor__financial_year_end</f>
        <v>2128.531589683274</v>
      </c>
      <c r="G32" s="654">
        <f>G24*Combined_real_to_nominal_prices_conversion_factor__financial_year_end</f>
        <v>2184.6984497193807</v>
      </c>
      <c r="H32" s="654">
        <f>H24*Combined_real_to_nominal_prices_conversion_factor__financial_year_end</f>
        <v>2232.9492197570103</v>
      </c>
      <c r="I32" s="654">
        <f>I24*Combined_real_to_nominal_prices_conversion_factor__financial_year_end</f>
        <v>2278.144752227151</v>
      </c>
      <c r="K32" s="1"/>
      <c r="L32" s="94"/>
      <c r="M32" s="94"/>
    </row>
    <row r="33" spans="1:13" s="2" customFormat="1">
      <c r="B33" s="5"/>
      <c r="C33" s="5"/>
      <c r="D33" s="94"/>
      <c r="E33" s="94"/>
      <c r="F33" s="94"/>
      <c r="G33" s="94"/>
      <c r="H33" s="94"/>
      <c r="I33" s="94"/>
      <c r="J33" s="94"/>
      <c r="K33" s="1"/>
      <c r="L33" s="94"/>
      <c r="M33" s="94"/>
    </row>
    <row r="34" spans="1:13" s="2" customFormat="1">
      <c r="B34" s="66" t="s">
        <v>501</v>
      </c>
      <c r="C34" s="66"/>
      <c r="D34" s="94" t="s">
        <v>502</v>
      </c>
      <c r="E34" s="156">
        <v>2.0500000000000001E-2</v>
      </c>
      <c r="F34" s="156">
        <v>1.9E-2</v>
      </c>
      <c r="G34" s="156">
        <v>1.83E-2</v>
      </c>
      <c r="H34" s="156">
        <v>1.78E-2</v>
      </c>
      <c r="I34" s="156">
        <v>1.7500000000000002E-2</v>
      </c>
      <c r="J34" s="94"/>
      <c r="K34" s="1"/>
      <c r="L34" s="94"/>
      <c r="M34" s="94"/>
    </row>
    <row r="35" spans="1:13" s="2" customFormat="1">
      <c r="B35" s="66" t="s">
        <v>503</v>
      </c>
      <c r="C35" s="66"/>
      <c r="D35" s="94" t="s">
        <v>502</v>
      </c>
      <c r="E35" s="508">
        <v>4.5181881000000007E-2</v>
      </c>
      <c r="F35" s="508">
        <v>4.5568105000000005E-2</v>
      </c>
      <c r="G35" s="508">
        <v>4.5399131999999995E-2</v>
      </c>
      <c r="H35" s="508">
        <v>4.564052200000001E-2</v>
      </c>
      <c r="I35" s="508">
        <v>4.5833633999999998E-2</v>
      </c>
      <c r="J35" s="94"/>
      <c r="K35" s="1"/>
      <c r="L35" s="94"/>
      <c r="M35" s="94"/>
    </row>
    <row r="36" spans="1:13">
      <c r="A36" s="2"/>
      <c r="B36" s="66" t="s">
        <v>504</v>
      </c>
      <c r="C36" s="66"/>
      <c r="D36" s="94" t="s">
        <v>194</v>
      </c>
      <c r="E36" s="157">
        <v>0.6</v>
      </c>
      <c r="F36" s="157">
        <v>0.6</v>
      </c>
      <c r="G36" s="157">
        <v>0.6</v>
      </c>
      <c r="H36" s="157">
        <v>0.6</v>
      </c>
      <c r="I36" s="157">
        <v>0.6</v>
      </c>
      <c r="J36" s="94"/>
      <c r="K36" s="1"/>
      <c r="L36" s="94"/>
      <c r="M36" s="94"/>
    </row>
    <row r="37" spans="1:13">
      <c r="B37" t="s">
        <v>505</v>
      </c>
      <c r="D37" s="94" t="s">
        <v>502</v>
      </c>
      <c r="E37" s="154">
        <f t="shared" ref="E37:I37" si="7">E34*E36+E35*(1-E36)</f>
        <v>3.0372752400000001E-2</v>
      </c>
      <c r="F37" s="155">
        <f t="shared" si="7"/>
        <v>2.9627241999999998E-2</v>
      </c>
      <c r="G37" s="155">
        <f t="shared" si="7"/>
        <v>2.9139652799999999E-2</v>
      </c>
      <c r="H37" s="155">
        <f t="shared" si="7"/>
        <v>2.8936208800000002E-2</v>
      </c>
      <c r="I37" s="155">
        <f t="shared" si="7"/>
        <v>2.8833453600000003E-2</v>
      </c>
      <c r="J37" s="94"/>
      <c r="K37" s="1"/>
      <c r="L37" s="94"/>
      <c r="M37" s="94"/>
    </row>
    <row r="38" spans="1:13" s="2" customFormat="1">
      <c r="A38"/>
      <c r="B38"/>
      <c r="C38"/>
      <c r="D38" s="102"/>
      <c r="E38" s="99"/>
      <c r="F38" s="99"/>
      <c r="G38" s="99"/>
      <c r="H38" s="99"/>
      <c r="I38" s="99"/>
      <c r="J38" s="94"/>
      <c r="K38" s="1"/>
      <c r="L38" s="94"/>
      <c r="M38" s="94"/>
    </row>
    <row r="39" spans="1:13" s="2" customFormat="1">
      <c r="A39"/>
      <c r="B39" s="88" t="s">
        <v>506</v>
      </c>
      <c r="C39" s="88"/>
      <c r="D39" s="94" t="str">
        <f>Data!$C$9</f>
        <v>£m 18/19</v>
      </c>
      <c r="E39" s="46">
        <f>E41*E36</f>
        <v>1040.2494183185922</v>
      </c>
      <c r="F39" s="47">
        <f t="shared" ref="F39:I39" si="8">F41*F36</f>
        <v>1050.5670145776796</v>
      </c>
      <c r="G39" s="47">
        <f t="shared" si="8"/>
        <v>1058.8632732447406</v>
      </c>
      <c r="H39" s="47">
        <f t="shared" si="8"/>
        <v>1064.1041933233205</v>
      </c>
      <c r="I39" s="47">
        <f t="shared" si="8"/>
        <v>1066.9627442729391</v>
      </c>
      <c r="J39" s="94"/>
      <c r="K39" s="1"/>
      <c r="L39" s="94"/>
      <c r="M39" s="94"/>
    </row>
    <row r="40" spans="1:13" s="2" customFormat="1">
      <c r="A40"/>
      <c r="B40" s="88" t="s">
        <v>507</v>
      </c>
      <c r="C40" s="88"/>
      <c r="D40" s="94" t="str">
        <f>Data!$C$9</f>
        <v>£m 18/19</v>
      </c>
      <c r="E40" s="179">
        <f t="shared" ref="E40:I40" si="9">E41*(1-E36)</f>
        <v>693.49961221239494</v>
      </c>
      <c r="F40" s="180">
        <f t="shared" si="9"/>
        <v>700.3780097184532</v>
      </c>
      <c r="G40" s="180">
        <f t="shared" si="9"/>
        <v>705.90884882982709</v>
      </c>
      <c r="H40" s="180">
        <f t="shared" si="9"/>
        <v>709.40279554888048</v>
      </c>
      <c r="I40" s="180">
        <f t="shared" si="9"/>
        <v>711.30849618195953</v>
      </c>
      <c r="J40" s="94"/>
      <c r="K40" s="1"/>
      <c r="L40" s="94"/>
      <c r="M40" s="94"/>
    </row>
    <row r="41" spans="1:13" s="2" customFormat="1">
      <c r="A41"/>
      <c r="B41" t="s">
        <v>508</v>
      </c>
      <c r="C41"/>
      <c r="D41" s="94" t="str">
        <f>Data!$C$9</f>
        <v>£m 18/19</v>
      </c>
      <c r="E41" s="50">
        <f>AVERAGE(E15,E24*(1/(1+E37)))</f>
        <v>1733.7490305309873</v>
      </c>
      <c r="F41" s="51">
        <f>AVERAGE(F15,F24*(1/(1+F37)))</f>
        <v>1750.9450242961329</v>
      </c>
      <c r="G41" s="51">
        <f>AVERAGE(G15,G24*(1/(1+G37)))</f>
        <v>1764.7721220745677</v>
      </c>
      <c r="H41" s="51">
        <f>AVERAGE(H15,H24*(1/(1+H37)))</f>
        <v>1773.506988872201</v>
      </c>
      <c r="I41" s="51">
        <f>AVERAGE(I15,I24*(1/(1+I37)))</f>
        <v>1778.2712404548986</v>
      </c>
      <c r="J41" s="94"/>
      <c r="K41" s="1"/>
      <c r="L41" s="94"/>
      <c r="M41" s="94"/>
    </row>
    <row r="42" spans="1:13" s="2" customFormat="1">
      <c r="A42"/>
      <c r="B42"/>
      <c r="C42"/>
      <c r="D42" s="94"/>
      <c r="E42" s="94"/>
      <c r="F42" s="94"/>
      <c r="G42" s="94"/>
      <c r="H42" s="94"/>
      <c r="I42" s="94"/>
      <c r="J42" s="94"/>
      <c r="K42" s="1"/>
      <c r="L42" s="94"/>
      <c r="M42" s="94"/>
    </row>
    <row r="43" spans="1:13" s="2" customFormat="1">
      <c r="A43"/>
      <c r="B43" s="88" t="s">
        <v>509</v>
      </c>
      <c r="C43" s="88"/>
      <c r="D43" s="94" t="str">
        <f>Data!$C$9</f>
        <v>£m 18/19</v>
      </c>
      <c r="E43" s="410">
        <f>E34*E39</f>
        <v>21.325113075531142</v>
      </c>
      <c r="F43" s="411">
        <f t="shared" ref="E43:I44" si="10">F34*F39</f>
        <v>19.960773276975914</v>
      </c>
      <c r="G43" s="411">
        <f t="shared" si="10"/>
        <v>19.377197900378754</v>
      </c>
      <c r="H43" s="411">
        <f t="shared" si="10"/>
        <v>18.941054641155105</v>
      </c>
      <c r="I43" s="411">
        <f t="shared" si="10"/>
        <v>18.671848024776434</v>
      </c>
      <c r="J43" s="94"/>
      <c r="K43" s="1"/>
      <c r="L43" s="94"/>
      <c r="M43" s="94"/>
    </row>
    <row r="44" spans="1:13">
      <c r="B44" s="88" t="s">
        <v>510</v>
      </c>
      <c r="C44" s="88"/>
      <c r="D44" s="94" t="str">
        <f>Data!$C$9</f>
        <v>£m 18/19</v>
      </c>
      <c r="E44" s="43">
        <f t="shared" si="10"/>
        <v>31.33361695252658</v>
      </c>
      <c r="F44" s="44">
        <f t="shared" si="10"/>
        <v>31.914898686541498</v>
      </c>
      <c r="G44" s="44">
        <f t="shared" si="10"/>
        <v>32.047649007993364</v>
      </c>
      <c r="H44" s="44">
        <f t="shared" si="10"/>
        <v>32.377513897110191</v>
      </c>
      <c r="I44" s="44">
        <f t="shared" si="10"/>
        <v>32.601853275094328</v>
      </c>
      <c r="J44" s="94"/>
      <c r="K44" s="1"/>
      <c r="L44" s="94"/>
      <c r="M44" s="94"/>
    </row>
    <row r="45" spans="1:13">
      <c r="B45" t="s">
        <v>511</v>
      </c>
      <c r="D45" s="94" t="str">
        <f>Data!$C$9</f>
        <v>£m 18/19</v>
      </c>
      <c r="E45" s="50">
        <f>SUM(E43:E44)</f>
        <v>52.658730028057718</v>
      </c>
      <c r="F45" s="51">
        <f t="shared" ref="F45:I45" si="11">SUM(F43:F44)</f>
        <v>51.875671963517412</v>
      </c>
      <c r="G45" s="51">
        <f t="shared" si="11"/>
        <v>51.424846908372118</v>
      </c>
      <c r="H45" s="51">
        <f t="shared" si="11"/>
        <v>51.318568538265296</v>
      </c>
      <c r="I45" s="51">
        <f t="shared" si="11"/>
        <v>51.273701299870766</v>
      </c>
      <c r="J45" s="94"/>
      <c r="K45" s="1"/>
      <c r="L45" s="94"/>
      <c r="M45" s="94"/>
    </row>
    <row r="46" spans="1:13">
      <c r="J46" s="94"/>
      <c r="K46" s="1"/>
      <c r="L46" s="94"/>
      <c r="M46" s="94"/>
    </row>
    <row r="47" spans="1:13">
      <c r="B47" s="88"/>
      <c r="C47" s="88"/>
      <c r="D47" s="75"/>
      <c r="E47" s="249"/>
      <c r="F47" s="249"/>
      <c r="G47" s="249"/>
      <c r="H47" s="249"/>
      <c r="I47" s="249"/>
      <c r="J47" s="94"/>
      <c r="K47" s="1"/>
      <c r="L47" s="94"/>
      <c r="M47" s="94"/>
    </row>
    <row r="48" spans="1:13">
      <c r="B48" s="88"/>
      <c r="C48" s="88"/>
      <c r="D48" s="75"/>
      <c r="E48" s="249"/>
      <c r="F48" s="249"/>
      <c r="G48" s="249"/>
      <c r="H48" s="249"/>
      <c r="I48" s="249"/>
      <c r="J48" s="94"/>
      <c r="K48" s="1"/>
      <c r="L48" s="94"/>
      <c r="M48" s="94"/>
    </row>
    <row r="49" spans="2:13">
      <c r="D49" s="75"/>
      <c r="E49" s="236"/>
      <c r="F49" s="236"/>
      <c r="G49" s="236"/>
      <c r="H49" s="236"/>
      <c r="I49" s="236"/>
      <c r="J49" s="94"/>
      <c r="K49" s="1"/>
      <c r="L49" s="94"/>
      <c r="M49" s="94"/>
    </row>
    <row r="50" spans="2:13">
      <c r="D50" s="94"/>
      <c r="E50" s="94"/>
      <c r="F50" s="94"/>
      <c r="G50" s="94"/>
      <c r="H50" s="94"/>
      <c r="I50" s="94"/>
      <c r="J50" s="94"/>
      <c r="K50" s="1"/>
      <c r="L50" s="94"/>
      <c r="M50" s="94"/>
    </row>
    <row r="54" spans="2:13">
      <c r="D54"/>
      <c r="L54"/>
    </row>
    <row r="55" spans="2:13">
      <c r="D55"/>
      <c r="L55"/>
    </row>
    <row r="56" spans="2:13">
      <c r="B56" s="88"/>
      <c r="C56" s="88"/>
      <c r="D56" s="75"/>
      <c r="E56" s="249"/>
      <c r="F56" s="249"/>
      <c r="G56" s="249"/>
      <c r="H56" s="249"/>
      <c r="I56" s="249"/>
      <c r="J56" s="6"/>
    </row>
    <row r="57" spans="2:13">
      <c r="B57" s="88"/>
      <c r="C57" s="88"/>
      <c r="D57" s="75"/>
      <c r="E57" s="236"/>
      <c r="F57" s="236"/>
      <c r="G57" s="236"/>
      <c r="H57" s="236"/>
      <c r="I57" s="236"/>
    </row>
    <row r="58" spans="2:13">
      <c r="D58" s="75"/>
      <c r="E58" s="249"/>
      <c r="F58" s="249"/>
      <c r="G58" s="249"/>
      <c r="H58" s="249"/>
      <c r="I58" s="249"/>
    </row>
    <row r="59" spans="2:13">
      <c r="B59" s="6"/>
      <c r="C59" s="6"/>
      <c r="D59" s="109"/>
      <c r="E59" s="109"/>
      <c r="F59" s="109"/>
      <c r="G59" s="109"/>
      <c r="H59" s="109"/>
      <c r="I59" s="109"/>
    </row>
    <row r="60" spans="2:13">
      <c r="B60" s="6"/>
      <c r="C60" s="6"/>
      <c r="D60" s="109"/>
      <c r="E60" s="109"/>
      <c r="F60" s="109"/>
      <c r="G60" s="109"/>
      <c r="H60" s="109"/>
      <c r="I60" s="109"/>
    </row>
    <row r="61" spans="2:13">
      <c r="B61" s="6"/>
      <c r="C61" s="6"/>
      <c r="D61" s="109"/>
      <c r="E61" s="109"/>
      <c r="F61" s="109"/>
      <c r="G61" s="109"/>
      <c r="H61" s="109"/>
      <c r="I61" s="109"/>
    </row>
    <row r="64" spans="2:13">
      <c r="B64" s="6"/>
      <c r="C64" s="6"/>
      <c r="D64" s="109"/>
      <c r="E64" s="109"/>
      <c r="F64" s="109"/>
      <c r="G64" s="109"/>
      <c r="H64" s="109"/>
      <c r="I64" s="109"/>
    </row>
  </sheetData>
  <conditionalFormatting sqref="E5:H6">
    <cfRule type="expression" dxfId="39" priority="15">
      <formula>AND(E$5="Actuals",F$5="Forecast")</formula>
    </cfRule>
  </conditionalFormatting>
  <conditionalFormatting sqref="I5:I6">
    <cfRule type="expression" dxfId="38" priority="256">
      <formula>AND(I$5="Actuals",#REF!="Forecast")</formula>
    </cfRule>
  </conditionalFormatting>
  <conditionalFormatting sqref="E7:I7">
    <cfRule type="expression" dxfId="37" priority="1">
      <formula>AND(E$5="Actuals",F$5="Forecast")</formula>
    </cfRule>
  </conditionalFormatting>
  <pageMargins left="0.70866141732283472" right="0.70866141732283472" top="0.74803149606299213" bottom="0.74803149606299213" header="0.31496062992125984" footer="0.31496062992125984"/>
  <pageSetup paperSize="8" orientation="landscape" r:id="rId1"/>
  <customProperties>
    <customPr name="_pios_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CC"/>
    <pageSetUpPr fitToPage="1"/>
  </sheetPr>
  <dimension ref="A1:AL68"/>
  <sheetViews>
    <sheetView showGridLines="0" zoomScaleNormal="100" workbookViewId="0">
      <pane ySplit="7" topLeftCell="A45" activePane="bottomLeft" state="frozen"/>
      <selection activeCell="B3" sqref="B3:F3"/>
      <selection pane="bottomLeft" activeCell="E54" sqref="E54:I54"/>
    </sheetView>
  </sheetViews>
  <sheetFormatPr defaultRowHeight="12.4"/>
  <cols>
    <col min="1" max="1" width="8.3515625" customWidth="1"/>
    <col min="2" max="2" width="62.76171875" customWidth="1"/>
    <col min="3" max="3" width="5.1171875" customWidth="1"/>
    <col min="4" max="4" width="14.1171875" customWidth="1"/>
    <col min="5" max="9" width="11.1171875" customWidth="1"/>
    <col min="10" max="10" width="7.76171875" customWidth="1"/>
  </cols>
  <sheetData>
    <row r="1" spans="1:14" ht="20.65">
      <c r="A1" s="776" t="s">
        <v>182</v>
      </c>
      <c r="B1" s="395"/>
      <c r="C1" s="395"/>
      <c r="D1" s="396"/>
      <c r="E1" s="396"/>
      <c r="F1" s="396"/>
      <c r="G1" s="396"/>
      <c r="H1" s="396"/>
      <c r="I1" s="396"/>
      <c r="J1" s="785"/>
    </row>
    <row r="2" spans="1:14" ht="20.65">
      <c r="A2" s="293" t="str">
        <f>Licensee</f>
        <v>Cadent-WM</v>
      </c>
      <c r="B2" s="16"/>
      <c r="C2" s="16"/>
      <c r="D2" s="16"/>
      <c r="E2" s="16"/>
      <c r="F2" s="16"/>
      <c r="G2" s="16"/>
      <c r="H2" s="16"/>
      <c r="I2" s="16"/>
      <c r="J2" s="65"/>
    </row>
    <row r="3" spans="1:14" ht="20.65">
      <c r="A3" s="288">
        <f>Reporting_Year</f>
        <v>2022</v>
      </c>
      <c r="B3" s="575"/>
      <c r="C3" s="575"/>
      <c r="D3" s="575"/>
      <c r="E3" s="592"/>
      <c r="F3" s="592"/>
      <c r="G3" s="592"/>
      <c r="H3" s="592"/>
      <c r="I3" s="592"/>
      <c r="J3" s="119"/>
    </row>
    <row r="4" spans="1:14" ht="12.75" customHeight="1">
      <c r="A4" s="120"/>
      <c r="B4" s="121"/>
      <c r="C4" s="121"/>
      <c r="D4" s="120"/>
      <c r="E4" s="530">
        <f>IF(E5="Actuals",1,0)</f>
        <v>0</v>
      </c>
      <c r="F4" s="530">
        <f t="shared" ref="F4:I4" si="0">IF(F5="Actuals",1,0)</f>
        <v>0</v>
      </c>
      <c r="G4" s="530">
        <f t="shared" si="0"/>
        <v>0</v>
      </c>
      <c r="H4" s="530">
        <f t="shared" si="0"/>
        <v>0</v>
      </c>
      <c r="I4" s="530">
        <f t="shared" si="0"/>
        <v>0</v>
      </c>
      <c r="J4" s="122"/>
      <c r="K4" s="121"/>
    </row>
    <row r="5" spans="1:14" s="2" customFormat="1">
      <c r="B5" s="3"/>
      <c r="C5" s="3"/>
      <c r="D5" s="3"/>
      <c r="E5" s="151" t="str">
        <f>IF(E6+1&lt;=Reporting_Year,"Actuals","Forecast")</f>
        <v>Forecast</v>
      </c>
      <c r="F5" s="151" t="str">
        <f>IF(F6+1&lt;=Reporting_Year,"Actuals","Forecast")</f>
        <v>Forecast</v>
      </c>
      <c r="G5" s="151" t="str">
        <f>IF(G6+1&lt;=Reporting_Year,"Actuals","Forecast")</f>
        <v>Forecast</v>
      </c>
      <c r="H5" s="151" t="str">
        <f>IF(H6+1&lt;=Reporting_Year,"Actuals","Forecast")</f>
        <v>Forecast</v>
      </c>
      <c r="I5" s="151" t="str">
        <f>IF(I6+1&lt;=Reporting_Year,"Actuals","Forecast")</f>
        <v>Forecast</v>
      </c>
    </row>
    <row r="6" spans="1:14" s="2" customFormat="1">
      <c r="E6" s="62">
        <f>'RFPR cover'!$C$6</f>
        <v>2022</v>
      </c>
      <c r="F6" s="63">
        <f>E6+1</f>
        <v>2023</v>
      </c>
      <c r="G6" s="63">
        <f t="shared" ref="G6:I6" si="1">F6+1</f>
        <v>2024</v>
      </c>
      <c r="H6" s="63">
        <f t="shared" si="1"/>
        <v>2025</v>
      </c>
      <c r="I6" s="63">
        <f t="shared" si="1"/>
        <v>2026</v>
      </c>
    </row>
    <row r="7" spans="1:14" s="2" customFormat="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0" t="str">
        <f>RIIO_2_start_date+3&amp;"/"&amp;RIGHT(RIIO_2_start_date+4,2)</f>
        <v>2025/26</v>
      </c>
    </row>
    <row r="8" spans="1:14" s="2" customFormat="1">
      <c r="B8" s="635" t="s">
        <v>512</v>
      </c>
      <c r="C8" s="145"/>
      <c r="D8" s="630"/>
      <c r="E8" s="630"/>
      <c r="F8" s="630"/>
      <c r="G8" s="630"/>
      <c r="H8" s="630"/>
      <c r="I8" s="630"/>
    </row>
    <row r="9" spans="1:14" s="2" customFormat="1" ht="34.5" customHeight="1">
      <c r="B9" s="851" t="s">
        <v>513</v>
      </c>
      <c r="C9" s="851"/>
      <c r="D9" s="851"/>
      <c r="E9" s="851"/>
      <c r="F9" s="851"/>
      <c r="G9" s="851"/>
      <c r="H9" s="851"/>
      <c r="I9" s="851"/>
    </row>
    <row r="10" spans="1:14" s="2" customFormat="1">
      <c r="B10" s="158"/>
      <c r="C10" s="158"/>
    </row>
    <row r="11" spans="1:14" s="2" customFormat="1">
      <c r="B11" s="6" t="s">
        <v>514</v>
      </c>
      <c r="C11" s="6"/>
      <c r="D11" s="75" t="s">
        <v>230</v>
      </c>
      <c r="E11" s="614"/>
      <c r="F11" s="614"/>
      <c r="G11" s="614"/>
      <c r="H11" s="614"/>
      <c r="I11" s="614"/>
      <c r="J11" t="s">
        <v>515</v>
      </c>
    </row>
    <row r="12" spans="1:14" s="2" customFormat="1">
      <c r="B12" s="669"/>
      <c r="C12" s="6"/>
      <c r="D12" s="75"/>
      <c r="E12" s="529"/>
      <c r="F12" s="529"/>
      <c r="G12" s="529"/>
      <c r="H12" s="529"/>
      <c r="I12" s="529"/>
      <c r="J12"/>
    </row>
    <row r="13" spans="1:14">
      <c r="B13" s="6" t="s">
        <v>516</v>
      </c>
      <c r="C13" s="6"/>
      <c r="D13" s="75"/>
      <c r="E13" s="75"/>
      <c r="F13" s="75"/>
      <c r="G13" s="75"/>
      <c r="H13" s="75"/>
      <c r="I13" s="75"/>
      <c r="M13" s="2"/>
      <c r="N13" s="2"/>
    </row>
    <row r="14" spans="1:14">
      <c r="B14" s="146" t="s">
        <v>517</v>
      </c>
      <c r="C14" s="146"/>
      <c r="D14" s="75" t="s">
        <v>230</v>
      </c>
      <c r="E14" s="614"/>
      <c r="F14" s="614"/>
      <c r="G14" s="614"/>
      <c r="H14" s="614"/>
      <c r="I14" s="614"/>
      <c r="M14" s="2"/>
      <c r="N14" s="2"/>
    </row>
    <row r="15" spans="1:14">
      <c r="B15" s="146" t="s">
        <v>260</v>
      </c>
      <c r="C15" s="146"/>
      <c r="D15" s="75" t="s">
        <v>230</v>
      </c>
      <c r="E15" s="614"/>
      <c r="F15" s="614"/>
      <c r="G15" s="614"/>
      <c r="H15" s="614"/>
      <c r="I15" s="614"/>
      <c r="M15" s="2"/>
      <c r="N15" s="2"/>
    </row>
    <row r="16" spans="1:14">
      <c r="B16" s="146" t="s">
        <v>518</v>
      </c>
      <c r="C16" s="146"/>
      <c r="D16" s="75" t="s">
        <v>230</v>
      </c>
      <c r="E16" s="614"/>
      <c r="F16" s="614"/>
      <c r="G16" s="614"/>
      <c r="H16" s="614"/>
      <c r="I16" s="614"/>
      <c r="M16" s="2"/>
      <c r="N16" s="2"/>
    </row>
    <row r="17" spans="2:38">
      <c r="B17" s="146" t="s">
        <v>519</v>
      </c>
      <c r="C17" s="146"/>
      <c r="D17" s="75" t="s">
        <v>230</v>
      </c>
      <c r="E17" s="614"/>
      <c r="F17" s="614"/>
      <c r="G17" s="614"/>
      <c r="H17" s="614"/>
      <c r="I17" s="614"/>
      <c r="M17" s="2"/>
      <c r="N17" s="2"/>
    </row>
    <row r="18" spans="2:38">
      <c r="B18" s="625" t="s">
        <v>520</v>
      </c>
      <c r="C18" s="625"/>
      <c r="D18" s="75" t="s">
        <v>230</v>
      </c>
      <c r="E18" s="211">
        <f>SUM(E14:E17)</f>
        <v>0</v>
      </c>
      <c r="F18" s="212">
        <f t="shared" ref="F18:I18" si="2">SUM(F14:F17)</f>
        <v>0</v>
      </c>
      <c r="G18" s="212">
        <f t="shared" si="2"/>
        <v>0</v>
      </c>
      <c r="H18" s="212">
        <f t="shared" si="2"/>
        <v>0</v>
      </c>
      <c r="I18" s="212">
        <f t="shared" si="2"/>
        <v>0</v>
      </c>
      <c r="M18" s="2"/>
      <c r="N18" s="2"/>
    </row>
    <row r="19" spans="2:38">
      <c r="B19" s="146"/>
      <c r="C19" s="146"/>
      <c r="D19" s="146"/>
      <c r="E19" s="626"/>
      <c r="F19" s="626"/>
      <c r="G19" s="626"/>
      <c r="H19" s="626"/>
      <c r="I19" s="626"/>
    </row>
    <row r="20" spans="2:38">
      <c r="B20" s="6" t="s">
        <v>440</v>
      </c>
      <c r="C20" s="6"/>
      <c r="D20" s="75"/>
      <c r="E20" s="75"/>
      <c r="F20" s="627"/>
      <c r="G20" s="627"/>
      <c r="H20" s="627"/>
      <c r="I20" s="627"/>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row>
    <row r="21" spans="2:38">
      <c r="B21" s="146" t="s">
        <v>521</v>
      </c>
      <c r="C21" s="628"/>
      <c r="D21" s="75" t="s">
        <v>230</v>
      </c>
      <c r="E21" s="520">
        <f>('R4 - Incentives and Other Rev'!D67+'R4 - Incentives and Other Rev'!D40+'R4 - Incentives and Other Rev'!D47)/(1-INDEX(Corporate_Tax,MATCH($E$6,Data!$C$15:$N$15,0)))*INDEX(Corporate_Tax,MATCH($E$6,Data!$C$15:$N$15,0))</f>
        <v>0.18531039690704026</v>
      </c>
      <c r="F21" s="520">
        <f>('R4 - Incentives and Other Rev'!E67+'R4 - Incentives and Other Rev'!E40+'R4 - Incentives and Other Rev'!E47)/(1-INDEX(Corporate_Tax,MATCH($E$6,Data!$C$15:$N$15,0)))*INDEX(Corporate_Tax,MATCH($E$6,Data!$C$15:$N$15,0))</f>
        <v>0.29853370319537165</v>
      </c>
      <c r="G21" s="520">
        <f>('R4 - Incentives and Other Rev'!F67+'R4 - Incentives and Other Rev'!F40+'R4 - Incentives and Other Rev'!F47)/(1-INDEX(Corporate_Tax,MATCH($E$6,Data!$C$15:$N$15,0)))*INDEX(Corporate_Tax,MATCH($E$6,Data!$C$15:$N$15,0))</f>
        <v>0.34718652314246612</v>
      </c>
      <c r="H21" s="520">
        <f>('R4 - Incentives and Other Rev'!G67+'R4 - Incentives and Other Rev'!G40+'R4 - Incentives and Other Rev'!G47)/(1-INDEX(Corporate_Tax,MATCH($E$6,Data!$C$15:$N$15,0)))*INDEX(Corporate_Tax,MATCH($E$6,Data!$C$15:$N$15,0))</f>
        <v>0.34718652314246612</v>
      </c>
      <c r="I21" s="520">
        <f>('R4 - Incentives and Other Rev'!H67+'R4 - Incentives and Other Rev'!H40+'R4 - Incentives and Other Rev'!H47)/(1-INDEX(Corporate_Tax,MATCH($E$6,Data!$C$15:$N$15,0)))*INDEX(Corporate_Tax,MATCH($E$6,Data!$C$15:$N$15,0))</f>
        <v>0.34718652314246612</v>
      </c>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row>
    <row r="22" spans="2:38">
      <c r="B22" s="146" t="s">
        <v>522</v>
      </c>
      <c r="C22" s="146"/>
      <c r="D22" s="75" t="s">
        <v>230</v>
      </c>
      <c r="E22" s="614"/>
      <c r="F22" s="614"/>
      <c r="G22" s="614"/>
      <c r="H22" s="614"/>
      <c r="I22" s="614"/>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row>
    <row r="23" spans="2:38">
      <c r="B23" s="146" t="s">
        <v>523</v>
      </c>
      <c r="C23" s="146"/>
      <c r="D23" s="75" t="s">
        <v>230</v>
      </c>
      <c r="E23" s="614"/>
      <c r="F23" s="614"/>
      <c r="G23" s="614"/>
      <c r="H23" s="614"/>
      <c r="I23" s="614"/>
    </row>
    <row r="24" spans="2:38">
      <c r="B24" s="146" t="s">
        <v>524</v>
      </c>
      <c r="C24" s="146"/>
      <c r="D24" s="75" t="s">
        <v>230</v>
      </c>
      <c r="E24" s="614"/>
      <c r="F24" s="614"/>
      <c r="G24" s="614"/>
      <c r="H24" s="614"/>
      <c r="I24" s="614"/>
    </row>
    <row r="25" spans="2:38">
      <c r="B25" s="146" t="s">
        <v>525</v>
      </c>
      <c r="C25" s="146"/>
      <c r="D25" s="75" t="s">
        <v>230</v>
      </c>
      <c r="E25" s="614"/>
      <c r="F25" s="614"/>
      <c r="G25" s="614"/>
      <c r="H25" s="614"/>
      <c r="I25" s="614"/>
    </row>
    <row r="26" spans="2:38">
      <c r="B26" s="146" t="s">
        <v>526</v>
      </c>
      <c r="C26" s="146"/>
      <c r="D26" s="75" t="s">
        <v>230</v>
      </c>
      <c r="E26" s="614"/>
      <c r="F26" s="614"/>
      <c r="G26" s="614"/>
      <c r="H26" s="614"/>
      <c r="I26" s="614"/>
    </row>
    <row r="27" spans="2:38">
      <c r="B27" s="146" t="s">
        <v>526</v>
      </c>
      <c r="C27" s="146"/>
      <c r="D27" s="75" t="s">
        <v>230</v>
      </c>
      <c r="E27" s="614"/>
      <c r="F27" s="614"/>
      <c r="G27" s="614"/>
      <c r="H27" s="614"/>
      <c r="I27" s="614"/>
    </row>
    <row r="28" spans="2:38">
      <c r="B28" s="146" t="s">
        <v>526</v>
      </c>
      <c r="C28" s="146"/>
      <c r="D28" s="75" t="s">
        <v>230</v>
      </c>
      <c r="E28" s="614"/>
      <c r="F28" s="614"/>
      <c r="G28" s="614"/>
      <c r="H28" s="614"/>
      <c r="I28" s="614"/>
    </row>
    <row r="29" spans="2:38">
      <c r="B29" s="146" t="s">
        <v>526</v>
      </c>
      <c r="C29" s="146"/>
      <c r="D29" s="75" t="s">
        <v>230</v>
      </c>
      <c r="E29" s="614"/>
      <c r="F29" s="614"/>
      <c r="G29" s="614"/>
      <c r="H29" s="614"/>
      <c r="I29" s="614"/>
    </row>
    <row r="30" spans="2:38">
      <c r="B30" s="146" t="s">
        <v>527</v>
      </c>
      <c r="C30" s="146"/>
      <c r="D30" s="75" t="s">
        <v>230</v>
      </c>
      <c r="E30" s="614"/>
      <c r="F30" s="614"/>
      <c r="G30" s="614"/>
      <c r="H30" s="614"/>
      <c r="I30" s="614"/>
    </row>
    <row r="31" spans="2:38">
      <c r="B31" s="6" t="s">
        <v>267</v>
      </c>
      <c r="C31" s="6"/>
      <c r="D31" s="75" t="s">
        <v>230</v>
      </c>
      <c r="E31" s="235">
        <f>SUM(E21:E30)</f>
        <v>0.18531039690704026</v>
      </c>
      <c r="F31" s="629">
        <f>SUM(F21:F30)</f>
        <v>0.29853370319537165</v>
      </c>
      <c r="G31" s="629">
        <f>SUM(G21:G30)</f>
        <v>0.34718652314246612</v>
      </c>
      <c r="H31" s="629">
        <f>SUM(H21:H30)</f>
        <v>0.34718652314246612</v>
      </c>
      <c r="I31" s="629">
        <f>SUM(I21:I30)</f>
        <v>0.34718652314246612</v>
      </c>
    </row>
    <row r="33" spans="2:11" ht="25.5" customHeight="1">
      <c r="B33" s="376" t="s">
        <v>528</v>
      </c>
      <c r="D33" s="75" t="s">
        <v>230</v>
      </c>
      <c r="E33" s="614">
        <v>18.518880342854157</v>
      </c>
      <c r="F33" s="614">
        <v>23.821863516208815</v>
      </c>
      <c r="G33" s="614">
        <v>27.084188133759795</v>
      </c>
      <c r="H33" s="614">
        <v>31.452279033355378</v>
      </c>
      <c r="I33" s="614">
        <v>31.741026392610685</v>
      </c>
    </row>
    <row r="34" spans="2:11" ht="12.75" customHeight="1">
      <c r="B34" s="376" t="s">
        <v>529</v>
      </c>
      <c r="C34" s="376"/>
      <c r="D34" s="75" t="s">
        <v>230</v>
      </c>
      <c r="E34" s="235">
        <f>E11+E33-E18-E31</f>
        <v>18.333569945947115</v>
      </c>
      <c r="F34" s="235">
        <f>F11+F33-F18-F31</f>
        <v>23.523329813013444</v>
      </c>
      <c r="G34" s="235">
        <f>G11+G33-G18-G31</f>
        <v>26.73700161061733</v>
      </c>
      <c r="H34" s="235">
        <f>H11+H33-H18-H31</f>
        <v>31.105092510212913</v>
      </c>
      <c r="I34" s="235">
        <f>I11+I33-I18-I31</f>
        <v>31.39383986946822</v>
      </c>
    </row>
    <row r="35" spans="2:11" ht="12.75" customHeight="1">
      <c r="B35" s="375"/>
      <c r="C35" s="375"/>
      <c r="D35" s="75"/>
      <c r="E35" s="529"/>
      <c r="F35" s="529"/>
      <c r="G35" s="529"/>
      <c r="H35" s="529"/>
      <c r="I35" s="529"/>
    </row>
    <row r="36" spans="2:11">
      <c r="B36" t="s">
        <v>418</v>
      </c>
      <c r="D36" s="90" t="s">
        <v>419</v>
      </c>
      <c r="E36" s="59">
        <v>1.0847835302284383</v>
      </c>
      <c r="F36" s="59">
        <v>1.1682111694202062</v>
      </c>
      <c r="G36" s="59">
        <v>1.2070548174037865</v>
      </c>
      <c r="H36" s="59">
        <v>1.2275072378847331</v>
      </c>
      <c r="I36" s="59">
        <v>1.2509585044470788</v>
      </c>
    </row>
    <row r="37" spans="2:11">
      <c r="B37" s="375"/>
      <c r="C37" s="375"/>
      <c r="D37" s="75"/>
      <c r="E37" s="75"/>
      <c r="F37" s="75"/>
      <c r="G37" s="75"/>
      <c r="H37" s="75"/>
      <c r="I37" s="75"/>
    </row>
    <row r="38" spans="2:11">
      <c r="B38" s="376" t="s">
        <v>530</v>
      </c>
      <c r="C38" s="376"/>
      <c r="D38" s="94" t="str">
        <f>Data!$C$9</f>
        <v>£m 18/19</v>
      </c>
      <c r="E38" s="235">
        <f>Adjusted_regulated_tax_liability/E36</f>
        <v>16.900671364439276</v>
      </c>
      <c r="F38" s="235">
        <f>Adjusted_regulated_tax_liability/F36</f>
        <v>20.136196630176276</v>
      </c>
      <c r="G38" s="235">
        <f>Adjusted_regulated_tax_liability/G36</f>
        <v>22.150610912704899</v>
      </c>
      <c r="H38" s="235">
        <f>Adjusted_regulated_tax_liability/H36</f>
        <v>25.340048148159092</v>
      </c>
      <c r="I38" s="235">
        <f>Adjusted_regulated_tax_liability/I36</f>
        <v>25.095828325132363</v>
      </c>
    </row>
    <row r="39" spans="2:11">
      <c r="B39" s="376"/>
      <c r="C39" s="376"/>
      <c r="D39" s="376"/>
      <c r="E39" s="376"/>
      <c r="F39" s="376"/>
      <c r="G39" s="376"/>
      <c r="H39" s="376"/>
      <c r="I39" s="376"/>
    </row>
    <row r="40" spans="2:11">
      <c r="B40" s="256" t="s">
        <v>531</v>
      </c>
      <c r="C40" s="256"/>
      <c r="D40" s="94"/>
      <c r="E40" s="94"/>
      <c r="F40" s="94"/>
      <c r="G40" s="94"/>
      <c r="H40" s="94"/>
      <c r="I40" s="94"/>
    </row>
    <row r="41" spans="2:11">
      <c r="B41" s="145" t="s">
        <v>425</v>
      </c>
      <c r="C41" s="145"/>
      <c r="D41" s="376"/>
      <c r="E41" s="376"/>
      <c r="F41" s="376"/>
      <c r="G41" s="376"/>
      <c r="H41" s="376"/>
      <c r="I41" s="376"/>
      <c r="K41" s="376"/>
    </row>
    <row r="42" spans="2:11">
      <c r="K42" s="376"/>
    </row>
    <row r="43" spans="2:11" ht="12.75" customHeight="1">
      <c r="B43" s="88" t="s">
        <v>24</v>
      </c>
      <c r="C43" s="88"/>
      <c r="D43" s="38" t="s">
        <v>194</v>
      </c>
      <c r="E43" s="284">
        <v>0.6</v>
      </c>
      <c r="F43" s="285">
        <v>0.6</v>
      </c>
      <c r="G43" s="285">
        <v>0.6</v>
      </c>
      <c r="H43" s="285">
        <v>0.6</v>
      </c>
      <c r="I43" s="285">
        <v>0.6</v>
      </c>
      <c r="K43" s="376"/>
    </row>
    <row r="44" spans="2:11" ht="12.75" customHeight="1">
      <c r="B44" s="88" t="s">
        <v>426</v>
      </c>
      <c r="C44" s="88"/>
      <c r="D44" s="38" t="s">
        <v>194</v>
      </c>
      <c r="E44" s="284">
        <v>0.54904976621116541</v>
      </c>
      <c r="F44" s="285">
        <v>0.62763445686929531</v>
      </c>
      <c r="G44" s="285">
        <v>0.63483615427932005</v>
      </c>
      <c r="H44" s="285">
        <v>0.61590825957199369</v>
      </c>
      <c r="I44" s="285">
        <v>0.60112299591524621</v>
      </c>
      <c r="K44" s="376"/>
    </row>
    <row r="45" spans="2:11" ht="12.75" customHeight="1">
      <c r="B45" s="88"/>
      <c r="C45" s="88"/>
      <c r="D45" s="38"/>
      <c r="E45" s="38"/>
      <c r="F45" s="38"/>
      <c r="G45" s="38"/>
      <c r="H45" s="38"/>
      <c r="I45" s="38"/>
      <c r="K45" s="376"/>
    </row>
    <row r="46" spans="2:11" ht="12.75" customHeight="1">
      <c r="B46" s="376" t="s">
        <v>530</v>
      </c>
      <c r="C46" s="376"/>
      <c r="D46" s="75" t="s">
        <v>230</v>
      </c>
      <c r="E46" s="235">
        <f>E34</f>
        <v>18.333569945947115</v>
      </c>
      <c r="F46" s="235">
        <f>F34</f>
        <v>23.523329813013444</v>
      </c>
      <c r="G46" s="235">
        <f>G34</f>
        <v>26.73700161061733</v>
      </c>
      <c r="H46" s="235">
        <f>H34</f>
        <v>31.105092510212913</v>
      </c>
      <c r="I46" s="235">
        <f>I34</f>
        <v>31.39383986946822</v>
      </c>
      <c r="K46" s="376"/>
    </row>
    <row r="47" spans="2:11">
      <c r="B47" s="88" t="s">
        <v>532</v>
      </c>
      <c r="C47" s="88"/>
      <c r="D47" s="75" t="s">
        <v>230</v>
      </c>
      <c r="E47" s="235">
        <f>E64-E66</f>
        <v>0.15530449108704358</v>
      </c>
      <c r="F47" s="235">
        <f t="shared" ref="F47:I47" si="3">F64-F66</f>
        <v>0.18588906349650358</v>
      </c>
      <c r="G47" s="235">
        <f t="shared" si="3"/>
        <v>-0.17585954589589337</v>
      </c>
      <c r="H47" s="235">
        <f t="shared" si="3"/>
        <v>-0.12387459084705488</v>
      </c>
      <c r="I47" s="235">
        <f t="shared" si="3"/>
        <v>-7.8159888188076287E-3</v>
      </c>
      <c r="K47" s="376"/>
    </row>
    <row r="48" spans="2:11">
      <c r="B48" s="88" t="s">
        <v>533</v>
      </c>
      <c r="C48" s="88"/>
      <c r="D48" s="75" t="s">
        <v>230</v>
      </c>
      <c r="E48" s="235">
        <f>SUM(E46:E47)</f>
        <v>18.488874437034159</v>
      </c>
      <c r="F48" s="235">
        <f t="shared" ref="F48:I48" si="4">SUM(F46:F47)</f>
        <v>23.709218876509947</v>
      </c>
      <c r="G48" s="235">
        <f t="shared" si="4"/>
        <v>26.561142064721437</v>
      </c>
      <c r="H48" s="235">
        <f t="shared" si="4"/>
        <v>30.981217919365857</v>
      </c>
      <c r="I48" s="235">
        <f t="shared" si="4"/>
        <v>31.386023880649411</v>
      </c>
    </row>
    <row r="50" spans="2:11">
      <c r="B50" s="88" t="s">
        <v>533</v>
      </c>
      <c r="C50" s="88"/>
      <c r="D50" s="94" t="str">
        <f>Data!$C$9</f>
        <v>£m 18/19</v>
      </c>
      <c r="E50" s="235">
        <f>E48/E36</f>
        <v>17.043837707547691</v>
      </c>
      <c r="F50" s="235">
        <f t="shared" ref="F50:I50" si="5">F48/F36</f>
        <v>20.295319456906963</v>
      </c>
      <c r="G50" s="235">
        <f t="shared" si="5"/>
        <v>22.004917822912883</v>
      </c>
      <c r="H50" s="235">
        <f t="shared" si="5"/>
        <v>25.239132579579213</v>
      </c>
      <c r="I50" s="235">
        <f t="shared" si="5"/>
        <v>25.089580325065995</v>
      </c>
    </row>
    <row r="52" spans="2:11">
      <c r="B52" s="242" t="s">
        <v>534</v>
      </c>
      <c r="C52" s="242"/>
      <c r="D52" s="243"/>
      <c r="E52" s="243"/>
      <c r="F52" s="243"/>
      <c r="G52" s="243"/>
      <c r="H52" s="243"/>
      <c r="I52" s="243"/>
      <c r="J52" s="243"/>
      <c r="K52" s="376"/>
    </row>
    <row r="53" spans="2:11" ht="12.75" customHeight="1">
      <c r="D53" s="94"/>
      <c r="E53" s="737"/>
      <c r="F53" s="737"/>
      <c r="G53" s="737"/>
      <c r="H53" s="737"/>
      <c r="I53" s="737"/>
    </row>
    <row r="54" spans="2:11">
      <c r="B54" t="s">
        <v>535</v>
      </c>
      <c r="D54" s="94" t="str">
        <f>Data!$C$9</f>
        <v>£m 18/19</v>
      </c>
      <c r="E54" s="598">
        <v>17.66267684707222</v>
      </c>
      <c r="F54" s="598">
        <v>13.820226970866502</v>
      </c>
      <c r="G54" s="598">
        <v>28.574328998155888</v>
      </c>
      <c r="H54" s="598">
        <v>29.207148096367394</v>
      </c>
      <c r="I54" s="598">
        <v>28.294058750284659</v>
      </c>
    </row>
    <row r="55" spans="2:11">
      <c r="D55" s="94"/>
      <c r="E55" s="94"/>
      <c r="F55" s="94"/>
      <c r="G55" s="94"/>
      <c r="H55" s="94"/>
      <c r="I55" s="94"/>
      <c r="J55" s="94"/>
    </row>
    <row r="56" spans="2:11">
      <c r="B56" s="259" t="s">
        <v>434</v>
      </c>
      <c r="C56" s="259"/>
      <c r="D56" s="259"/>
      <c r="E56" s="259"/>
      <c r="F56" s="259"/>
      <c r="G56" s="259"/>
      <c r="H56" s="259"/>
      <c r="I56" s="259"/>
      <c r="J56" s="259"/>
    </row>
    <row r="58" spans="2:11">
      <c r="B58" s="6" t="s">
        <v>536</v>
      </c>
      <c r="C58" s="6"/>
      <c r="D58" s="95" t="str">
        <f>Data!$C$9</f>
        <v>£m 18/19</v>
      </c>
      <c r="E58" s="206">
        <f>E$54-E38</f>
        <v>0.76200548263294365</v>
      </c>
      <c r="F58" s="206">
        <f>F$54-F38</f>
        <v>-6.3159696593097738</v>
      </c>
      <c r="G58" s="206">
        <f>G$54-G38</f>
        <v>6.4237180854509894</v>
      </c>
      <c r="H58" s="206">
        <f>H$54-H38</f>
        <v>3.8670999482083026</v>
      </c>
      <c r="I58" s="206">
        <f>I$54-I38</f>
        <v>3.1982304251522962</v>
      </c>
    </row>
    <row r="59" spans="2:11">
      <c r="B59" s="6"/>
      <c r="C59" s="6"/>
      <c r="D59" s="6"/>
      <c r="E59" s="6"/>
      <c r="F59" s="6"/>
      <c r="G59" s="6"/>
      <c r="H59" s="6"/>
      <c r="I59" s="6"/>
    </row>
    <row r="60" spans="2:11">
      <c r="B60" s="6" t="s">
        <v>537</v>
      </c>
      <c r="C60" s="6"/>
      <c r="D60" s="95" t="str">
        <f>Data!$C$9</f>
        <v>£m 18/19</v>
      </c>
      <c r="E60" s="206">
        <f>E$54-E50</f>
        <v>0.61883913952452829</v>
      </c>
      <c r="F60" s="206">
        <f>F$54-F50</f>
        <v>-6.4750924860404613</v>
      </c>
      <c r="G60" s="206">
        <f>G$54-G50</f>
        <v>6.5694111752430047</v>
      </c>
      <c r="H60" s="206">
        <f>H$54-H50</f>
        <v>3.9680155167881814</v>
      </c>
      <c r="I60" s="206">
        <f>I$54-I50</f>
        <v>3.2044784252186638</v>
      </c>
    </row>
    <row r="62" spans="2:11">
      <c r="B62" s="6" t="s">
        <v>538</v>
      </c>
      <c r="C62" s="6"/>
      <c r="D62" s="95" t="str">
        <f>Data!$C$9</f>
        <v>£m 18/19</v>
      </c>
      <c r="E62" s="206">
        <f>E58-E60</f>
        <v>0.14316634310841536</v>
      </c>
      <c r="F62" s="207">
        <f t="shared" ref="F62:I62" si="6">F58-F60</f>
        <v>0.15912282673068745</v>
      </c>
      <c r="G62" s="207">
        <f t="shared" si="6"/>
        <v>-0.14569308979201523</v>
      </c>
      <c r="H62" s="207">
        <f t="shared" si="6"/>
        <v>-0.10091556857987882</v>
      </c>
      <c r="I62" s="207">
        <f t="shared" si="6"/>
        <v>-6.2480000663676094E-3</v>
      </c>
    </row>
    <row r="64" spans="2:11">
      <c r="B64" t="s">
        <v>539</v>
      </c>
      <c r="D64" s="75" t="s">
        <v>230</v>
      </c>
      <c r="E64" s="664">
        <f>('R5 - Financing'!D83*INDEX(Corporate_Tax,MATCH(E$6,Data!$C$15:$N$15,0))*'R8 - Tax'!E$36)</f>
        <v>2.721703153947022</v>
      </c>
      <c r="F64" s="664">
        <f>('R5 - Financing'!E83*INDEX(Corporate_Tax,MATCH(F$6,Data!$C$15:$N$15,0))*'R8 - Tax'!F$36)</f>
        <v>8.6524126090979969</v>
      </c>
      <c r="G64" s="664">
        <f>('R5 - Financing'!F83*INDEX(Corporate_Tax,MATCH(G$6,Data!$C$15:$N$15,0))*'R8 - Tax'!G$36)</f>
        <v>2.6425611241261553</v>
      </c>
      <c r="H64" s="664">
        <f>('R5 - Financing'!G83*INDEX(Corporate_Tax,MATCH(H$6,Data!$C$15:$N$15,0))*'R8 - Tax'!H$36)</f>
        <v>1.0166099714398553</v>
      </c>
      <c r="I64" s="664">
        <f>('R5 - Financing'!H83*INDEX(Corporate_Tax,MATCH(I$6,Data!$C$15:$N$15,0))*'R8 - Tax'!I$36)</f>
        <v>1.6556443083543597</v>
      </c>
      <c r="J64" t="s">
        <v>540</v>
      </c>
    </row>
    <row r="65" spans="2:10">
      <c r="B65" t="s">
        <v>539</v>
      </c>
      <c r="D65" s="94" t="str">
        <f>Data!$C$9</f>
        <v>£m 18/19</v>
      </c>
      <c r="E65" s="235">
        <f>E64/E$36</f>
        <v>2.5089827399701341</v>
      </c>
      <c r="F65" s="235">
        <f t="shared" ref="F65:I65" si="7">F64/F$36</f>
        <v>7.406548435410242</v>
      </c>
      <c r="G65" s="235">
        <f t="shared" si="7"/>
        <v>2.1892635578970232</v>
      </c>
      <c r="H65" s="235">
        <f t="shared" si="7"/>
        <v>0.82819061270196614</v>
      </c>
      <c r="I65" s="235">
        <f t="shared" si="7"/>
        <v>1.323500581728849</v>
      </c>
    </row>
    <row r="66" spans="2:10">
      <c r="B66" t="s">
        <v>541</v>
      </c>
      <c r="D66" s="75" t="s">
        <v>230</v>
      </c>
      <c r="E66" s="664">
        <f>('R5 - Financing'!D85*INDEX(Corporate_Tax,MATCH(E$6,Data!$C$15:$N$15,0))*'R8 - Tax'!E$36)</f>
        <v>2.5663986628599784</v>
      </c>
      <c r="F66" s="664">
        <f>('R5 - Financing'!E85*INDEX(Corporate_Tax,MATCH(F$6,Data!$C$15:$N$15,0))*'R8 - Tax'!F$36)</f>
        <v>8.4665235456014933</v>
      </c>
      <c r="G66" s="664">
        <f>('R5 - Financing'!F85*INDEX(Corporate_Tax,MATCH(G$6,Data!$C$15:$N$15,0))*'R8 - Tax'!G$36)</f>
        <v>2.8184206700220487</v>
      </c>
      <c r="H66" s="664">
        <f>('R5 - Financing'!G85*INDEX(Corporate_Tax,MATCH(H$6,Data!$C$15:$N$15,0))*'R8 - Tax'!H$36)</f>
        <v>1.1404845622869102</v>
      </c>
      <c r="I66" s="664">
        <f>('R5 - Financing'!H85*INDEX(Corporate_Tax,MATCH(I$6,Data!$C$15:$N$15,0))*'R8 - Tax'!I$36)</f>
        <v>1.6634602971731673</v>
      </c>
      <c r="J66" t="s">
        <v>540</v>
      </c>
    </row>
    <row r="67" spans="2:10">
      <c r="B67" t="s">
        <v>541</v>
      </c>
      <c r="D67" s="94" t="str">
        <f>Data!$C$9</f>
        <v>£m 18/19</v>
      </c>
      <c r="E67" s="235">
        <f>E66/E$36</f>
        <v>2.3658163968617179</v>
      </c>
      <c r="F67" s="235">
        <f t="shared" ref="F67:I67" si="8">F66/F$36</f>
        <v>7.2474256086795554</v>
      </c>
      <c r="G67" s="235">
        <f t="shared" si="8"/>
        <v>2.3349566476890375</v>
      </c>
      <c r="H67" s="235">
        <f t="shared" si="8"/>
        <v>0.92910618128184541</v>
      </c>
      <c r="I67" s="235">
        <f t="shared" si="8"/>
        <v>1.3297485817952159</v>
      </c>
    </row>
    <row r="68" spans="2:10">
      <c r="B68" t="s">
        <v>542</v>
      </c>
      <c r="D68" s="94" t="str">
        <f>Data!$C$9</f>
        <v>£m 18/19</v>
      </c>
      <c r="E68" s="235">
        <f>E65-E67</f>
        <v>0.14316634310841625</v>
      </c>
      <c r="F68" s="235">
        <f t="shared" ref="F68:I68" si="9">F65-F67</f>
        <v>0.15912282673068656</v>
      </c>
      <c r="G68" s="235">
        <f t="shared" si="9"/>
        <v>-0.14569308979201434</v>
      </c>
      <c r="H68" s="235">
        <f t="shared" si="9"/>
        <v>-0.10091556857987927</v>
      </c>
      <c r="I68" s="235">
        <f t="shared" si="9"/>
        <v>-6.2480000663669433E-3</v>
      </c>
    </row>
  </sheetData>
  <mergeCells count="1">
    <mergeCell ref="B9:I9"/>
  </mergeCells>
  <phoneticPr fontId="251" type="noConversion"/>
  <conditionalFormatting sqref="E7:I7">
    <cfRule type="expression" dxfId="36" priority="15">
      <formula>AND(E$5="Actuals",F$5="Forecast")</formula>
    </cfRule>
  </conditionalFormatting>
  <conditionalFormatting sqref="E21:I30">
    <cfRule type="expression" dxfId="35" priority="13">
      <formula>E$5="Forecast"</formula>
    </cfRule>
  </conditionalFormatting>
  <conditionalFormatting sqref="E11:I11">
    <cfRule type="expression" dxfId="34" priority="10">
      <formula>E$5="Forecast"</formula>
    </cfRule>
  </conditionalFormatting>
  <conditionalFormatting sqref="E14:I17">
    <cfRule type="expression" dxfId="33" priority="7">
      <formula>E$5="Forecast"</formula>
    </cfRule>
  </conditionalFormatting>
  <pageMargins left="0.70866141732283472" right="0.70866141732283472" top="0.74803149606299213" bottom="0.74803149606299213" header="0.31496062992125984" footer="0.31496062992125984"/>
  <pageSetup paperSize="8" orientation="landscape" r:id="rId1"/>
  <customProperties>
    <customPr name="_pios_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54B1-505F-4D02-868C-C77F2B703BD0}">
  <sheetPr>
    <tabColor rgb="FFFFFFCC"/>
    <pageSetUpPr fitToPage="1"/>
  </sheetPr>
  <dimension ref="A1:W101"/>
  <sheetViews>
    <sheetView showGridLines="0" view="pageBreakPreview" zoomScale="85" zoomScaleNormal="85" zoomScaleSheetLayoutView="85" workbookViewId="0">
      <pane xSplit="2" ySplit="9" topLeftCell="C10" activePane="bottomRight" state="frozen"/>
      <selection pane="topRight" activeCell="B27" sqref="B27"/>
      <selection pane="bottomLeft" activeCell="B27" sqref="B27"/>
      <selection pane="bottomRight" activeCell="H84" sqref="H84:I85"/>
    </sheetView>
  </sheetViews>
  <sheetFormatPr defaultColWidth="9.234375" defaultRowHeight="14.25"/>
  <cols>
    <col min="1" max="1" width="27" style="672" customWidth="1"/>
    <col min="2" max="2" width="51.234375" style="672" customWidth="1"/>
    <col min="3" max="3" width="14.1171875" style="672" customWidth="1"/>
    <col min="4" max="5" width="16.234375" style="672" customWidth="1"/>
    <col min="6" max="6" width="3.76171875" style="672" customWidth="1"/>
    <col min="7" max="7" width="48.87890625" style="672" customWidth="1"/>
    <col min="8" max="9" width="15.64453125" style="672" customWidth="1"/>
    <col min="10" max="10" width="3.234375" style="672" customWidth="1"/>
    <col min="11" max="11" width="17.46875" style="672" customWidth="1"/>
    <col min="12" max="12" width="3.1171875" style="672" customWidth="1"/>
    <col min="13" max="13" width="56.234375" style="672" customWidth="1"/>
    <col min="14" max="14" width="2.234375" style="672" customWidth="1"/>
    <col min="15" max="16384" width="9.234375" style="672"/>
  </cols>
  <sheetData>
    <row r="1" spans="1:13" ht="20.65">
      <c r="A1" s="776" t="s">
        <v>543</v>
      </c>
      <c r="B1" s="776"/>
      <c r="C1" s="288"/>
      <c r="D1" s="288"/>
      <c r="E1" s="288"/>
      <c r="F1" s="671"/>
      <c r="G1" s="288"/>
      <c r="H1" s="288"/>
      <c r="I1" s="768"/>
      <c r="K1" s="288"/>
      <c r="L1" s="671"/>
      <c r="M1" s="288"/>
    </row>
    <row r="2" spans="1:13" ht="20.65">
      <c r="A2" s="288"/>
      <c r="B2" s="288"/>
      <c r="C2" s="288"/>
      <c r="D2" s="288"/>
      <c r="E2" s="288"/>
      <c r="F2" s="671"/>
      <c r="G2" s="288"/>
      <c r="H2" s="288"/>
      <c r="I2" s="769"/>
      <c r="K2" s="288"/>
      <c r="L2" s="671"/>
      <c r="M2" s="288"/>
    </row>
    <row r="3" spans="1:13" ht="20.65">
      <c r="A3" s="288" t="s">
        <v>544</v>
      </c>
      <c r="B3" s="288" t="str">
        <f>Licensee</f>
        <v>Cadent-WM</v>
      </c>
      <c r="C3" s="288"/>
      <c r="D3" s="288"/>
      <c r="E3" s="288"/>
      <c r="F3" s="671"/>
      <c r="G3" s="288"/>
      <c r="H3" s="288"/>
      <c r="I3" s="769"/>
      <c r="K3" s="288"/>
      <c r="L3" s="671"/>
      <c r="M3" s="288"/>
    </row>
    <row r="4" spans="1:13" ht="20.65">
      <c r="A4" s="288" t="s">
        <v>6</v>
      </c>
      <c r="B4" s="288" t="str">
        <f>Sector</f>
        <v>GD2</v>
      </c>
      <c r="C4" s="288"/>
      <c r="D4" s="288"/>
      <c r="E4" s="288"/>
      <c r="F4" s="671"/>
      <c r="G4" s="288"/>
      <c r="H4" s="288"/>
      <c r="I4" s="769"/>
      <c r="K4" s="288"/>
      <c r="L4" s="671"/>
      <c r="M4" s="288"/>
    </row>
    <row r="5" spans="1:13" ht="20.65">
      <c r="A5" s="288" t="s">
        <v>545</v>
      </c>
      <c r="B5" s="522">
        <f>INDEX(Data!$C$14:$N$14,MATCH($B$6,Data!$C$15:$N$15,0))</f>
        <v>44286</v>
      </c>
      <c r="C5" s="288"/>
      <c r="D5" s="288"/>
      <c r="E5" s="288"/>
      <c r="F5" s="671"/>
      <c r="G5" s="288"/>
      <c r="H5" s="288"/>
      <c r="I5" s="769"/>
      <c r="K5" s="288"/>
      <c r="L5" s="671"/>
      <c r="M5" s="288"/>
    </row>
    <row r="6" spans="1:13" ht="20.65">
      <c r="A6" s="288" t="s">
        <v>32</v>
      </c>
      <c r="B6" s="288">
        <f>Reporting_Year-1</f>
        <v>2021</v>
      </c>
      <c r="C6" s="288"/>
      <c r="D6" s="288"/>
      <c r="E6" s="288"/>
      <c r="F6" s="671"/>
      <c r="G6" s="288"/>
      <c r="H6" s="288"/>
      <c r="I6" s="769"/>
      <c r="K6" s="288"/>
      <c r="L6" s="671"/>
      <c r="M6" s="288"/>
    </row>
    <row r="7" spans="1:13" ht="28.5" customHeight="1">
      <c r="A7" s="867" t="s">
        <v>546</v>
      </c>
      <c r="B7" s="867"/>
      <c r="C7" s="288"/>
      <c r="D7" s="288"/>
      <c r="E7" s="288"/>
      <c r="F7" s="671"/>
      <c r="G7" s="288"/>
      <c r="H7" s="288"/>
      <c r="I7" s="770"/>
      <c r="K7" s="288"/>
      <c r="L7" s="671"/>
      <c r="M7" s="288"/>
    </row>
    <row r="8" spans="1:13" ht="86.25" customHeight="1">
      <c r="A8" s="868" t="s">
        <v>547</v>
      </c>
      <c r="B8" s="869"/>
      <c r="C8" s="863" t="s">
        <v>548</v>
      </c>
      <c r="D8" s="787" t="s">
        <v>549</v>
      </c>
      <c r="E8" s="787" t="s">
        <v>550</v>
      </c>
      <c r="F8" s="673"/>
      <c r="G8" s="872" t="s">
        <v>551</v>
      </c>
      <c r="H8" s="771" t="s">
        <v>552</v>
      </c>
      <c r="I8" s="771" t="s">
        <v>553</v>
      </c>
      <c r="J8" s="673"/>
      <c r="K8" s="771" t="s">
        <v>554</v>
      </c>
      <c r="L8" s="673"/>
      <c r="M8" s="863" t="s">
        <v>555</v>
      </c>
    </row>
    <row r="9" spans="1:13" ht="15.75" customHeight="1">
      <c r="A9" s="870"/>
      <c r="B9" s="871"/>
      <c r="C9" s="864"/>
      <c r="D9" s="674" t="s">
        <v>439</v>
      </c>
      <c r="E9" s="674" t="s">
        <v>439</v>
      </c>
      <c r="F9" s="675"/>
      <c r="G9" s="873"/>
      <c r="H9" s="674" t="s">
        <v>439</v>
      </c>
      <c r="I9" s="674" t="s">
        <v>439</v>
      </c>
      <c r="J9" s="675"/>
      <c r="K9" s="674" t="s">
        <v>439</v>
      </c>
      <c r="M9" s="864"/>
    </row>
    <row r="10" spans="1:13" ht="15.75" customHeight="1">
      <c r="A10" s="676"/>
      <c r="B10" s="676"/>
      <c r="C10" s="676"/>
      <c r="D10" s="675"/>
      <c r="E10" s="675"/>
      <c r="F10" s="675"/>
      <c r="G10" s="677"/>
      <c r="H10" s="675"/>
      <c r="I10" s="675"/>
      <c r="J10" s="675"/>
      <c r="K10" s="675"/>
      <c r="M10" s="676"/>
    </row>
    <row r="11" spans="1:13" ht="28.5">
      <c r="A11" s="676" t="s">
        <v>556</v>
      </c>
      <c r="B11" s="766" t="str">
        <f>IF(AND(D11="",E11=""),"No Filing Date",IF(AND(D11="",E11&lt;&gt;""),"Enter Original Filing Date",IF(AND(D11&lt;&gt;"",E11=""),"Original Filing","Re-filed")))</f>
        <v>Original Filing</v>
      </c>
      <c r="C11" s="676"/>
      <c r="D11" s="723">
        <v>44561</v>
      </c>
      <c r="E11" s="723"/>
      <c r="F11" s="675"/>
      <c r="G11" s="677"/>
      <c r="H11" s="675"/>
      <c r="I11" s="675"/>
      <c r="J11" s="675"/>
      <c r="M11" s="676"/>
    </row>
    <row r="12" spans="1:13" s="679" customFormat="1" ht="17.649999999999999" customHeight="1">
      <c r="A12" s="678"/>
    </row>
    <row r="13" spans="1:13" ht="15.4" customHeight="1">
      <c r="A13" s="865" t="s">
        <v>557</v>
      </c>
      <c r="B13" s="866"/>
      <c r="D13" s="680">
        <v>0.2</v>
      </c>
      <c r="E13" s="680">
        <v>0.2</v>
      </c>
      <c r="F13" s="681"/>
      <c r="G13" s="681"/>
      <c r="H13" s="680">
        <v>0.2</v>
      </c>
      <c r="I13" s="680">
        <v>0.2</v>
      </c>
      <c r="J13" s="682"/>
      <c r="K13" s="682"/>
    </row>
    <row r="14" spans="1:13" ht="15.4" customHeight="1">
      <c r="B14" s="683"/>
      <c r="D14" s="681"/>
      <c r="E14" s="681"/>
      <c r="F14" s="681"/>
      <c r="G14" s="681"/>
      <c r="H14" s="681"/>
      <c r="I14" s="681"/>
      <c r="J14" s="682"/>
      <c r="K14" s="682"/>
    </row>
    <row r="15" spans="1:13" ht="15.4" customHeight="1">
      <c r="A15" s="692"/>
      <c r="B15" s="692"/>
      <c r="C15" s="685"/>
      <c r="D15" s="689"/>
      <c r="E15" s="519"/>
      <c r="F15" s="519"/>
      <c r="G15" s="656"/>
      <c r="H15" s="519"/>
      <c r="I15" s="519"/>
      <c r="J15" s="686"/>
      <c r="K15" s="686"/>
      <c r="L15" s="738"/>
      <c r="M15" s="739"/>
    </row>
    <row r="16" spans="1:13" ht="15.4" customHeight="1">
      <c r="A16" s="788" t="s">
        <v>558</v>
      </c>
      <c r="B16" s="789"/>
      <c r="C16" s="685" t="s">
        <v>559</v>
      </c>
      <c r="D16" s="767">
        <f>IFERROR(0,INDEX('R2 - Rec to Revenue and Profit'!$E$58:$I$58,MATCH('R8a - Tax Reconciliation'!$B$6,'R2 - Rec to Revenue and Profit'!$E$6:$I$6,0)))</f>
        <v>0</v>
      </c>
      <c r="E16" s="517"/>
      <c r="F16" s="519"/>
      <c r="G16" s="656" t="str">
        <f>IF($B$4="ESO2", $B$4&amp; " " &amp;"PCFM - see Tax Allowance in 'System Operator' worksheet",  $B$4&amp; " " &amp;"PCFM - see Tax Allowance in 'Finance &amp;Tax' worksheet")</f>
        <v>GD2 PCFM - see Tax Allowance in 'Finance &amp;Tax' worksheet</v>
      </c>
      <c r="H16" s="624"/>
      <c r="I16" s="767">
        <f>1/(1-H$13)*H16</f>
        <v>0</v>
      </c>
      <c r="J16" s="686"/>
      <c r="K16" s="686"/>
      <c r="L16" s="738"/>
      <c r="M16" s="739"/>
    </row>
    <row r="17" spans="1:17" ht="15.4" customHeight="1">
      <c r="A17" s="855" t="s">
        <v>560</v>
      </c>
      <c r="B17" s="856"/>
      <c r="C17" s="685"/>
      <c r="D17" s="519"/>
      <c r="E17" s="519"/>
      <c r="F17" s="519"/>
      <c r="G17" s="656" t="str">
        <f t="shared" ref="G17:G20" si="0">IF($B$4="ESO2", $B$4&amp; " " &amp;"PCFM - see Tax Allowance in 'System Operator' worksheet",  $B$4&amp; " " &amp;"PCFM - see Tax Allowance in 'Finance &amp;Tax' worksheet")</f>
        <v>GD2 PCFM - see Tax Allowance in 'Finance &amp;Tax' worksheet</v>
      </c>
      <c r="H17" s="624"/>
      <c r="I17" s="767">
        <f t="shared" ref="I17:I20" si="1">1/(1-H$13)*H17</f>
        <v>0</v>
      </c>
      <c r="J17" s="686"/>
      <c r="K17" s="686"/>
      <c r="L17" s="738"/>
      <c r="M17" s="739"/>
    </row>
    <row r="18" spans="1:17" ht="15.4" customHeight="1">
      <c r="A18" s="718" t="s">
        <v>561</v>
      </c>
      <c r="B18" s="719"/>
      <c r="C18" s="685"/>
      <c r="D18" s="519"/>
      <c r="E18" s="519"/>
      <c r="F18" s="519"/>
      <c r="G18" s="656" t="str">
        <f t="shared" si="0"/>
        <v>GD2 PCFM - see Tax Allowance in 'Finance &amp;Tax' worksheet</v>
      </c>
      <c r="H18" s="624"/>
      <c r="I18" s="767">
        <f t="shared" si="1"/>
        <v>0</v>
      </c>
      <c r="J18" s="686"/>
      <c r="K18" s="686"/>
      <c r="L18" s="738"/>
      <c r="M18" s="739"/>
    </row>
    <row r="19" spans="1:17" s="685" customFormat="1">
      <c r="A19" s="718" t="s">
        <v>562</v>
      </c>
      <c r="B19" s="719"/>
      <c r="D19" s="519"/>
      <c r="E19" s="519"/>
      <c r="F19" s="519"/>
      <c r="G19" s="656" t="str">
        <f t="shared" si="0"/>
        <v>GD2 PCFM - see Tax Allowance in 'Finance &amp;Tax' worksheet</v>
      </c>
      <c r="H19" s="624"/>
      <c r="I19" s="767">
        <f t="shared" si="1"/>
        <v>0</v>
      </c>
      <c r="J19" s="686"/>
      <c r="K19" s="686"/>
      <c r="L19" s="738"/>
      <c r="M19" s="739"/>
      <c r="N19" s="790"/>
      <c r="O19" s="790"/>
      <c r="P19" s="790"/>
      <c r="Q19" s="790"/>
    </row>
    <row r="20" spans="1:17" s="685" customFormat="1">
      <c r="A20" s="718" t="s">
        <v>563</v>
      </c>
      <c r="B20" s="719"/>
      <c r="D20" s="519"/>
      <c r="E20" s="519"/>
      <c r="F20" s="519"/>
      <c r="G20" s="656" t="str">
        <f t="shared" si="0"/>
        <v>GD2 PCFM - see Tax Allowance in 'Finance &amp;Tax' worksheet</v>
      </c>
      <c r="H20" s="624"/>
      <c r="I20" s="767">
        <f t="shared" si="1"/>
        <v>0</v>
      </c>
      <c r="J20" s="686"/>
      <c r="K20" s="686"/>
      <c r="L20" s="738"/>
      <c r="M20" s="739"/>
      <c r="N20" s="790"/>
      <c r="O20" s="790"/>
      <c r="P20" s="790"/>
      <c r="Q20" s="790"/>
    </row>
    <row r="21" spans="1:17">
      <c r="A21" s="718" t="s">
        <v>564</v>
      </c>
      <c r="B21" s="719"/>
      <c r="C21" s="685" t="s">
        <v>559</v>
      </c>
      <c r="D21" s="517"/>
      <c r="E21" s="517"/>
      <c r="F21" s="519"/>
      <c r="G21" s="656"/>
      <c r="H21" s="519"/>
      <c r="I21" s="519"/>
      <c r="J21" s="686"/>
      <c r="K21" s="686"/>
      <c r="L21" s="738"/>
      <c r="M21" s="739"/>
    </row>
    <row r="22" spans="1:17">
      <c r="A22" s="718"/>
      <c r="B22" s="719"/>
      <c r="C22" s="685"/>
      <c r="D22" s="519"/>
      <c r="E22" s="519"/>
      <c r="F22" s="519"/>
      <c r="G22" s="656"/>
      <c r="H22" s="519"/>
      <c r="I22" s="519"/>
      <c r="J22" s="686"/>
      <c r="K22" s="686"/>
      <c r="L22" s="738"/>
      <c r="M22" s="739"/>
    </row>
    <row r="23" spans="1:17">
      <c r="A23" s="724" t="s">
        <v>565</v>
      </c>
      <c r="B23" s="725"/>
      <c r="C23" s="740" t="s">
        <v>559</v>
      </c>
      <c r="D23" s="726">
        <f>SUM(D16:D21)</f>
        <v>0</v>
      </c>
      <c r="E23" s="726">
        <f>SUM(E16:E21)</f>
        <v>0</v>
      </c>
      <c r="F23" s="519"/>
      <c r="G23" s="656"/>
      <c r="H23" s="726">
        <f>SUM(H16:H21)</f>
        <v>0</v>
      </c>
      <c r="I23" s="726">
        <f>SUM(I16:I21)</f>
        <v>0</v>
      </c>
      <c r="J23" s="686"/>
      <c r="K23" s="726">
        <f>IF(E$11&lt;&gt;"",IF(OR(B$11="No Filing Date","Enter Filing Date",E$11&lt;D$11),"Error in Filing Date",IF('R8a - Tax Reconciliation'!B$11="Original Filing",D23-I23,E23-I23)),IF(OR(B$11="No Filing Date","Enter Filing Date"),"Error in Filing Date",IF('R8a - Tax Reconciliation'!B$11="Original Filing",D23-I23,E23-I23)))</f>
        <v>0</v>
      </c>
      <c r="L23" s="738"/>
      <c r="M23" s="739"/>
    </row>
    <row r="24" spans="1:17">
      <c r="A24" s="727"/>
      <c r="B24" s="719"/>
      <c r="C24" s="685"/>
      <c r="D24" s="728"/>
      <c r="E24" s="728"/>
      <c r="F24" s="519"/>
      <c r="G24" s="656"/>
      <c r="H24" s="728"/>
      <c r="I24" s="743"/>
      <c r="J24" s="686"/>
      <c r="K24" s="728"/>
      <c r="L24" s="738"/>
      <c r="M24" s="739"/>
    </row>
    <row r="25" spans="1:17">
      <c r="A25" s="711" t="s">
        <v>566</v>
      </c>
      <c r="B25" s="719"/>
      <c r="C25" s="685" t="s">
        <v>559</v>
      </c>
      <c r="D25" s="517"/>
      <c r="E25" s="517"/>
      <c r="F25" s="519"/>
      <c r="G25" s="656" t="str">
        <f t="shared" ref="G25:G26" si="2">IF($B$4="ESO2", $B$4&amp; " " &amp;"PCFM - see Tax Allowance in 'System Operator' worksheet",  $B$4&amp; " " &amp;"PCFM - see Tax Allowance in 'Finance &amp;Tax' worksheet")</f>
        <v>GD2 PCFM - see Tax Allowance in 'Finance &amp;Tax' worksheet</v>
      </c>
      <c r="H25" s="624"/>
      <c r="I25" s="767">
        <f t="shared" ref="I25:I26" si="3">1/(1-H$13)*H25</f>
        <v>0</v>
      </c>
      <c r="J25" s="686"/>
      <c r="K25" s="765">
        <f>IF(E$11&lt;&gt;"",IF(OR(B$11="No Filing Date","Enter Filing Date",E$11&lt;D$11),"Error in Filing Date",IF('R8a - Tax Reconciliation'!B$11="Original Filing",D25-I25,E25-I25)),IF(OR(B$11="No Filing Date","Enter Filing Date"),"Error in Filing Date",IF('R8a - Tax Reconciliation'!B$11="Original Filing",D25-I25,E25-I25)))</f>
        <v>0</v>
      </c>
      <c r="L25" s="738"/>
      <c r="M25" s="739"/>
      <c r="N25" s="790"/>
      <c r="O25" s="790"/>
      <c r="P25" s="790"/>
    </row>
    <row r="26" spans="1:17">
      <c r="A26" s="711" t="s">
        <v>567</v>
      </c>
      <c r="B26" s="719"/>
      <c r="C26" s="685" t="s">
        <v>559</v>
      </c>
      <c r="D26" s="517"/>
      <c r="E26" s="517"/>
      <c r="F26" s="519"/>
      <c r="G26" s="656" t="str">
        <f t="shared" si="2"/>
        <v>GD2 PCFM - see Tax Allowance in 'Finance &amp;Tax' worksheet</v>
      </c>
      <c r="H26" s="624"/>
      <c r="I26" s="767">
        <f t="shared" si="3"/>
        <v>0</v>
      </c>
      <c r="J26" s="686"/>
      <c r="K26" s="765">
        <f>IF(E$11&lt;&gt;"",IF(OR(B$11="No Filing Date","Enter Filing Date",E$11&lt;D$11),"Error in Filing Date",IF('R8a - Tax Reconciliation'!B$11="Original Filing",D26-I26,E26-I26)),IF(OR(B$11="No Filing Date","Enter Filing Date"),"Error in Filing Date",IF('R8a - Tax Reconciliation'!B$11="Original Filing",D26-I26,E26-I26)))</f>
        <v>0</v>
      </c>
      <c r="L26" s="738"/>
      <c r="M26" s="739"/>
      <c r="N26" s="790"/>
      <c r="O26" s="790"/>
      <c r="P26" s="790"/>
    </row>
    <row r="27" spans="1:17">
      <c r="A27" s="855" t="s">
        <v>568</v>
      </c>
      <c r="B27" s="856"/>
      <c r="C27" s="685" t="s">
        <v>559</v>
      </c>
      <c r="D27" s="517"/>
      <c r="E27" s="517"/>
      <c r="F27" s="519"/>
      <c r="G27" s="656"/>
      <c r="H27" s="519"/>
      <c r="I27" s="519"/>
      <c r="J27" s="686"/>
      <c r="K27" s="686"/>
      <c r="L27" s="738"/>
      <c r="M27" s="739"/>
      <c r="N27" s="790"/>
      <c r="O27" s="790"/>
      <c r="P27" s="790"/>
    </row>
    <row r="28" spans="1:17">
      <c r="A28" s="855" t="s">
        <v>569</v>
      </c>
      <c r="B28" s="856"/>
      <c r="C28" s="685" t="s">
        <v>559</v>
      </c>
      <c r="D28" s="517"/>
      <c r="E28" s="517"/>
      <c r="F28" s="519"/>
      <c r="G28" s="656"/>
      <c r="H28" s="519"/>
      <c r="I28" s="519"/>
      <c r="J28" s="686"/>
      <c r="K28" s="686"/>
      <c r="L28" s="738"/>
      <c r="M28" s="739"/>
      <c r="N28" s="790"/>
      <c r="O28" s="790"/>
      <c r="P28" s="790"/>
    </row>
    <row r="29" spans="1:17">
      <c r="A29" s="718" t="s">
        <v>570</v>
      </c>
      <c r="B29" s="719"/>
      <c r="C29" s="685" t="s">
        <v>559</v>
      </c>
      <c r="D29" s="517"/>
      <c r="E29" s="517"/>
      <c r="F29" s="519"/>
      <c r="G29" s="656"/>
      <c r="H29" s="519"/>
      <c r="I29" s="519"/>
      <c r="J29" s="686"/>
      <c r="K29" s="686"/>
      <c r="L29" s="738"/>
      <c r="M29" s="739"/>
      <c r="N29" s="790"/>
      <c r="O29" s="790"/>
      <c r="P29" s="790"/>
    </row>
    <row r="30" spans="1:17">
      <c r="A30" s="718" t="s">
        <v>571</v>
      </c>
      <c r="B30" s="719"/>
      <c r="C30" s="685" t="s">
        <v>559</v>
      </c>
      <c r="D30" s="517"/>
      <c r="E30" s="517"/>
      <c r="F30" s="519"/>
      <c r="G30" s="656"/>
      <c r="H30" s="519"/>
      <c r="I30" s="519"/>
      <c r="J30" s="686"/>
      <c r="K30" s="686"/>
      <c r="L30" s="738"/>
      <c r="M30" s="739"/>
      <c r="N30" s="790"/>
      <c r="O30" s="790"/>
      <c r="P30" s="790"/>
    </row>
    <row r="31" spans="1:17">
      <c r="A31" s="718"/>
      <c r="B31" s="719"/>
      <c r="C31" s="685"/>
      <c r="D31" s="689"/>
      <c r="E31" s="689"/>
      <c r="F31" s="519"/>
      <c r="G31" s="656"/>
      <c r="H31" s="519"/>
      <c r="I31" s="519"/>
      <c r="J31" s="686"/>
      <c r="K31" s="686"/>
      <c r="L31" s="738"/>
      <c r="M31" s="739"/>
      <c r="N31" s="790"/>
      <c r="O31" s="790"/>
      <c r="P31" s="790"/>
    </row>
    <row r="32" spans="1:17">
      <c r="A32" s="729" t="s">
        <v>572</v>
      </c>
      <c r="B32" s="725"/>
      <c r="C32" s="740" t="s">
        <v>559</v>
      </c>
      <c r="D32" s="726">
        <f>SUM(D23:D31)</f>
        <v>0</v>
      </c>
      <c r="E32" s="726">
        <f>SUM(E23:E31)</f>
        <v>0</v>
      </c>
      <c r="F32" s="519"/>
      <c r="G32" s="741" t="s">
        <v>573</v>
      </c>
      <c r="H32" s="726">
        <f>SUM(H23:H31)</f>
        <v>0</v>
      </c>
      <c r="I32" s="726">
        <f>SUM(I23:I31)</f>
        <v>0</v>
      </c>
      <c r="J32" s="686"/>
      <c r="K32" s="726">
        <f>IF(E$11&lt;&gt;"",IF(OR(B$11="No Filing Date","Enter Filing Date",E$11&lt;D$11),"Error in Filing Date",IF('R8a - Tax Reconciliation'!B$11="Original Filing",D32-I32,E32-I32)),IF(OR(B$11="No Filing Date","Enter Filing Date"),"Error in Filing Date",IF('R8a - Tax Reconciliation'!B$11="Original Filing",D32-I32,E32-I32)))</f>
        <v>0</v>
      </c>
      <c r="L32" s="738"/>
      <c r="M32" s="742"/>
    </row>
    <row r="33" spans="1:17">
      <c r="A33" s="730"/>
      <c r="B33" s="692"/>
      <c r="C33" s="685"/>
      <c r="D33" s="686"/>
      <c r="E33" s="686"/>
      <c r="F33" s="519"/>
      <c r="G33" s="656"/>
      <c r="J33" s="686"/>
      <c r="K33" s="743"/>
      <c r="L33" s="738"/>
      <c r="M33" s="739"/>
      <c r="N33" s="791"/>
      <c r="O33" s="791"/>
      <c r="P33" s="791"/>
    </row>
    <row r="34" spans="1:17">
      <c r="A34" s="792" t="s">
        <v>574</v>
      </c>
      <c r="B34" s="789"/>
      <c r="C34" s="685"/>
      <c r="D34" s="689"/>
      <c r="E34" s="689"/>
      <c r="F34" s="519"/>
      <c r="G34" s="656"/>
      <c r="H34" s="519"/>
      <c r="I34" s="519"/>
      <c r="J34" s="686"/>
      <c r="K34" s="686"/>
      <c r="L34" s="738"/>
      <c r="M34" s="739"/>
      <c r="N34" s="790"/>
      <c r="O34" s="790"/>
      <c r="P34" s="790"/>
    </row>
    <row r="35" spans="1:17">
      <c r="A35" s="718"/>
      <c r="B35" s="719"/>
      <c r="C35" s="685"/>
      <c r="D35" s="689"/>
      <c r="E35" s="689"/>
      <c r="F35" s="519"/>
      <c r="G35" s="656"/>
      <c r="H35" s="519"/>
      <c r="I35" s="519"/>
      <c r="J35" s="686"/>
      <c r="K35" s="686"/>
      <c r="L35" s="738"/>
      <c r="M35" s="739"/>
      <c r="N35" s="790"/>
      <c r="O35" s="790"/>
      <c r="P35" s="790"/>
    </row>
    <row r="36" spans="1:17">
      <c r="A36" s="853" t="s">
        <v>575</v>
      </c>
      <c r="B36" s="854"/>
      <c r="D36" s="687"/>
      <c r="E36" s="687"/>
      <c r="F36" s="687"/>
      <c r="G36" s="690"/>
      <c r="H36" s="687"/>
      <c r="I36" s="687"/>
      <c r="J36" s="687"/>
      <c r="K36" s="687"/>
      <c r="L36" s="744"/>
      <c r="M36" s="745"/>
      <c r="N36" s="740"/>
      <c r="O36" s="740"/>
      <c r="P36" s="740"/>
      <c r="Q36" s="740"/>
    </row>
    <row r="37" spans="1:17">
      <c r="A37" s="855" t="s">
        <v>576</v>
      </c>
      <c r="B37" s="856"/>
      <c r="C37" s="685" t="s">
        <v>559</v>
      </c>
      <c r="D37" s="517"/>
      <c r="E37" s="517"/>
      <c r="F37" s="519"/>
      <c r="G37" s="656"/>
      <c r="H37" s="519"/>
      <c r="I37" s="519"/>
      <c r="J37" s="686"/>
      <c r="K37" s="519"/>
      <c r="L37" s="519"/>
      <c r="M37" s="519"/>
      <c r="N37" s="740"/>
      <c r="O37" s="740"/>
      <c r="P37" s="740"/>
      <c r="Q37" s="740"/>
    </row>
    <row r="38" spans="1:17">
      <c r="A38" s="746"/>
      <c r="B38" s="691"/>
      <c r="D38" s="687"/>
      <c r="E38" s="687"/>
      <c r="F38" s="687"/>
      <c r="G38" s="690"/>
      <c r="H38" s="687"/>
      <c r="I38" s="687"/>
      <c r="J38" s="687"/>
      <c r="K38" s="519"/>
      <c r="L38" s="519"/>
      <c r="M38" s="519"/>
      <c r="N38" s="740"/>
      <c r="O38" s="740"/>
      <c r="P38" s="740"/>
      <c r="Q38" s="740"/>
    </row>
    <row r="39" spans="1:17" s="685" customFormat="1">
      <c r="A39" s="853" t="s">
        <v>577</v>
      </c>
      <c r="B39" s="854"/>
      <c r="C39" s="672"/>
      <c r="D39" s="687"/>
      <c r="E39" s="687"/>
      <c r="F39" s="687"/>
      <c r="G39" s="690"/>
      <c r="H39" s="687"/>
      <c r="I39" s="687"/>
      <c r="J39" s="687"/>
      <c r="K39" s="519"/>
      <c r="L39" s="519"/>
      <c r="M39" s="519"/>
    </row>
    <row r="40" spans="1:17" s="685" customFormat="1">
      <c r="A40" s="855" t="s">
        <v>576</v>
      </c>
      <c r="B40" s="856"/>
      <c r="C40" s="685" t="s">
        <v>559</v>
      </c>
      <c r="D40" s="517"/>
      <c r="E40" s="517"/>
      <c r="F40" s="519"/>
      <c r="G40" s="656"/>
      <c r="H40" s="519"/>
      <c r="I40" s="519"/>
      <c r="J40" s="686"/>
      <c r="K40" s="519"/>
      <c r="L40" s="519"/>
      <c r="M40" s="519"/>
    </row>
    <row r="41" spans="1:17">
      <c r="A41" s="746"/>
      <c r="B41" s="747"/>
      <c r="D41" s="687"/>
      <c r="E41" s="687"/>
      <c r="F41" s="687"/>
      <c r="G41" s="690"/>
      <c r="H41" s="687"/>
      <c r="I41" s="687"/>
      <c r="J41" s="687"/>
      <c r="K41" s="519"/>
      <c r="L41" s="519"/>
      <c r="M41" s="519"/>
      <c r="N41" s="740"/>
      <c r="O41" s="740"/>
      <c r="P41" s="740"/>
      <c r="Q41" s="740"/>
    </row>
    <row r="42" spans="1:17">
      <c r="A42" s="853" t="s">
        <v>578</v>
      </c>
      <c r="B42" s="854"/>
      <c r="D42" s="687"/>
      <c r="E42" s="687"/>
      <c r="F42" s="687"/>
      <c r="G42" s="690"/>
      <c r="H42" s="687"/>
      <c r="I42" s="687"/>
      <c r="J42" s="687"/>
      <c r="K42" s="519"/>
      <c r="L42" s="519"/>
      <c r="M42" s="519"/>
      <c r="N42" s="740"/>
      <c r="O42" s="740"/>
      <c r="P42" s="740"/>
      <c r="Q42" s="740"/>
    </row>
    <row r="43" spans="1:17" s="685" customFormat="1">
      <c r="A43" s="857" t="s">
        <v>576</v>
      </c>
      <c r="B43" s="858"/>
      <c r="C43" s="685" t="s">
        <v>559</v>
      </c>
      <c r="D43" s="517"/>
      <c r="E43" s="517"/>
      <c r="F43" s="519"/>
      <c r="G43" s="656"/>
      <c r="H43" s="519"/>
      <c r="I43" s="519"/>
      <c r="J43" s="686"/>
      <c r="K43" s="519"/>
      <c r="L43" s="519"/>
      <c r="M43" s="519"/>
    </row>
    <row r="44" spans="1:17" s="685" customFormat="1">
      <c r="A44" s="692"/>
      <c r="B44" s="692"/>
      <c r="D44" s="519"/>
      <c r="E44" s="519"/>
      <c r="F44" s="519"/>
      <c r="G44" s="656"/>
      <c r="H44" s="519"/>
      <c r="I44" s="519"/>
      <c r="J44" s="686"/>
      <c r="K44" s="686"/>
      <c r="L44" s="738"/>
      <c r="M44" s="739"/>
      <c r="N44" s="790"/>
      <c r="O44" s="790"/>
      <c r="P44" s="790"/>
      <c r="Q44" s="790"/>
    </row>
    <row r="45" spans="1:17" s="685" customFormat="1">
      <c r="A45" s="729" t="s">
        <v>579</v>
      </c>
      <c r="B45" s="725"/>
      <c r="C45" s="740" t="s">
        <v>559</v>
      </c>
      <c r="D45" s="726">
        <f>SUM(D32:D44)</f>
        <v>0</v>
      </c>
      <c r="E45" s="726">
        <f>SUM(E32:E44)</f>
        <v>0</v>
      </c>
      <c r="F45" s="519"/>
      <c r="G45" s="656"/>
      <c r="H45" s="726">
        <f>SUM(H32:H44)</f>
        <v>0</v>
      </c>
      <c r="I45" s="726">
        <f>SUM(I32:I44)</f>
        <v>0</v>
      </c>
      <c r="J45" s="686"/>
      <c r="K45" s="726">
        <f>IF(E$11&lt;&gt;"",IF(OR(B$11="No Filing Date","Enter Filing Date",E$11&lt;D$11),"Error in Filing Date",IF('R8a - Tax Reconciliation'!B$11="Original Filing",D45-I45,E45-I45)),IF(OR(B$11="No Filing Date","Enter Filing Date"),"Error in Filing Date",IF('R8a - Tax Reconciliation'!B$11="Original Filing",D45-I45,E45-I45)))</f>
        <v>0</v>
      </c>
      <c r="L45" s="738"/>
      <c r="M45" s="742"/>
      <c r="N45" s="790"/>
      <c r="O45" s="790"/>
      <c r="P45" s="790"/>
      <c r="Q45" s="790"/>
    </row>
    <row r="46" spans="1:17" s="685" customFormat="1">
      <c r="A46" s="693"/>
      <c r="B46" s="693"/>
      <c r="C46" s="672"/>
      <c r="D46" s="515"/>
      <c r="E46" s="515"/>
      <c r="F46" s="515"/>
      <c r="G46" s="657"/>
      <c r="H46" s="515"/>
      <c r="I46" s="515"/>
      <c r="J46" s="687"/>
      <c r="K46" s="687"/>
      <c r="L46" s="744"/>
      <c r="M46" s="745"/>
      <c r="N46" s="790"/>
      <c r="O46" s="790"/>
      <c r="P46" s="790"/>
      <c r="Q46" s="790"/>
    </row>
    <row r="47" spans="1:17" s="685" customFormat="1">
      <c r="A47" s="793" t="s">
        <v>580</v>
      </c>
      <c r="B47" s="794"/>
      <c r="C47" s="672"/>
      <c r="D47" s="515"/>
      <c r="E47" s="515"/>
      <c r="F47" s="515"/>
      <c r="G47" s="657"/>
      <c r="H47" s="515"/>
      <c r="I47" s="515"/>
      <c r="J47" s="687"/>
      <c r="K47" s="687"/>
      <c r="L47" s="744"/>
      <c r="M47" s="745"/>
      <c r="N47" s="790"/>
      <c r="O47" s="790"/>
      <c r="P47" s="790"/>
      <c r="Q47" s="790"/>
    </row>
    <row r="48" spans="1:17" s="685" customFormat="1">
      <c r="A48" s="694"/>
      <c r="B48" s="695"/>
      <c r="C48" s="672"/>
      <c r="D48" s="515"/>
      <c r="E48" s="515"/>
      <c r="F48" s="515"/>
      <c r="G48" s="657"/>
      <c r="H48" s="515"/>
      <c r="I48" s="515"/>
      <c r="J48" s="687"/>
      <c r="K48" s="687"/>
      <c r="L48" s="744"/>
      <c r="M48" s="745"/>
      <c r="N48" s="790"/>
      <c r="O48" s="790"/>
      <c r="P48" s="790"/>
      <c r="Q48" s="790"/>
    </row>
    <row r="49" spans="1:23" s="685" customFormat="1">
      <c r="A49" s="720" t="s">
        <v>581</v>
      </c>
      <c r="B49" s="695"/>
      <c r="C49" s="672"/>
      <c r="D49" s="515"/>
      <c r="E49" s="515"/>
      <c r="F49" s="515"/>
      <c r="G49" s="657"/>
      <c r="H49" s="515"/>
      <c r="I49" s="515"/>
      <c r="J49" s="687"/>
      <c r="K49" s="687"/>
      <c r="L49" s="744"/>
      <c r="M49" s="745"/>
      <c r="N49" s="790"/>
      <c r="O49" s="790"/>
      <c r="P49" s="790"/>
      <c r="Q49" s="790"/>
    </row>
    <row r="50" spans="1:23" s="685" customFormat="1">
      <c r="A50" s="718" t="s">
        <v>582</v>
      </c>
      <c r="B50" s="719"/>
      <c r="C50" s="685" t="s">
        <v>559</v>
      </c>
      <c r="D50" s="517"/>
      <c r="E50" s="517"/>
      <c r="F50" s="519"/>
      <c r="G50" s="656"/>
      <c r="H50" s="517"/>
      <c r="I50" s="767">
        <f t="shared" ref="I50:I62" si="4">1/(1-H$13)*H50</f>
        <v>0</v>
      </c>
      <c r="J50" s="686"/>
      <c r="K50" s="765">
        <f>IF(E$11&lt;&gt;"",IF(OR(B$11="No Filing Date","Enter Filing Date",E$11&lt;D$11),"Error in Filing Date",IF('R8a - Tax Reconciliation'!B$11="Original Filing",D50-I50,E50-I50)),IF(OR(B$11="No Filing Date","Enter Filing Date"),"Error in Filing Date",IF('R8a - Tax Reconciliation'!B$11="Original Filing",D50-I50,E50-I50)))</f>
        <v>0</v>
      </c>
      <c r="L50" s="738"/>
      <c r="M50" s="748"/>
    </row>
    <row r="51" spans="1:23" s="685" customFormat="1">
      <c r="A51" s="718" t="s">
        <v>583</v>
      </c>
      <c r="B51" s="719"/>
      <c r="C51" s="685" t="s">
        <v>559</v>
      </c>
      <c r="D51" s="517"/>
      <c r="E51" s="517"/>
      <c r="F51" s="519"/>
      <c r="G51" s="656"/>
      <c r="H51" s="517"/>
      <c r="I51" s="767">
        <f t="shared" si="4"/>
        <v>0</v>
      </c>
      <c r="J51" s="686"/>
      <c r="K51" s="765">
        <f>IF(E$11&lt;&gt;"",IF(OR(B$11="No Filing Date","Enter Filing Date",E$11&lt;D$11),"Error in Filing Date",IF('R8a - Tax Reconciliation'!B$11="Original Filing",D51-I51,E51-I51)),IF(OR(B$11="No Filing Date","Enter Filing Date"),"Error in Filing Date",IF('R8a - Tax Reconciliation'!B$11="Original Filing",D51-I51,E51-I51)))</f>
        <v>0</v>
      </c>
      <c r="L51" s="738"/>
      <c r="M51" s="748"/>
      <c r="N51" s="790"/>
      <c r="O51" s="790"/>
      <c r="P51" s="790"/>
      <c r="Q51" s="790"/>
    </row>
    <row r="52" spans="1:23" s="685" customFormat="1">
      <c r="A52" s="718" t="s">
        <v>584</v>
      </c>
      <c r="B52" s="719"/>
      <c r="C52" s="685" t="s">
        <v>559</v>
      </c>
      <c r="D52" s="517"/>
      <c r="E52" s="517"/>
      <c r="F52" s="519"/>
      <c r="G52" s="656"/>
      <c r="H52" s="517"/>
      <c r="I52" s="767">
        <f t="shared" si="4"/>
        <v>0</v>
      </c>
      <c r="J52" s="686"/>
      <c r="K52" s="765">
        <f>IF(E$11&lt;&gt;"",IF(OR(B$11="No Filing Date","Enter Filing Date",E$11&lt;D$11),"Error in Filing Date",IF('R8a - Tax Reconciliation'!B$11="Original Filing",D52-I52,E52-I52)),IF(OR(B$11="No Filing Date","Enter Filing Date"),"Error in Filing Date",IF('R8a - Tax Reconciliation'!B$11="Original Filing",D52-I52,E52-I52)))</f>
        <v>0</v>
      </c>
      <c r="L52" s="738"/>
      <c r="M52" s="748"/>
    </row>
    <row r="53" spans="1:23">
      <c r="A53" s="718" t="s">
        <v>571</v>
      </c>
      <c r="B53" s="719"/>
      <c r="C53" s="685" t="s">
        <v>559</v>
      </c>
      <c r="D53" s="517"/>
      <c r="E53" s="517"/>
      <c r="F53" s="519"/>
      <c r="G53" s="656"/>
      <c r="H53" s="517"/>
      <c r="I53" s="767">
        <f t="shared" si="4"/>
        <v>0</v>
      </c>
      <c r="J53" s="686"/>
      <c r="K53" s="765">
        <f>IF(E$11&lt;&gt;"",IF(OR(B$11="No Filing Date","Enter Filing Date",E$11&lt;D$11),"Error in Filing Date",IF('R8a - Tax Reconciliation'!B$11="Original Filing",D53-I53,E53-I53)),IF(OR(B$11="No Filing Date","Enter Filing Date"),"Error in Filing Date",IF('R8a - Tax Reconciliation'!B$11="Original Filing",D53-I53,E53-I53)))</f>
        <v>0</v>
      </c>
      <c r="L53" s="738"/>
      <c r="M53" s="748"/>
      <c r="N53" s="740"/>
      <c r="O53" s="740"/>
      <c r="P53" s="740"/>
      <c r="Q53" s="740"/>
    </row>
    <row r="54" spans="1:23">
      <c r="A54" s="696" t="s">
        <v>585</v>
      </c>
      <c r="B54" s="749"/>
      <c r="C54" s="685" t="s">
        <v>559</v>
      </c>
      <c r="D54" s="517"/>
      <c r="E54" s="517"/>
      <c r="F54" s="519"/>
      <c r="G54" s="656"/>
      <c r="H54" s="517"/>
      <c r="I54" s="767">
        <f t="shared" si="4"/>
        <v>0</v>
      </c>
      <c r="J54" s="686"/>
      <c r="K54" s="765">
        <f>IF(E$11&lt;&gt;"",IF(OR(B$11="No Filing Date","Enter Filing Date",E$11&lt;D$11),"Error in Filing Date",IF('R8a - Tax Reconciliation'!B$11="Original Filing",D54-I54,E54-I54)),IF(OR(B$11="No Filing Date","Enter Filing Date"),"Error in Filing Date",IF('R8a - Tax Reconciliation'!B$11="Original Filing",D54-I54,E54-I54)))</f>
        <v>0</v>
      </c>
      <c r="L54" s="685"/>
      <c r="M54" s="748"/>
    </row>
    <row r="55" spans="1:23">
      <c r="A55" s="855" t="s">
        <v>586</v>
      </c>
      <c r="B55" s="856"/>
      <c r="C55" s="685" t="s">
        <v>559</v>
      </c>
      <c r="D55" s="517"/>
      <c r="E55" s="517"/>
      <c r="F55" s="518"/>
      <c r="G55" s="656"/>
      <c r="H55" s="517"/>
      <c r="I55" s="767">
        <f t="shared" si="4"/>
        <v>0</v>
      </c>
      <c r="J55" s="750"/>
      <c r="K55" s="765">
        <f>IF(E$11&lt;&gt;"",IF(OR(B$11="No Filing Date","Enter Filing Date",E$11&lt;D$11),"Error in Filing Date",IF('R8a - Tax Reconciliation'!B$11="Original Filing",D55-I55,E55-I55)),IF(OR(B$11="No Filing Date","Enter Filing Date"),"Error in Filing Date",IF('R8a - Tax Reconciliation'!B$11="Original Filing",D55-I55,E55-I55)))</f>
        <v>0</v>
      </c>
      <c r="L55" s="738"/>
      <c r="M55" s="748"/>
    </row>
    <row r="56" spans="1:23">
      <c r="A56" s="697" t="s">
        <v>587</v>
      </c>
      <c r="B56" s="749"/>
      <c r="C56" s="685" t="s">
        <v>559</v>
      </c>
      <c r="D56" s="517"/>
      <c r="E56" s="517"/>
      <c r="F56" s="686"/>
      <c r="G56" s="656" t="str">
        <f t="shared" ref="G56" si="5">IF($B$4="ESO2", $B$4&amp; " " &amp;"PCFM - see Tax Allowance in 'System Operator' worksheet",  $B$4&amp; " " &amp;"PCFM - see Tax Allowance in 'Finance &amp;Tax' worksheet")</f>
        <v>GD2 PCFM - see Tax Allowance in 'Finance &amp;Tax' worksheet</v>
      </c>
      <c r="H56" s="624"/>
      <c r="I56" s="767">
        <f t="shared" si="4"/>
        <v>0</v>
      </c>
      <c r="J56" s="751"/>
      <c r="K56" s="765">
        <f>IF(E$11&lt;&gt;"",IF(OR(B$11="No Filing Date","Enter Filing Date",E$11&lt;D$11),"Error in Filing Date",IF('R8a - Tax Reconciliation'!B$11="Original Filing",D56-I56,E56-I56)),IF(OR(B$11="No Filing Date","Enter Filing Date"),"Error in Filing Date",IF('R8a - Tax Reconciliation'!B$11="Original Filing",D56-I56,E56-I56)))</f>
        <v>0</v>
      </c>
      <c r="L56" s="738"/>
      <c r="M56" s="748"/>
    </row>
    <row r="57" spans="1:23">
      <c r="A57" s="718" t="s">
        <v>588</v>
      </c>
      <c r="B57" s="719"/>
      <c r="C57" s="685" t="s">
        <v>559</v>
      </c>
      <c r="D57" s="517"/>
      <c r="E57" s="517"/>
      <c r="F57" s="519"/>
      <c r="G57" s="656"/>
      <c r="H57" s="517"/>
      <c r="I57" s="767">
        <f t="shared" si="4"/>
        <v>0</v>
      </c>
      <c r="J57" s="686"/>
      <c r="K57" s="765">
        <f>IF(E$11&lt;&gt;"",IF(OR(B$11="No Filing Date","Enter Filing Date",E$11&lt;D$11),"Error in Filing Date",IF('R8a - Tax Reconciliation'!B$11="Original Filing",D57-I57,E57-I57)),IF(OR(B$11="No Filing Date","Enter Filing Date"),"Error in Filing Date",IF('R8a - Tax Reconciliation'!B$11="Original Filing",D57-I57,E57-I57)))</f>
        <v>0</v>
      </c>
      <c r="L57" s="738"/>
      <c r="M57" s="748"/>
      <c r="N57" s="740"/>
      <c r="O57" s="740"/>
      <c r="P57" s="740"/>
      <c r="Q57" s="740"/>
    </row>
    <row r="58" spans="1:23">
      <c r="A58" s="718" t="s">
        <v>589</v>
      </c>
      <c r="B58" s="719"/>
      <c r="C58" s="685" t="s">
        <v>559</v>
      </c>
      <c r="D58" s="517"/>
      <c r="E58" s="517"/>
      <c r="F58" s="519"/>
      <c r="G58" s="656"/>
      <c r="H58" s="517"/>
      <c r="I58" s="767">
        <f t="shared" si="4"/>
        <v>0</v>
      </c>
      <c r="J58" s="686"/>
      <c r="K58" s="765">
        <f>IF(E$11&lt;&gt;"",IF(OR(B$11="No Filing Date","Enter Filing Date",E$11&lt;D$11),"Error in Filing Date",IF('R8a - Tax Reconciliation'!B$11="Original Filing",D58-I58,E58-I58)),IF(OR(B$11="No Filing Date","Enter Filing Date"),"Error in Filing Date",IF('R8a - Tax Reconciliation'!B$11="Original Filing",D58-I58,E58-I58)))</f>
        <v>0</v>
      </c>
      <c r="L58" s="738"/>
      <c r="M58" s="748"/>
      <c r="N58" s="790"/>
      <c r="O58" s="790"/>
      <c r="P58" s="790"/>
      <c r="Q58" s="790"/>
      <c r="R58" s="685"/>
      <c r="S58" s="685"/>
      <c r="T58" s="685"/>
      <c r="U58" s="685"/>
      <c r="V58" s="685"/>
      <c r="W58" s="685"/>
    </row>
    <row r="59" spans="1:23">
      <c r="A59" s="718" t="s">
        <v>590</v>
      </c>
      <c r="B59" s="719"/>
      <c r="C59" s="685" t="s">
        <v>559</v>
      </c>
      <c r="D59" s="517"/>
      <c r="E59" s="517"/>
      <c r="F59" s="519"/>
      <c r="G59" s="656"/>
      <c r="H59" s="517"/>
      <c r="I59" s="767">
        <f t="shared" si="4"/>
        <v>0</v>
      </c>
      <c r="J59" s="686"/>
      <c r="K59" s="765">
        <f>IF(E$11&lt;&gt;"",IF(OR(B$11="No Filing Date","Enter Filing Date",E$11&lt;D$11),"Error in Filing Date",IF('R8a - Tax Reconciliation'!B$11="Original Filing",D59-I59,E59-I59)),IF(OR(B$11="No Filing Date","Enter Filing Date"),"Error in Filing Date",IF('R8a - Tax Reconciliation'!B$11="Original Filing",D59-I59,E59-I59)))</f>
        <v>0</v>
      </c>
      <c r="L59" s="738"/>
      <c r="M59" s="748"/>
      <c r="N59" s="790"/>
      <c r="O59" s="790"/>
      <c r="P59" s="790"/>
      <c r="Q59" s="790"/>
      <c r="R59" s="685"/>
      <c r="S59" s="685"/>
      <c r="T59" s="685"/>
      <c r="U59" s="685"/>
      <c r="V59" s="685"/>
      <c r="W59" s="685"/>
    </row>
    <row r="60" spans="1:23">
      <c r="A60" s="718" t="s">
        <v>591</v>
      </c>
      <c r="B60" s="719"/>
      <c r="C60" s="685" t="s">
        <v>559</v>
      </c>
      <c r="D60" s="517"/>
      <c r="E60" s="517"/>
      <c r="F60" s="519"/>
      <c r="G60" s="656"/>
      <c r="H60" s="517"/>
      <c r="I60" s="767">
        <f t="shared" si="4"/>
        <v>0</v>
      </c>
      <c r="J60" s="686"/>
      <c r="K60" s="765">
        <f>IF(E$11&lt;&gt;"",IF(OR(B$11="No Filing Date","Enter Filing Date",E$11&lt;D$11),"Error in Filing Date",IF('R8a - Tax Reconciliation'!B$11="Original Filing",D60-I60,E60-I60)),IF(OR(B$11="No Filing Date","Enter Filing Date"),"Error in Filing Date",IF('R8a - Tax Reconciliation'!B$11="Original Filing",D60-I60,E60-I60)))</f>
        <v>0</v>
      </c>
      <c r="L60" s="738"/>
      <c r="M60" s="748"/>
    </row>
    <row r="61" spans="1:23">
      <c r="A61" s="718" t="s">
        <v>592</v>
      </c>
      <c r="B61" s="719"/>
      <c r="C61" s="685" t="s">
        <v>559</v>
      </c>
      <c r="D61" s="517"/>
      <c r="E61" s="517"/>
      <c r="F61" s="519"/>
      <c r="G61" s="656"/>
      <c r="H61" s="517"/>
      <c r="I61" s="767">
        <f t="shared" si="4"/>
        <v>0</v>
      </c>
      <c r="J61" s="686"/>
      <c r="K61" s="765">
        <f>IF(E$11&lt;&gt;"",IF(OR(B$11="No Filing Date","Enter Filing Date",E$11&lt;D$11),"Error in Filing Date",IF('R8a - Tax Reconciliation'!B$11="Original Filing",D61-I61,E61-I61)),IF(OR(B$11="No Filing Date","Enter Filing Date"),"Error in Filing Date",IF('R8a - Tax Reconciliation'!B$11="Original Filing",D61-I61,E61-I61)))</f>
        <v>0</v>
      </c>
      <c r="L61" s="738"/>
      <c r="M61" s="748"/>
    </row>
    <row r="62" spans="1:23">
      <c r="A62" s="697" t="s">
        <v>576</v>
      </c>
      <c r="B62" s="749"/>
      <c r="C62" s="685" t="s">
        <v>559</v>
      </c>
      <c r="D62" s="517"/>
      <c r="E62" s="517"/>
      <c r="F62" s="686"/>
      <c r="G62" s="656"/>
      <c r="H62" s="517"/>
      <c r="I62" s="767">
        <f t="shared" si="4"/>
        <v>0</v>
      </c>
      <c r="J62" s="686"/>
      <c r="K62" s="765">
        <f>IF(E$11&lt;&gt;"",IF(OR(B$11="No Filing Date","Enter Filing Date",E$11&lt;D$11),"Error in Filing Date",IF('R8a - Tax Reconciliation'!B$11="Original Filing",D62-I62,E62-I62)),IF(OR(B$11="No Filing Date","Enter Filing Date"),"Error in Filing Date",IF('R8a - Tax Reconciliation'!B$11="Original Filing",D62-I62,E62-I62)))</f>
        <v>0</v>
      </c>
      <c r="L62" s="738"/>
      <c r="M62" s="742"/>
    </row>
    <row r="63" spans="1:23">
      <c r="A63" s="746"/>
      <c r="B63" s="747"/>
      <c r="D63" s="687"/>
      <c r="E63" s="687"/>
      <c r="F63" s="687"/>
      <c r="G63" s="690"/>
      <c r="H63" s="687"/>
      <c r="I63" s="687"/>
      <c r="J63" s="687"/>
      <c r="K63" s="687"/>
      <c r="L63" s="744"/>
      <c r="M63" s="745"/>
      <c r="N63" s="740"/>
      <c r="O63" s="740"/>
      <c r="P63" s="740"/>
      <c r="Q63" s="740"/>
    </row>
    <row r="64" spans="1:23">
      <c r="A64" s="688" t="s">
        <v>593</v>
      </c>
      <c r="B64" s="747"/>
      <c r="D64" s="687"/>
      <c r="E64" s="687"/>
      <c r="F64" s="687"/>
      <c r="G64" s="690"/>
      <c r="H64" s="687"/>
      <c r="I64" s="687"/>
      <c r="J64" s="687"/>
      <c r="K64" s="687"/>
      <c r="L64" s="744"/>
      <c r="M64" s="745"/>
    </row>
    <row r="65" spans="1:18">
      <c r="A65" s="697" t="s">
        <v>594</v>
      </c>
      <c r="B65" s="749"/>
      <c r="C65" s="685" t="s">
        <v>559</v>
      </c>
      <c r="D65" s="517"/>
      <c r="E65" s="517"/>
      <c r="F65" s="686"/>
      <c r="G65" s="656" t="str">
        <f t="shared" ref="G65:G67" si="6">IF($B$4="ESO2", $B$4&amp; " " &amp;"PCFM - see Tax Allowance in 'System Operator' worksheet",  $B$4&amp; " " &amp;"PCFM - see Tax Allowance in 'Finance &amp;Tax' worksheet")</f>
        <v>GD2 PCFM - see Tax Allowance in 'Finance &amp;Tax' worksheet</v>
      </c>
      <c r="H65" s="624"/>
      <c r="I65" s="767">
        <f>1/(1-H$13)*H65</f>
        <v>0</v>
      </c>
      <c r="J65" s="751"/>
      <c r="K65" s="765">
        <f>IF(E$11&lt;&gt;"",IF(OR(B$11="No Filing Date","Enter Filing Date",E$11&lt;D$11),"Error in Filing Date",IF('R8a - Tax Reconciliation'!B$11="Original Filing",D65-I65,E65-I65)),IF(OR(B$11="No Filing Date","Enter Filing Date"),"Error in Filing Date",IF('R8a - Tax Reconciliation'!B$11="Original Filing",D65-I65,E65-I65)))</f>
        <v>0</v>
      </c>
      <c r="L65" s="738"/>
      <c r="M65" s="748"/>
      <c r="N65" s="740"/>
      <c r="O65" s="740"/>
      <c r="P65" s="740"/>
      <c r="Q65" s="740"/>
    </row>
    <row r="66" spans="1:18">
      <c r="A66" s="697" t="s">
        <v>595</v>
      </c>
      <c r="B66" s="749"/>
      <c r="C66" s="685" t="s">
        <v>559</v>
      </c>
      <c r="D66" s="517"/>
      <c r="E66" s="517"/>
      <c r="F66" s="686"/>
      <c r="G66" s="656" t="str">
        <f t="shared" si="6"/>
        <v>GD2 PCFM - see Tax Allowance in 'Finance &amp;Tax' worksheet</v>
      </c>
      <c r="H66" s="624"/>
      <c r="I66" s="767">
        <f t="shared" ref="I66:I67" si="7">1/(1-H$13)*H66</f>
        <v>0</v>
      </c>
      <c r="J66" s="751"/>
      <c r="K66" s="765">
        <f>IF(E$11&lt;&gt;"",IF(OR(B$11="No Filing Date","Enter Filing Date",E$11&lt;D$11),"Error in Filing Date",IF('R8a - Tax Reconciliation'!B$11="Original Filing",D66-I66,E66-I66)),IF(OR(B$11="No Filing Date","Enter Filing Date"),"Error in Filing Date",IF('R8a - Tax Reconciliation'!B$11="Original Filing",D66-I66,E66-I66)))</f>
        <v>0</v>
      </c>
      <c r="L66" s="738"/>
      <c r="M66" s="748"/>
      <c r="N66" s="740"/>
      <c r="O66" s="740"/>
      <c r="P66" s="740"/>
      <c r="Q66" s="740"/>
    </row>
    <row r="67" spans="1:18">
      <c r="A67" s="697" t="s">
        <v>596</v>
      </c>
      <c r="B67" s="749"/>
      <c r="C67" s="685" t="s">
        <v>559</v>
      </c>
      <c r="D67" s="517"/>
      <c r="E67" s="517"/>
      <c r="F67" s="686"/>
      <c r="G67" s="656" t="str">
        <f t="shared" si="6"/>
        <v>GD2 PCFM - see Tax Allowance in 'Finance &amp;Tax' worksheet</v>
      </c>
      <c r="H67" s="624"/>
      <c r="I67" s="767">
        <f t="shared" si="7"/>
        <v>0</v>
      </c>
      <c r="J67" s="751"/>
      <c r="K67" s="765">
        <f>IF(E$11&lt;&gt;"",IF(OR(B$11="No Filing Date","Enter Filing Date",E$11&lt;D$11),"Error in Filing Date",IF('R8a - Tax Reconciliation'!B$11="Original Filing",D67-I67,E67-I67)),IF(OR(B$11="No Filing Date","Enter Filing Date"),"Error in Filing Date",IF('R8a - Tax Reconciliation'!B$11="Original Filing",D67-I67,E67-I67)))</f>
        <v>0</v>
      </c>
      <c r="L67" s="738"/>
      <c r="M67" s="748"/>
      <c r="N67" s="740"/>
      <c r="O67" s="740"/>
      <c r="P67" s="740"/>
      <c r="Q67" s="740"/>
    </row>
    <row r="68" spans="1:18">
      <c r="A68" s="697" t="s">
        <v>597</v>
      </c>
      <c r="B68" s="749"/>
      <c r="C68" s="685" t="s">
        <v>559</v>
      </c>
      <c r="D68" s="517"/>
      <c r="E68" s="517"/>
      <c r="F68" s="686"/>
      <c r="G68" s="656"/>
      <c r="H68" s="517"/>
      <c r="I68" s="767">
        <f>1/(1-H$13)*H68</f>
        <v>0</v>
      </c>
      <c r="J68" s="686"/>
      <c r="K68" s="765">
        <f>IF(E$11&lt;&gt;"",IF(OR(B$11="No Filing Date","Enter Filing Date",E$11&lt;D$11),"Error in Filing Date",IF('R8a - Tax Reconciliation'!B$11="Original Filing",D68-I68,E68-I68)),IF(OR(B$11="No Filing Date","Enter Filing Date"),"Error in Filing Date",IF('R8a - Tax Reconciliation'!B$11="Original Filing",D68-I68,E68-I68)))</f>
        <v>0</v>
      </c>
      <c r="L68" s="738"/>
      <c r="M68" s="748"/>
      <c r="N68" s="740"/>
      <c r="O68" s="740"/>
      <c r="P68" s="740"/>
      <c r="Q68" s="740"/>
    </row>
    <row r="69" spans="1:18" s="685" customFormat="1">
      <c r="A69" s="697" t="s">
        <v>598</v>
      </c>
      <c r="B69" s="749"/>
      <c r="C69" s="685" t="s">
        <v>559</v>
      </c>
      <c r="D69" s="517"/>
      <c r="E69" s="517"/>
      <c r="F69" s="686"/>
      <c r="G69" s="656"/>
      <c r="H69" s="517"/>
      <c r="I69" s="767">
        <f>1/(1-H$13)*H69</f>
        <v>0</v>
      </c>
      <c r="J69" s="686"/>
      <c r="K69" s="765">
        <f>IF(E$11&lt;&gt;"",IF(OR(B$11="No Filing Date","Enter Filing Date",E$11&lt;D$11),"Error in Filing Date",IF('R8a - Tax Reconciliation'!B$11="Original Filing",D69-I69,E69-I69)),IF(OR(B$11="No Filing Date","Enter Filing Date"),"Error in Filing Date",IF('R8a - Tax Reconciliation'!B$11="Original Filing",D69-I69,E69-I69)))</f>
        <v>0</v>
      </c>
      <c r="L69" s="738"/>
      <c r="M69" s="748"/>
    </row>
    <row r="70" spans="1:18">
      <c r="A70" s="697" t="s">
        <v>599</v>
      </c>
      <c r="B70" s="749"/>
      <c r="C70" s="685" t="s">
        <v>559</v>
      </c>
      <c r="D70" s="517"/>
      <c r="E70" s="517"/>
      <c r="F70" s="686"/>
      <c r="G70" s="656"/>
      <c r="H70" s="517"/>
      <c r="I70" s="767">
        <f>1/(1-H$13)*H70</f>
        <v>0</v>
      </c>
      <c r="J70" s="686"/>
      <c r="K70" s="765">
        <f>IF(E$11&lt;&gt;"",IF(OR(B$11="No Filing Date","Enter Filing Date",E$11&lt;D$11),"Error in Filing Date",IF('R8a - Tax Reconciliation'!B$11="Original Filing",D70-I70,E70-I70)),IF(OR(B$11="No Filing Date","Enter Filing Date"),"Error in Filing Date",IF('R8a - Tax Reconciliation'!B$11="Original Filing",D70-I70,E70-I70)))</f>
        <v>0</v>
      </c>
      <c r="L70" s="738"/>
      <c r="M70" s="748"/>
      <c r="N70" s="740"/>
      <c r="O70" s="740"/>
      <c r="P70" s="740"/>
      <c r="Q70" s="740"/>
    </row>
    <row r="71" spans="1:18">
      <c r="A71" s="697" t="s">
        <v>576</v>
      </c>
      <c r="B71" s="749"/>
      <c r="C71" s="740" t="s">
        <v>559</v>
      </c>
      <c r="D71" s="517"/>
      <c r="E71" s="517"/>
      <c r="F71" s="686"/>
      <c r="G71" s="656"/>
      <c r="H71" s="517"/>
      <c r="I71" s="767">
        <f>1/(1-H$13)*H71</f>
        <v>0</v>
      </c>
      <c r="J71" s="686"/>
      <c r="K71" s="765">
        <f>IF(E$11&lt;&gt;"",IF(OR(B$11="No Filing Date","Enter Filing Date",E$11&lt;D$11),"Error in Filing Date",IF('R8a - Tax Reconciliation'!B$11="Original Filing",D71-I71,E71-I71)),IF(OR(B$11="No Filing Date","Enter Filing Date"),"Error in Filing Date",IF('R8a - Tax Reconciliation'!B$11="Original Filing",D71-I71,E71-I71)))</f>
        <v>0</v>
      </c>
      <c r="L71" s="738"/>
      <c r="M71" s="742"/>
      <c r="N71" s="740"/>
      <c r="O71" s="740"/>
      <c r="P71" s="740"/>
      <c r="Q71" s="740"/>
    </row>
    <row r="72" spans="1:18" s="685" customFormat="1">
      <c r="A72" s="859"/>
      <c r="B72" s="860"/>
      <c r="C72" s="672"/>
      <c r="D72" s="687"/>
      <c r="E72" s="687"/>
      <c r="F72" s="687"/>
      <c r="G72" s="690"/>
      <c r="H72" s="687"/>
      <c r="I72" s="687"/>
      <c r="J72" s="687"/>
      <c r="K72" s="687"/>
      <c r="L72" s="744"/>
      <c r="M72" s="745"/>
    </row>
    <row r="73" spans="1:18" s="685" customFormat="1">
      <c r="A73" s="853" t="s">
        <v>600</v>
      </c>
      <c r="B73" s="854"/>
      <c r="C73" s="672"/>
      <c r="D73" s="687"/>
      <c r="E73" s="687"/>
      <c r="F73" s="687"/>
      <c r="G73" s="690"/>
      <c r="H73" s="687"/>
      <c r="I73" s="687"/>
      <c r="J73" s="687"/>
      <c r="K73" s="687"/>
      <c r="L73" s="744"/>
      <c r="M73" s="745"/>
    </row>
    <row r="74" spans="1:18">
      <c r="A74" s="684" t="s">
        <v>601</v>
      </c>
      <c r="B74" s="721"/>
      <c r="C74" s="685" t="s">
        <v>559</v>
      </c>
      <c r="D74" s="517"/>
      <c r="E74" s="517"/>
      <c r="F74" s="519"/>
      <c r="G74" s="656"/>
      <c r="H74" s="517"/>
      <c r="I74" s="767">
        <f t="shared" ref="I74:I80" si="8">1/(1-H$13)*H74</f>
        <v>0</v>
      </c>
      <c r="J74" s="686"/>
      <c r="K74" s="765">
        <f>IF(E$11&lt;&gt;"",IF(OR(B$11="No Filing Date","Enter Filing Date",E$11&lt;D$11),"Error in Filing Date",IF('R8a - Tax Reconciliation'!B$11="Original Filing",D74-I74,E74-I74)),IF(OR(B$11="No Filing Date","Enter Filing Date"),"Error in Filing Date",IF('R8a - Tax Reconciliation'!B$11="Original Filing",D74-I74,E74-I74)))</f>
        <v>0</v>
      </c>
      <c r="L74" s="738"/>
      <c r="M74" s="748"/>
      <c r="N74" s="740"/>
      <c r="O74" s="740"/>
      <c r="P74" s="740"/>
      <c r="Q74" s="740"/>
    </row>
    <row r="75" spans="1:18">
      <c r="A75" s="684" t="s">
        <v>602</v>
      </c>
      <c r="B75" s="721"/>
      <c r="C75" s="685" t="s">
        <v>559</v>
      </c>
      <c r="D75" s="517"/>
      <c r="E75" s="517"/>
      <c r="F75" s="519"/>
      <c r="G75" s="656"/>
      <c r="H75" s="517"/>
      <c r="I75" s="767">
        <f t="shared" si="8"/>
        <v>0</v>
      </c>
      <c r="J75" s="686"/>
      <c r="K75" s="765">
        <f>IF(E$11&lt;&gt;"",IF(OR(B$11="No Filing Date","Enter Filing Date",E$11&lt;D$11),"Error in Filing Date",IF('R8a - Tax Reconciliation'!B$11="Original Filing",D75-I75,E75-I75)),IF(OR(B$11="No Filing Date","Enter Filing Date"),"Error in Filing Date",IF('R8a - Tax Reconciliation'!B$11="Original Filing",D75-I75,E75-I75)))</f>
        <v>0</v>
      </c>
      <c r="L75" s="738"/>
      <c r="M75" s="748"/>
      <c r="N75" s="740"/>
      <c r="O75" s="740"/>
      <c r="P75" s="740"/>
      <c r="Q75" s="740"/>
    </row>
    <row r="76" spans="1:18">
      <c r="A76" s="718" t="s">
        <v>603</v>
      </c>
      <c r="B76" s="719"/>
      <c r="C76" s="685" t="s">
        <v>559</v>
      </c>
      <c r="D76" s="517"/>
      <c r="E76" s="517"/>
      <c r="F76" s="519"/>
      <c r="G76" s="656"/>
      <c r="H76" s="517"/>
      <c r="I76" s="767">
        <f t="shared" si="8"/>
        <v>0</v>
      </c>
      <c r="J76" s="686"/>
      <c r="K76" s="765">
        <f>IF(E$11&lt;&gt;"",IF(OR(B$11="No Filing Date","Enter Filing Date",E$11&lt;D$11),"Error in Filing Date",IF('R8a - Tax Reconciliation'!B$11="Original Filing",D76-I76,E76-I76)),IF(OR(B$11="No Filing Date","Enter Filing Date"),"Error in Filing Date",IF('R8a - Tax Reconciliation'!B$11="Original Filing",D76-I76,E76-I76)))</f>
        <v>0</v>
      </c>
      <c r="L76" s="738"/>
      <c r="M76" s="748"/>
      <c r="N76" s="740"/>
      <c r="O76" s="740"/>
      <c r="P76" s="740"/>
      <c r="Q76" s="740"/>
    </row>
    <row r="77" spans="1:18">
      <c r="A77" s="718" t="s">
        <v>604</v>
      </c>
      <c r="B77" s="719"/>
      <c r="C77" s="685" t="s">
        <v>559</v>
      </c>
      <c r="D77" s="517"/>
      <c r="E77" s="517"/>
      <c r="F77" s="519"/>
      <c r="G77" s="656"/>
      <c r="H77" s="517"/>
      <c r="I77" s="767">
        <f t="shared" si="8"/>
        <v>0</v>
      </c>
      <c r="J77" s="686"/>
      <c r="K77" s="765">
        <f>IF(E$11&lt;&gt;"",IF(OR(B$11="No Filing Date","Enter Filing Date",E$11&lt;D$11),"Error in Filing Date",IF('R8a - Tax Reconciliation'!B$11="Original Filing",D77-I77,E77-I77)),IF(OR(B$11="No Filing Date","Enter Filing Date"),"Error in Filing Date",IF('R8a - Tax Reconciliation'!B$11="Original Filing",D77-I77,E77-I77)))</f>
        <v>0</v>
      </c>
      <c r="L77" s="738"/>
      <c r="M77" s="748"/>
      <c r="N77" s="740"/>
      <c r="O77" s="740"/>
      <c r="P77" s="740"/>
      <c r="Q77" s="740"/>
    </row>
    <row r="78" spans="1:18">
      <c r="A78" s="718" t="s">
        <v>605</v>
      </c>
      <c r="B78" s="719"/>
      <c r="C78" s="685" t="s">
        <v>559</v>
      </c>
      <c r="D78" s="517"/>
      <c r="E78" s="517"/>
      <c r="F78" s="519"/>
      <c r="G78" s="656"/>
      <c r="H78" s="517"/>
      <c r="I78" s="767">
        <f t="shared" si="8"/>
        <v>0</v>
      </c>
      <c r="J78" s="686"/>
      <c r="K78" s="765">
        <f>IF(E$11&lt;&gt;"",IF(OR(B$11="No Filing Date","Enter Filing Date",E$11&lt;D$11),"Error in Filing Date",IF('R8a - Tax Reconciliation'!B$11="Original Filing",D78-I78,E78-I78)),IF(OR(B$11="No Filing Date","Enter Filing Date"),"Error in Filing Date",IF('R8a - Tax Reconciliation'!B$11="Original Filing",D78-I78,E78-I78)))</f>
        <v>0</v>
      </c>
      <c r="L78" s="738"/>
      <c r="M78" s="748"/>
      <c r="N78" s="685"/>
      <c r="O78" s="685"/>
      <c r="P78" s="685"/>
      <c r="Q78" s="685"/>
      <c r="R78" s="685"/>
    </row>
    <row r="79" spans="1:18">
      <c r="A79" s="718" t="s">
        <v>606</v>
      </c>
      <c r="B79" s="719"/>
      <c r="C79" s="685" t="s">
        <v>559</v>
      </c>
      <c r="D79" s="517"/>
      <c r="E79" s="517"/>
      <c r="F79" s="519"/>
      <c r="G79" s="656"/>
      <c r="H79" s="517"/>
      <c r="I79" s="767">
        <f t="shared" si="8"/>
        <v>0</v>
      </c>
      <c r="J79" s="686"/>
      <c r="K79" s="765">
        <f>IF(E$11&lt;&gt;"",IF(OR(B$11="No Filing Date","Enter Filing Date",E$11&lt;D$11),"Error in Filing Date",IF('R8a - Tax Reconciliation'!B$11="Original Filing",D79-I79,E79-I79)),IF(OR(B$11="No Filing Date","Enter Filing Date"),"Error in Filing Date",IF('R8a - Tax Reconciliation'!B$11="Original Filing",D79-I79,E79-I79)))</f>
        <v>0</v>
      </c>
      <c r="L79" s="738"/>
      <c r="M79" s="748"/>
      <c r="N79" s="740"/>
      <c r="O79" s="740"/>
      <c r="P79" s="740"/>
      <c r="Q79" s="740"/>
    </row>
    <row r="80" spans="1:18">
      <c r="A80" s="733" t="s">
        <v>576</v>
      </c>
      <c r="B80" s="734"/>
      <c r="C80" s="685" t="s">
        <v>559</v>
      </c>
      <c r="D80" s="517"/>
      <c r="E80" s="517"/>
      <c r="F80" s="519"/>
      <c r="G80" s="656"/>
      <c r="H80" s="517"/>
      <c r="I80" s="767">
        <f t="shared" si="8"/>
        <v>0</v>
      </c>
      <c r="J80" s="686"/>
      <c r="K80" s="765">
        <f>IF(E$11&lt;&gt;"",IF(OR(B$11="No Filing Date","Enter Filing Date",E$11&lt;D$11),"Error in Filing Date",IF('R8a - Tax Reconciliation'!B$11="Original Filing",D80-I80,E80-I80)),IF(OR(B$11="No Filing Date","Enter Filing Date"),"Error in Filing Date",IF('R8a - Tax Reconciliation'!B$11="Original Filing",D80-I80,E80-I80)))</f>
        <v>0</v>
      </c>
      <c r="L80" s="738"/>
      <c r="M80" s="742"/>
      <c r="N80" s="740"/>
      <c r="O80" s="740"/>
      <c r="P80" s="740"/>
      <c r="Q80" s="740"/>
    </row>
    <row r="81" spans="1:18">
      <c r="D81" s="752"/>
      <c r="E81" s="752"/>
      <c r="F81" s="687"/>
      <c r="G81" s="690"/>
      <c r="H81" s="752"/>
      <c r="I81" s="687"/>
      <c r="J81" s="687"/>
      <c r="K81" s="687"/>
      <c r="L81" s="744"/>
      <c r="M81" s="745"/>
      <c r="N81" s="740"/>
      <c r="O81" s="740"/>
      <c r="P81" s="740"/>
      <c r="Q81" s="740"/>
    </row>
    <row r="82" spans="1:18">
      <c r="A82" s="861" t="s">
        <v>607</v>
      </c>
      <c r="B82" s="862"/>
      <c r="C82" s="749" t="s">
        <v>559</v>
      </c>
      <c r="D82" s="731">
        <f>SUM(D45:D81)</f>
        <v>0</v>
      </c>
      <c r="E82" s="731">
        <f>SUM(E45:E81)</f>
        <v>0</v>
      </c>
      <c r="F82" s="518"/>
      <c r="G82" s="753" t="s">
        <v>608</v>
      </c>
      <c r="H82" s="731">
        <f>SUM(H45:H81)</f>
        <v>0</v>
      </c>
      <c r="I82" s="731">
        <f>SUM(I45:I81)</f>
        <v>0</v>
      </c>
      <c r="J82" s="751"/>
      <c r="K82" s="726">
        <f>IF(E$11&lt;&gt;"",IF(OR(B$11="No Filing Date","Enter Filing Date",E$11&lt;D$11),"Error in Filing Date",IF('R8a - Tax Reconciliation'!B$11="Original Filing",D82-I82,E82-I82)),IF(OR(B$11="No Filing Date","Enter Filing Date"),"Error in Filing Date",IF('R8a - Tax Reconciliation'!B$11="Original Filing",D82-I82,E82-I82)))</f>
        <v>0</v>
      </c>
      <c r="L82" s="738"/>
      <c r="M82" s="742"/>
      <c r="N82" s="791"/>
      <c r="O82" s="791"/>
      <c r="P82" s="791"/>
      <c r="Q82" s="791"/>
    </row>
    <row r="83" spans="1:18">
      <c r="A83" s="754"/>
      <c r="B83" s="754"/>
      <c r="C83" s="685"/>
      <c r="D83" s="698"/>
      <c r="E83" s="698"/>
      <c r="F83" s="519"/>
      <c r="G83" s="519"/>
      <c r="H83" s="698"/>
      <c r="I83" s="519"/>
      <c r="J83" s="686"/>
      <c r="K83" s="755"/>
      <c r="L83" s="738"/>
      <c r="M83" s="739"/>
      <c r="N83" s="791"/>
      <c r="O83" s="791"/>
      <c r="P83" s="791"/>
      <c r="Q83" s="791"/>
    </row>
    <row r="84" spans="1:18">
      <c r="A84" s="792" t="s">
        <v>609</v>
      </c>
      <c r="B84" s="795"/>
      <c r="C84" s="685"/>
      <c r="D84" s="519"/>
      <c r="E84" s="519"/>
      <c r="F84" s="519"/>
      <c r="G84" s="519"/>
      <c r="H84" s="519"/>
      <c r="I84" s="519"/>
      <c r="J84" s="686"/>
      <c r="K84" s="686"/>
      <c r="L84" s="738"/>
      <c r="M84" s="739"/>
      <c r="N84" s="791"/>
      <c r="O84" s="791"/>
      <c r="P84" s="791"/>
      <c r="Q84" s="791"/>
    </row>
    <row r="85" spans="1:18">
      <c r="A85" s="756"/>
      <c r="B85" s="757"/>
      <c r="C85" s="685"/>
      <c r="D85" s="519"/>
      <c r="E85" s="519"/>
      <c r="F85" s="519"/>
      <c r="G85" s="519"/>
      <c r="H85" s="519"/>
      <c r="I85" s="519"/>
      <c r="J85" s="686"/>
      <c r="K85" s="686"/>
      <c r="L85" s="738"/>
      <c r="M85" s="739"/>
      <c r="N85" s="791"/>
      <c r="O85" s="791"/>
      <c r="P85" s="791"/>
      <c r="Q85" s="791"/>
      <c r="R85" s="685"/>
    </row>
    <row r="86" spans="1:18">
      <c r="A86" s="720" t="s">
        <v>610</v>
      </c>
      <c r="B86" s="758"/>
      <c r="D86" s="515"/>
      <c r="E86" s="516"/>
      <c r="F86" s="515"/>
      <c r="G86" s="657"/>
      <c r="H86" s="516"/>
      <c r="I86" s="515"/>
      <c r="J86" s="687"/>
      <c r="K86" s="687"/>
      <c r="L86" s="744"/>
      <c r="M86" s="759"/>
      <c r="N86" s="791"/>
      <c r="O86" s="791"/>
      <c r="P86" s="791"/>
      <c r="Q86" s="791"/>
    </row>
    <row r="87" spans="1:18" s="685" customFormat="1">
      <c r="A87" s="718" t="s">
        <v>611</v>
      </c>
      <c r="B87" s="757"/>
      <c r="C87" s="685" t="s">
        <v>559</v>
      </c>
      <c r="D87" s="517"/>
      <c r="E87" s="517"/>
      <c r="F87" s="519"/>
      <c r="G87" s="656" t="str">
        <f t="shared" ref="G87:G91" si="9">IF($B$4="ESO2", $B$4&amp; " " &amp;"PCFM - see Tax Allowance in 'System Operator' worksheet",  $B$4&amp; " " &amp;"PCFM - see Tax Allowance in 'Finance &amp;Tax' worksheet")</f>
        <v>GD2 PCFM - see Tax Allowance in 'Finance &amp;Tax' worksheet</v>
      </c>
      <c r="H87" s="624"/>
      <c r="I87" s="767">
        <f t="shared" ref="I87:I91" si="10">1/(1-H$13)*H87</f>
        <v>0</v>
      </c>
      <c r="J87" s="686"/>
      <c r="K87" s="765">
        <f>IF(E$11&lt;&gt;"",IF(OR(B$11="No Filing Date","Enter Filing Date",E$11&lt;D$11),"Error in Filing Date",IF('R8a - Tax Reconciliation'!B$11="Original Filing",D87-I87,E87-I87)),IF(OR(B$11="No Filing Date","Enter Filing Date"),"Error in Filing Date",IF('R8a - Tax Reconciliation'!B$11="Original Filing",D87-I87,E87-I87)))</f>
        <v>0</v>
      </c>
      <c r="L87" s="738"/>
      <c r="M87" s="748"/>
      <c r="N87" s="791"/>
      <c r="O87" s="791"/>
      <c r="P87" s="791"/>
      <c r="Q87" s="791"/>
    </row>
    <row r="88" spans="1:18" s="685" customFormat="1">
      <c r="A88" s="718" t="s">
        <v>612</v>
      </c>
      <c r="B88" s="757"/>
      <c r="C88" s="685" t="s">
        <v>559</v>
      </c>
      <c r="D88" s="517"/>
      <c r="E88" s="517"/>
      <c r="F88" s="519"/>
      <c r="G88" s="656" t="str">
        <f t="shared" si="9"/>
        <v>GD2 PCFM - see Tax Allowance in 'Finance &amp;Tax' worksheet</v>
      </c>
      <c r="H88" s="624"/>
      <c r="I88" s="767">
        <f t="shared" si="10"/>
        <v>0</v>
      </c>
      <c r="J88" s="686"/>
      <c r="K88" s="765">
        <f>IF(E$11&lt;&gt;"",IF(OR(B$11="No Filing Date","Enter Filing Date",E$11&lt;D$11),"Error in Filing Date",IF('R8a - Tax Reconciliation'!B$11="Original Filing",D88-I88,E88-I88)),IF(OR(B$11="No Filing Date","Enter Filing Date"),"Error in Filing Date",IF('R8a - Tax Reconciliation'!B$11="Original Filing",D88-I88,E88-I88)))</f>
        <v>0</v>
      </c>
      <c r="L88" s="738"/>
      <c r="M88" s="748"/>
      <c r="N88" s="791"/>
      <c r="O88" s="791"/>
      <c r="P88" s="791"/>
      <c r="Q88" s="791"/>
    </row>
    <row r="89" spans="1:18" s="685" customFormat="1">
      <c r="A89" s="718" t="s">
        <v>613</v>
      </c>
      <c r="B89" s="757"/>
      <c r="C89" s="685" t="s">
        <v>559</v>
      </c>
      <c r="D89" s="517"/>
      <c r="E89" s="517"/>
      <c r="F89" s="519"/>
      <c r="G89" s="656" t="str">
        <f t="shared" si="9"/>
        <v>GD2 PCFM - see Tax Allowance in 'Finance &amp;Tax' worksheet</v>
      </c>
      <c r="H89" s="624"/>
      <c r="I89" s="767">
        <f t="shared" si="10"/>
        <v>0</v>
      </c>
      <c r="J89" s="686"/>
      <c r="K89" s="765">
        <f>IF(E$11&lt;&gt;"",IF(OR(B$11="No Filing Date","Enter Filing Date",E$11&lt;D$11),"Error in Filing Date",IF('R8a - Tax Reconciliation'!B$11="Original Filing",D89-I89,E89-I89)),IF(OR(B$11="No Filing Date","Enter Filing Date"),"Error in Filing Date",IF('R8a - Tax Reconciliation'!B$11="Original Filing",D89-I89,E89-I89)))</f>
        <v>0</v>
      </c>
      <c r="L89" s="738"/>
      <c r="M89" s="748"/>
      <c r="N89" s="791"/>
      <c r="O89" s="791"/>
      <c r="P89" s="791"/>
      <c r="Q89" s="791"/>
    </row>
    <row r="90" spans="1:18" s="685" customFormat="1">
      <c r="A90" s="718" t="s">
        <v>614</v>
      </c>
      <c r="B90" s="757"/>
      <c r="C90" s="685" t="s">
        <v>559</v>
      </c>
      <c r="D90" s="517"/>
      <c r="E90" s="517"/>
      <c r="F90" s="519"/>
      <c r="G90" s="656" t="str">
        <f t="shared" si="9"/>
        <v>GD2 PCFM - see Tax Allowance in 'Finance &amp;Tax' worksheet</v>
      </c>
      <c r="H90" s="624"/>
      <c r="I90" s="767">
        <f t="shared" si="10"/>
        <v>0</v>
      </c>
      <c r="J90" s="686"/>
      <c r="K90" s="765">
        <f>IF(E$11&lt;&gt;"",IF(OR(B$11="No Filing Date","Enter Filing Date",E$11&lt;D$11),"Error in Filing Date",IF('R8a - Tax Reconciliation'!B$11="Original Filing",D90-I90,E90-I90)),IF(OR(B$11="No Filing Date","Enter Filing Date"),"Error in Filing Date",IF('R8a - Tax Reconciliation'!B$11="Original Filing",D90-I90,E90-I90)))</f>
        <v>0</v>
      </c>
      <c r="L90" s="738"/>
      <c r="M90" s="748"/>
      <c r="N90" s="791"/>
      <c r="O90" s="791"/>
      <c r="P90" s="791"/>
      <c r="Q90" s="791"/>
    </row>
    <row r="91" spans="1:18" s="685" customFormat="1">
      <c r="A91" s="718" t="s">
        <v>615</v>
      </c>
      <c r="B91" s="757"/>
      <c r="C91" s="685" t="s">
        <v>559</v>
      </c>
      <c r="D91" s="517"/>
      <c r="E91" s="517"/>
      <c r="F91" s="519"/>
      <c r="G91" s="656" t="str">
        <f t="shared" si="9"/>
        <v>GD2 PCFM - see Tax Allowance in 'Finance &amp;Tax' worksheet</v>
      </c>
      <c r="H91" s="624"/>
      <c r="I91" s="767">
        <f t="shared" si="10"/>
        <v>0</v>
      </c>
      <c r="J91" s="686"/>
      <c r="K91" s="765">
        <f>IF(E$11&lt;&gt;"",IF(OR(B$11="No Filing Date","Enter Filing Date",E$11&lt;D$11),"Error in Filing Date",IF('R8a - Tax Reconciliation'!B$11="Original Filing",D91-I91,E91-I91)),IF(OR(B$11="No Filing Date","Enter Filing Date"),"Error in Filing Date",IF('R8a - Tax Reconciliation'!B$11="Original Filing",D91-I91,E91-I91)))</f>
        <v>0</v>
      </c>
      <c r="L91" s="738"/>
      <c r="M91" s="748"/>
      <c r="N91" s="791"/>
      <c r="O91" s="791"/>
      <c r="P91" s="791"/>
      <c r="Q91" s="791"/>
    </row>
    <row r="92" spans="1:18" s="685" customFormat="1">
      <c r="A92" s="733" t="s">
        <v>616</v>
      </c>
      <c r="B92" s="734"/>
      <c r="C92" s="685" t="s">
        <v>559</v>
      </c>
      <c r="D92" s="517"/>
      <c r="E92" s="517"/>
      <c r="F92" s="519"/>
      <c r="G92" s="656"/>
      <c r="H92" s="517"/>
      <c r="I92" s="767">
        <f>1/(1-H$13)*H92</f>
        <v>0</v>
      </c>
      <c r="J92" s="686"/>
      <c r="K92" s="765">
        <f>IF(E$11&lt;&gt;"",IF(OR(B$11="No Filing Date","Enter Filing Date",E$11&lt;D$11),"Error in Filing Date",IF('R8a - Tax Reconciliation'!B$11="Original Filing",D92-I92,E92-I92)),IF(OR(B$11="No Filing Date","Enter Filing Date"),"Error in Filing Date",IF('R8a - Tax Reconciliation'!B$11="Original Filing",D92-I92,E92-I92)))</f>
        <v>0</v>
      </c>
      <c r="L92" s="738"/>
      <c r="M92" s="742"/>
      <c r="N92" s="791"/>
      <c r="O92" s="791"/>
      <c r="P92" s="791"/>
      <c r="Q92" s="791"/>
    </row>
    <row r="93" spans="1:18" s="685" customFormat="1">
      <c r="A93" s="672"/>
      <c r="B93" s="672"/>
      <c r="C93" s="672"/>
      <c r="D93" s="752"/>
      <c r="E93" s="752"/>
      <c r="F93" s="687"/>
      <c r="G93" s="690"/>
      <c r="H93" s="752"/>
      <c r="I93" s="687"/>
      <c r="J93" s="687"/>
      <c r="K93" s="752"/>
      <c r="L93" s="744"/>
      <c r="M93" s="745"/>
      <c r="N93" s="791"/>
      <c r="O93" s="791"/>
      <c r="P93" s="791"/>
      <c r="Q93" s="791"/>
    </row>
    <row r="94" spans="1:18" s="685" customFormat="1">
      <c r="A94" s="732" t="s">
        <v>617</v>
      </c>
      <c r="B94" s="760"/>
      <c r="C94" s="749" t="s">
        <v>559</v>
      </c>
      <c r="D94" s="726">
        <f>SUM(D82:D93)</f>
        <v>0</v>
      </c>
      <c r="E94" s="726">
        <f>SUM(E82:E93)</f>
        <v>0</v>
      </c>
      <c r="F94" s="761"/>
      <c r="G94" s="753" t="s">
        <v>618</v>
      </c>
      <c r="H94" s="726">
        <f>SUM(H82:H93)</f>
        <v>0</v>
      </c>
      <c r="I94" s="726">
        <f>SUM(I82:I93)</f>
        <v>0</v>
      </c>
      <c r="J94" s="751"/>
      <c r="K94" s="726">
        <f>IF(E$11&lt;&gt;"",IF(OR(B$11="No Filing Date","Enter Filing Date",E$11&lt;D$11),"Error in Filing Date",IF('R8a - Tax Reconciliation'!B$11="Original Filing",D94-I94,E94-I94)),IF(OR(B$11="No Filing Date","Enter Filing Date"),"Error in Filing Date",IF('R8a - Tax Reconciliation'!B$11="Original Filing",D94-I94,E94-I94)))</f>
        <v>0</v>
      </c>
      <c r="L94" s="738"/>
      <c r="M94" s="742"/>
      <c r="N94" s="791"/>
      <c r="O94" s="791"/>
      <c r="P94" s="791"/>
      <c r="Q94" s="791"/>
    </row>
    <row r="95" spans="1:18" s="685" customFormat="1">
      <c r="A95" s="762"/>
      <c r="B95" s="763"/>
      <c r="C95" s="672"/>
      <c r="D95" s="687"/>
      <c r="E95" s="687"/>
      <c r="F95" s="687"/>
      <c r="G95" s="687"/>
      <c r="H95" s="690"/>
      <c r="I95" s="690"/>
      <c r="J95" s="690"/>
      <c r="K95" s="690"/>
      <c r="L95" s="744"/>
      <c r="M95" s="745"/>
      <c r="N95" s="791"/>
      <c r="O95" s="791"/>
      <c r="P95" s="791"/>
      <c r="Q95" s="791"/>
    </row>
    <row r="96" spans="1:18" s="685" customFormat="1">
      <c r="A96" s="735" t="s">
        <v>619</v>
      </c>
      <c r="B96" s="764"/>
      <c r="C96" s="740" t="s">
        <v>559</v>
      </c>
      <c r="D96" s="726">
        <f>+D94*D13</f>
        <v>0</v>
      </c>
      <c r="E96" s="726">
        <f>+E94*E13</f>
        <v>0</v>
      </c>
      <c r="F96" s="686"/>
      <c r="G96" s="741" t="s">
        <v>620</v>
      </c>
      <c r="H96" s="726">
        <f>+H94*H13</f>
        <v>0</v>
      </c>
      <c r="I96" s="726">
        <f>+I94*I13</f>
        <v>0</v>
      </c>
      <c r="J96" s="686"/>
      <c r="K96" s="690"/>
      <c r="L96" s="690"/>
      <c r="M96" s="690"/>
      <c r="N96" s="790"/>
      <c r="O96" s="790"/>
      <c r="P96" s="790"/>
      <c r="Q96" s="790"/>
    </row>
    <row r="97" spans="1:13" s="741" customFormat="1">
      <c r="H97" s="772"/>
      <c r="I97" s="687"/>
    </row>
    <row r="98" spans="1:13">
      <c r="A98" s="852" t="s">
        <v>621</v>
      </c>
      <c r="B98" s="852"/>
      <c r="C98" s="672" t="s">
        <v>500</v>
      </c>
      <c r="D98" s="699">
        <f>INDEX(Data!$D$26:$K$26,MATCH($B$6,Data!$D$25:$K$25,0))</f>
        <v>1.0383269111980469</v>
      </c>
      <c r="E98" s="699">
        <f>INDEX(Data!$D$26:$K$26,MATCH($B$6,Data!$D$25:$K$25,0))</f>
        <v>1.0383269111980469</v>
      </c>
      <c r="F98" s="700"/>
      <c r="G98" s="657" t="s">
        <v>622</v>
      </c>
      <c r="H98" s="699">
        <f>INDEX(Data!$D$26:$K$26,MATCH($B$6,Data!$D$25:$K$25,0))</f>
        <v>1.0383269111980469</v>
      </c>
      <c r="I98" s="699">
        <f>INDEX(Data!$D$26:$K$26,MATCH($B$6,Data!$D$25:$K$25,0))</f>
        <v>1.0383269111980469</v>
      </c>
      <c r="J98" s="700"/>
      <c r="K98" s="700"/>
    </row>
    <row r="99" spans="1:13" ht="21" customHeight="1">
      <c r="A99" s="701" t="s">
        <v>623</v>
      </c>
      <c r="B99" s="702"/>
      <c r="C99" s="736" t="str">
        <f>IF($B$4="ED","20/21 Prices","18/19 Prices")</f>
        <v>18/19 Prices</v>
      </c>
      <c r="D99" s="703">
        <f>D96/D98</f>
        <v>0</v>
      </c>
      <c r="E99" s="703">
        <f>E96/E98</f>
        <v>0</v>
      </c>
      <c r="F99" s="704"/>
      <c r="G99" s="705" t="s">
        <v>624</v>
      </c>
      <c r="H99" s="703">
        <f>H96/H98</f>
        <v>0</v>
      </c>
      <c r="I99" s="703">
        <f>I96/I98</f>
        <v>0</v>
      </c>
      <c r="J99" s="704"/>
      <c r="K99" s="726">
        <f>IF(OR(B$11="No Filing Date","Enter Filing Date"),"Error in Filing Date",IF('R8a - Tax Reconciliation'!B$11="Original Filing",D99-I99,E99-I99))</f>
        <v>0</v>
      </c>
      <c r="M99" s="748"/>
    </row>
    <row r="100" spans="1:13">
      <c r="C100" s="706"/>
      <c r="D100" s="687"/>
      <c r="E100" s="687"/>
      <c r="F100" s="687"/>
      <c r="G100" s="690"/>
      <c r="H100" s="687"/>
      <c r="I100" s="707"/>
      <c r="J100" s="687"/>
      <c r="K100" s="687"/>
    </row>
    <row r="101" spans="1:13">
      <c r="D101" s="707"/>
      <c r="E101" s="707"/>
      <c r="F101" s="707"/>
      <c r="G101" s="708"/>
      <c r="H101" s="707"/>
      <c r="J101" s="707"/>
      <c r="K101" s="707"/>
    </row>
  </sheetData>
  <mergeCells count="20">
    <mergeCell ref="M8:M9"/>
    <mergeCell ref="A13:B13"/>
    <mergeCell ref="A27:B27"/>
    <mergeCell ref="A28:B28"/>
    <mergeCell ref="A7:B7"/>
    <mergeCell ref="A8:B9"/>
    <mergeCell ref="C8:C9"/>
    <mergeCell ref="G8:G9"/>
    <mergeCell ref="A17:B17"/>
    <mergeCell ref="A98:B98"/>
    <mergeCell ref="A73:B73"/>
    <mergeCell ref="A36:B36"/>
    <mergeCell ref="A37:B37"/>
    <mergeCell ref="A40:B40"/>
    <mergeCell ref="A42:B42"/>
    <mergeCell ref="A43:B43"/>
    <mergeCell ref="A39:B39"/>
    <mergeCell ref="A72:B72"/>
    <mergeCell ref="A82:B82"/>
    <mergeCell ref="A55:B55"/>
  </mergeCells>
  <pageMargins left="0.23622047244094491" right="0.23622047244094491" top="0.74803149606299213" bottom="0.74803149606299213" header="0.31496062992125984" footer="0.31496062992125984"/>
  <pageSetup paperSize="9" scale="43" fitToHeight="0" orientation="landscape" r:id="rId1"/>
  <headerFooter>
    <oddFooter>&amp;L&amp;F&amp;R&amp;D</oddFooter>
  </headerFooter>
  <customProperties>
    <customPr name="_pios_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rgb="FFFFFFCC"/>
    <pageSetUpPr fitToPage="1"/>
  </sheetPr>
  <dimension ref="A1:O82"/>
  <sheetViews>
    <sheetView showGridLines="0" zoomScaleNormal="100" workbookViewId="0">
      <pane ySplit="3" topLeftCell="A22" activePane="bottomLeft" state="frozen"/>
      <selection activeCell="B3" sqref="B3:F3"/>
      <selection pane="bottomLeft" activeCell="E28" sqref="E28"/>
    </sheetView>
  </sheetViews>
  <sheetFormatPr defaultRowHeight="12.4"/>
  <cols>
    <col min="1" max="1" width="8.3515625" customWidth="1"/>
    <col min="2" max="2" width="44.46875" customWidth="1"/>
    <col min="3" max="3" width="15.1171875" customWidth="1"/>
    <col min="4" max="4" width="14.76171875" customWidth="1"/>
    <col min="5" max="5" width="14.87890625" customWidth="1"/>
    <col min="6" max="6" width="14.3515625" customWidth="1"/>
    <col min="7" max="8" width="11.1171875" customWidth="1"/>
    <col min="9" max="9" width="5" customWidth="1"/>
    <col min="14" max="14" width="13.1171875" customWidth="1"/>
  </cols>
  <sheetData>
    <row r="1" spans="1:15" ht="20.65">
      <c r="A1" s="776" t="s">
        <v>184</v>
      </c>
      <c r="B1" s="395"/>
      <c r="C1" s="396"/>
      <c r="D1" s="396"/>
      <c r="E1" s="396"/>
      <c r="F1" s="396"/>
      <c r="G1" s="396"/>
      <c r="H1" s="396"/>
      <c r="I1" s="785"/>
    </row>
    <row r="2" spans="1:15" ht="20.65">
      <c r="A2" s="293" t="str">
        <f>Licensee</f>
        <v>Cadent-WM</v>
      </c>
      <c r="B2" s="288"/>
      <c r="C2" s="16"/>
      <c r="D2" s="16"/>
      <c r="E2" s="16"/>
      <c r="F2" s="16"/>
      <c r="G2" s="16"/>
      <c r="H2" s="16"/>
      <c r="I2" s="65"/>
    </row>
    <row r="3" spans="1:15" ht="20.65">
      <c r="A3" s="288">
        <f>Reporting_Year</f>
        <v>2022</v>
      </c>
      <c r="B3" s="575"/>
      <c r="C3" s="575"/>
      <c r="D3" s="575"/>
      <c r="E3" s="575"/>
      <c r="F3" s="575"/>
      <c r="G3" s="575"/>
      <c r="H3" s="575"/>
      <c r="I3" s="119"/>
    </row>
    <row r="4" spans="1:15" s="2" customFormat="1" ht="12.75" customHeight="1"/>
    <row r="5" spans="1:15" s="2" customFormat="1">
      <c r="B5" s="3"/>
      <c r="C5" s="3"/>
      <c r="D5" s="151" t="str">
        <f t="shared" ref="D5:H5" si="0">IF(D6&lt;=Reporting_Year,"Actuals","Forecast")</f>
        <v>Actuals</v>
      </c>
      <c r="E5" s="151" t="str">
        <f t="shared" si="0"/>
        <v>Forecast</v>
      </c>
      <c r="F5" s="151" t="str">
        <f t="shared" si="0"/>
        <v>Forecast</v>
      </c>
      <c r="G5" s="151" t="str">
        <f t="shared" si="0"/>
        <v>Forecast</v>
      </c>
      <c r="H5" s="151" t="str">
        <f t="shared" si="0"/>
        <v>Forecast</v>
      </c>
    </row>
    <row r="6" spans="1:15" s="2" customFormat="1">
      <c r="D6" s="62">
        <f>'RFPR cover'!$C$6</f>
        <v>2022</v>
      </c>
      <c r="E6" s="63">
        <f>D6+1</f>
        <v>2023</v>
      </c>
      <c r="F6" s="63">
        <f t="shared" ref="F6:H6" si="1">E6+1</f>
        <v>2024</v>
      </c>
      <c r="G6" s="63">
        <f t="shared" si="1"/>
        <v>2025</v>
      </c>
      <c r="H6" s="63">
        <f t="shared" si="1"/>
        <v>2026</v>
      </c>
    </row>
    <row r="7" spans="1:15"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row>
    <row r="8" spans="1:15" s="2" customFormat="1"/>
    <row r="9" spans="1:15" s="2" customFormat="1">
      <c r="A9" s="371" t="s">
        <v>625</v>
      </c>
      <c r="B9" s="372"/>
      <c r="C9" s="98"/>
      <c r="D9" s="98"/>
      <c r="E9" s="98"/>
      <c r="F9" s="98"/>
      <c r="G9" s="98"/>
      <c r="H9" s="98"/>
    </row>
    <row r="10" spans="1:15" s="2" customFormat="1"/>
    <row r="11" spans="1:15">
      <c r="B11" s="6" t="s">
        <v>626</v>
      </c>
      <c r="C11" s="75" t="s">
        <v>230</v>
      </c>
      <c r="D11" s="614">
        <v>35</v>
      </c>
      <c r="E11" s="614"/>
      <c r="F11" s="614"/>
      <c r="G11" s="614"/>
      <c r="H11" s="614"/>
      <c r="J11" s="2"/>
    </row>
    <row r="12" spans="1:15">
      <c r="B12" s="7" t="s">
        <v>627</v>
      </c>
      <c r="C12" s="6"/>
      <c r="D12" s="236"/>
      <c r="E12" s="236"/>
      <c r="F12" s="236"/>
      <c r="G12" s="236"/>
      <c r="H12" s="236"/>
      <c r="J12" s="2"/>
    </row>
    <row r="13" spans="1:15">
      <c r="B13" s="146" t="s">
        <v>526</v>
      </c>
      <c r="C13" s="75" t="s">
        <v>230</v>
      </c>
      <c r="D13" s="614">
        <v>0</v>
      </c>
      <c r="E13" s="614"/>
      <c r="F13" s="614"/>
      <c r="G13" s="614"/>
      <c r="H13" s="614"/>
      <c r="J13" s="2"/>
    </row>
    <row r="14" spans="1:15">
      <c r="B14" s="146" t="s">
        <v>526</v>
      </c>
      <c r="C14" s="75" t="s">
        <v>230</v>
      </c>
      <c r="D14" s="614">
        <v>0</v>
      </c>
      <c r="E14" s="614"/>
      <c r="F14" s="614"/>
      <c r="G14" s="614"/>
      <c r="H14" s="614"/>
      <c r="J14" s="2"/>
    </row>
    <row r="15" spans="1:15">
      <c r="B15" s="146" t="s">
        <v>527</v>
      </c>
      <c r="C15" s="75" t="s">
        <v>230</v>
      </c>
      <c r="D15" s="614">
        <v>0</v>
      </c>
      <c r="E15" s="614"/>
      <c r="F15" s="614"/>
      <c r="G15" s="614"/>
      <c r="H15" s="614"/>
      <c r="J15" s="2"/>
      <c r="N15" s="97"/>
    </row>
    <row r="16" spans="1:15">
      <c r="B16" s="6" t="s">
        <v>628</v>
      </c>
      <c r="C16" s="75" t="s">
        <v>230</v>
      </c>
      <c r="D16" s="235">
        <f>D11-SUM(D13:D15)</f>
        <v>35</v>
      </c>
      <c r="E16" s="235">
        <f t="shared" ref="E16:H16" si="2">E11-SUM(E13:E15)</f>
        <v>0</v>
      </c>
      <c r="F16" s="235">
        <f t="shared" si="2"/>
        <v>0</v>
      </c>
      <c r="G16" s="235">
        <f t="shared" si="2"/>
        <v>0</v>
      </c>
      <c r="H16" s="235">
        <f t="shared" si="2"/>
        <v>0</v>
      </c>
      <c r="J16" s="2"/>
      <c r="O16" s="96"/>
    </row>
    <row r="17" spans="1:14">
      <c r="C17" s="6"/>
      <c r="J17" s="2"/>
      <c r="N17" s="97"/>
    </row>
    <row r="18" spans="1:14">
      <c r="B18" s="6" t="s">
        <v>629</v>
      </c>
      <c r="C18" s="75" t="s">
        <v>230</v>
      </c>
      <c r="D18" s="614">
        <v>0</v>
      </c>
      <c r="E18" s="614"/>
      <c r="F18" s="614"/>
      <c r="G18" s="614"/>
      <c r="H18" s="614"/>
      <c r="J18" s="2"/>
    </row>
    <row r="19" spans="1:14">
      <c r="J19" s="2"/>
    </row>
    <row r="22" spans="1:14">
      <c r="A22" s="371" t="s">
        <v>630</v>
      </c>
      <c r="B22" s="373"/>
      <c r="C22" s="98"/>
      <c r="D22" s="98"/>
      <c r="E22" s="98"/>
      <c r="F22" s="98"/>
      <c r="G22" s="98"/>
      <c r="H22" s="98"/>
    </row>
    <row r="23" spans="1:14">
      <c r="D23" s="874" t="str">
        <f>Reporting_Year&amp;" "&amp;"- Actuals"</f>
        <v>2022 - Actuals</v>
      </c>
      <c r="E23" s="875"/>
      <c r="F23" s="875"/>
      <c r="G23" s="875"/>
      <c r="H23" s="876"/>
    </row>
    <row r="24" spans="1:14">
      <c r="D24" s="593" t="s">
        <v>631</v>
      </c>
      <c r="E24" s="593" t="s">
        <v>632</v>
      </c>
      <c r="F24" s="593" t="s">
        <v>633</v>
      </c>
      <c r="G24" s="593" t="s">
        <v>634</v>
      </c>
      <c r="H24" s="593" t="s">
        <v>635</v>
      </c>
    </row>
    <row r="25" spans="1:14" ht="35.25" customHeight="1">
      <c r="C25" t="s">
        <v>636</v>
      </c>
      <c r="D25" s="799" t="s">
        <v>703</v>
      </c>
      <c r="E25" s="799" t="s">
        <v>704</v>
      </c>
      <c r="F25" s="799" t="s">
        <v>705</v>
      </c>
      <c r="G25" s="799" t="s">
        <v>706</v>
      </c>
      <c r="H25" s="799">
        <v>0</v>
      </c>
    </row>
    <row r="26" spans="1:14" ht="44.65" customHeight="1">
      <c r="B26" s="6" t="s">
        <v>637</v>
      </c>
    </row>
    <row r="27" spans="1:14">
      <c r="B27" t="s">
        <v>638</v>
      </c>
      <c r="C27" s="75" t="s">
        <v>230</v>
      </c>
      <c r="D27" s="202">
        <v>109495</v>
      </c>
      <c r="E27" s="202">
        <v>9883.1820449999996</v>
      </c>
      <c r="F27" s="202">
        <v>40454.030806451607</v>
      </c>
      <c r="G27" s="202">
        <v>42246.222499999996</v>
      </c>
      <c r="H27" s="202">
        <v>0</v>
      </c>
    </row>
    <row r="28" spans="1:14">
      <c r="B28" t="s">
        <v>639</v>
      </c>
      <c r="C28" s="75" t="s">
        <v>230</v>
      </c>
      <c r="D28" s="202">
        <v>0</v>
      </c>
      <c r="E28" s="202">
        <v>0</v>
      </c>
      <c r="F28" s="202">
        <v>0</v>
      </c>
      <c r="G28" s="202">
        <v>0</v>
      </c>
      <c r="H28" s="202">
        <v>0</v>
      </c>
    </row>
    <row r="29" spans="1:14">
      <c r="B29" s="146" t="s">
        <v>527</v>
      </c>
      <c r="C29" s="75" t="s">
        <v>230</v>
      </c>
      <c r="D29" s="202">
        <v>0</v>
      </c>
      <c r="E29" s="202">
        <v>0</v>
      </c>
      <c r="F29" s="202">
        <v>0</v>
      </c>
      <c r="G29" s="202">
        <v>0</v>
      </c>
      <c r="H29" s="202">
        <v>0</v>
      </c>
    </row>
    <row r="30" spans="1:14">
      <c r="B30" t="s">
        <v>640</v>
      </c>
      <c r="C30" s="75" t="s">
        <v>230</v>
      </c>
      <c r="D30" s="202">
        <v>3650.0319800000002</v>
      </c>
      <c r="E30" s="202">
        <v>361.96174999999999</v>
      </c>
      <c r="F30" s="202">
        <v>2213.1047756451612</v>
      </c>
      <c r="G30" s="202">
        <v>2201.6590449999999</v>
      </c>
      <c r="H30" s="202">
        <v>0</v>
      </c>
    </row>
    <row r="31" spans="1:14">
      <c r="B31" s="146" t="s">
        <v>527</v>
      </c>
      <c r="C31" s="75" t="s">
        <v>230</v>
      </c>
      <c r="D31" s="202">
        <v>0</v>
      </c>
      <c r="E31" s="202">
        <v>0</v>
      </c>
      <c r="F31" s="202">
        <v>0</v>
      </c>
      <c r="G31" s="202">
        <v>0</v>
      </c>
      <c r="H31" s="202">
        <v>0</v>
      </c>
    </row>
    <row r="32" spans="1:14">
      <c r="B32" t="s">
        <v>641</v>
      </c>
      <c r="C32" s="75" t="s">
        <v>230</v>
      </c>
      <c r="D32" s="202">
        <v>13139.4</v>
      </c>
      <c r="E32" s="202">
        <v>1006.4816299999999</v>
      </c>
      <c r="F32" s="202">
        <v>4854.483696774193</v>
      </c>
      <c r="G32" s="202">
        <v>8449.2444999999989</v>
      </c>
      <c r="H32" s="202">
        <v>0</v>
      </c>
    </row>
    <row r="33" spans="2:8">
      <c r="B33" s="146" t="s">
        <v>527</v>
      </c>
      <c r="C33" s="75" t="s">
        <v>230</v>
      </c>
      <c r="D33" s="202">
        <v>0</v>
      </c>
      <c r="E33" s="202">
        <v>0</v>
      </c>
      <c r="F33" s="202">
        <v>0</v>
      </c>
      <c r="G33" s="202">
        <v>0</v>
      </c>
      <c r="H33" s="203">
        <v>0</v>
      </c>
    </row>
    <row r="34" spans="2:8">
      <c r="B34" s="6" t="s">
        <v>642</v>
      </c>
      <c r="C34" s="75" t="s">
        <v>230</v>
      </c>
      <c r="D34" s="412">
        <f>SUM(D27:D33)</f>
        <v>126284.43197999999</v>
      </c>
      <c r="E34" s="412">
        <f>SUM(E27:E33)</f>
        <v>11251.625425</v>
      </c>
      <c r="F34" s="412">
        <f>SUM(F27:F33)</f>
        <v>47521.61927887096</v>
      </c>
      <c r="G34" s="412">
        <f>SUM(G27:G33)</f>
        <v>52897.126044999997</v>
      </c>
      <c r="H34" s="412">
        <f>SUM(H27:H33)</f>
        <v>0</v>
      </c>
    </row>
    <row r="35" spans="2:8">
      <c r="B35" s="6" t="s">
        <v>643</v>
      </c>
      <c r="C35" s="75" t="s">
        <v>230</v>
      </c>
      <c r="D35" s="594">
        <v>126284.43197999998</v>
      </c>
      <c r="E35" s="594">
        <v>11251.625425</v>
      </c>
      <c r="F35" s="594">
        <v>47521.619278870967</v>
      </c>
      <c r="G35" s="594">
        <v>52897.126044999997</v>
      </c>
      <c r="H35" s="594">
        <v>0</v>
      </c>
    </row>
    <row r="36" spans="2:8">
      <c r="B36" s="146"/>
    </row>
    <row r="37" spans="2:8">
      <c r="B37" s="6" t="s">
        <v>644</v>
      </c>
    </row>
    <row r="38" spans="2:8">
      <c r="B38" t="s">
        <v>645</v>
      </c>
      <c r="C38" s="75" t="s">
        <v>230</v>
      </c>
      <c r="D38" s="202">
        <v>0</v>
      </c>
      <c r="E38" s="202">
        <v>0</v>
      </c>
      <c r="F38" s="202">
        <v>0</v>
      </c>
      <c r="G38" s="202">
        <v>0</v>
      </c>
      <c r="H38" s="202">
        <v>0</v>
      </c>
    </row>
    <row r="39" spans="2:8">
      <c r="B39" s="146" t="s">
        <v>527</v>
      </c>
      <c r="C39" s="75" t="s">
        <v>230</v>
      </c>
      <c r="D39" s="202">
        <v>107354.15376</v>
      </c>
      <c r="E39" s="202">
        <v>6064.6367646374401</v>
      </c>
      <c r="F39" s="202">
        <v>25161.892730660824</v>
      </c>
      <c r="G39" s="202">
        <v>0</v>
      </c>
      <c r="H39" s="202">
        <v>0</v>
      </c>
    </row>
    <row r="40" spans="2:8">
      <c r="B40" t="s">
        <v>646</v>
      </c>
      <c r="C40" s="75" t="s">
        <v>230</v>
      </c>
      <c r="D40" s="202">
        <v>152137.55849999998</v>
      </c>
      <c r="E40" s="202">
        <v>0</v>
      </c>
      <c r="F40" s="202">
        <v>61974.528999999995</v>
      </c>
      <c r="G40" s="202">
        <v>0</v>
      </c>
      <c r="H40" s="202">
        <v>0</v>
      </c>
    </row>
    <row r="41" spans="2:8">
      <c r="B41" s="146" t="s">
        <v>527</v>
      </c>
      <c r="C41" s="75" t="s">
        <v>230</v>
      </c>
      <c r="D41" s="202">
        <v>66851.902999999991</v>
      </c>
      <c r="E41" s="202">
        <v>0</v>
      </c>
      <c r="F41" s="202">
        <v>0</v>
      </c>
      <c r="G41" s="202">
        <v>0</v>
      </c>
      <c r="H41" s="202">
        <v>0</v>
      </c>
    </row>
    <row r="42" spans="2:8">
      <c r="B42" s="6" t="s">
        <v>647</v>
      </c>
      <c r="C42" s="75" t="s">
        <v>230</v>
      </c>
      <c r="D42" s="595">
        <f t="shared" ref="D42:H42" si="3">SUM(D38:D41)</f>
        <v>326343.61525999999</v>
      </c>
      <c r="E42" s="595">
        <f t="shared" si="3"/>
        <v>6064.6367646374401</v>
      </c>
      <c r="F42" s="595">
        <f t="shared" si="3"/>
        <v>87136.421730660819</v>
      </c>
      <c r="G42" s="595">
        <f t="shared" si="3"/>
        <v>0</v>
      </c>
      <c r="H42" s="595">
        <f t="shared" si="3"/>
        <v>0</v>
      </c>
    </row>
    <row r="43" spans="2:8">
      <c r="B43" s="6" t="s">
        <v>643</v>
      </c>
      <c r="C43" s="75" t="s">
        <v>230</v>
      </c>
      <c r="D43" s="594">
        <v>326343.61525999999</v>
      </c>
      <c r="E43" s="594">
        <v>6064.6367646374401</v>
      </c>
      <c r="F43" s="594">
        <v>87136.421730660819</v>
      </c>
      <c r="G43" s="594">
        <v>0</v>
      </c>
      <c r="H43" s="594">
        <v>0</v>
      </c>
    </row>
    <row r="45" spans="2:8">
      <c r="B45" s="6" t="s">
        <v>648</v>
      </c>
      <c r="C45" s="75" t="s">
        <v>230</v>
      </c>
      <c r="D45" s="595">
        <f t="shared" ref="D45:H45" si="4">SUM(D34,D42)</f>
        <v>452628.04723999999</v>
      </c>
      <c r="E45" s="595">
        <f t="shared" si="4"/>
        <v>17316.26218963744</v>
      </c>
      <c r="F45" s="595">
        <f t="shared" si="4"/>
        <v>134658.04100953176</v>
      </c>
      <c r="G45" s="595">
        <f t="shared" si="4"/>
        <v>52897.126044999997</v>
      </c>
      <c r="H45" s="595">
        <f t="shared" si="4"/>
        <v>0</v>
      </c>
    </row>
    <row r="46" spans="2:8">
      <c r="B46" s="6" t="s">
        <v>649</v>
      </c>
      <c r="C46" s="75" t="s">
        <v>230</v>
      </c>
      <c r="D46" s="595">
        <f>D35+D43</f>
        <v>452628.04723999999</v>
      </c>
      <c r="E46" s="595">
        <f t="shared" ref="E46:H46" si="5">E35+E43</f>
        <v>17316.26218963744</v>
      </c>
      <c r="F46" s="595">
        <f t="shared" si="5"/>
        <v>134658.04100953179</v>
      </c>
      <c r="G46" s="595">
        <f t="shared" si="5"/>
        <v>52897.126044999997</v>
      </c>
      <c r="H46" s="595">
        <f t="shared" si="5"/>
        <v>0</v>
      </c>
    </row>
    <row r="48" spans="2:8">
      <c r="B48" s="6" t="s">
        <v>650</v>
      </c>
    </row>
    <row r="49" spans="2:14">
      <c r="B49" t="s">
        <v>651</v>
      </c>
      <c r="C49" s="75" t="s">
        <v>652</v>
      </c>
      <c r="D49" s="202">
        <v>0</v>
      </c>
      <c r="E49" s="202">
        <v>0</v>
      </c>
      <c r="F49" s="202">
        <v>0</v>
      </c>
      <c r="G49" s="202">
        <v>0</v>
      </c>
      <c r="H49" s="202">
        <v>0</v>
      </c>
    </row>
    <row r="50" spans="2:14">
      <c r="B50" s="146" t="s">
        <v>527</v>
      </c>
      <c r="C50" s="75"/>
      <c r="D50" s="202">
        <v>0</v>
      </c>
      <c r="E50" s="202">
        <v>0</v>
      </c>
      <c r="F50" s="202">
        <v>0</v>
      </c>
      <c r="G50" s="202">
        <v>0</v>
      </c>
      <c r="H50" s="202">
        <v>0</v>
      </c>
    </row>
    <row r="51" spans="2:14">
      <c r="B51" t="s">
        <v>653</v>
      </c>
      <c r="C51" s="75" t="s">
        <v>194</v>
      </c>
      <c r="D51" s="202">
        <v>0</v>
      </c>
      <c r="E51" s="202">
        <v>0</v>
      </c>
      <c r="F51" s="202">
        <v>0</v>
      </c>
      <c r="G51" s="202">
        <v>0</v>
      </c>
      <c r="H51" s="202">
        <v>0</v>
      </c>
    </row>
    <row r="52" spans="2:14">
      <c r="B52" s="521" t="s">
        <v>654</v>
      </c>
      <c r="C52" s="75" t="s">
        <v>194</v>
      </c>
      <c r="D52" s="202">
        <v>0</v>
      </c>
      <c r="E52" s="202">
        <v>0</v>
      </c>
      <c r="F52" s="202">
        <v>0</v>
      </c>
      <c r="G52" s="202">
        <v>0</v>
      </c>
      <c r="H52" s="202">
        <v>0</v>
      </c>
    </row>
    <row r="53" spans="2:14">
      <c r="B53" s="6" t="s">
        <v>655</v>
      </c>
      <c r="C53" s="75" t="s">
        <v>230</v>
      </c>
      <c r="D53" s="202">
        <v>0</v>
      </c>
      <c r="E53" s="202">
        <v>0</v>
      </c>
      <c r="F53" s="202">
        <v>0</v>
      </c>
      <c r="G53" s="202">
        <v>0</v>
      </c>
      <c r="H53" s="202">
        <v>0</v>
      </c>
    </row>
    <row r="54" spans="2:14">
      <c r="B54" s="521" t="s">
        <v>656</v>
      </c>
      <c r="C54" s="75" t="s">
        <v>657</v>
      </c>
      <c r="D54" s="202">
        <v>0</v>
      </c>
      <c r="E54" s="202">
        <v>0</v>
      </c>
      <c r="F54" s="202">
        <v>0</v>
      </c>
      <c r="G54" s="202">
        <v>0</v>
      </c>
      <c r="H54" s="202">
        <v>0</v>
      </c>
    </row>
    <row r="55" spans="2:14">
      <c r="B55" s="521" t="s">
        <v>658</v>
      </c>
      <c r="C55" s="75" t="s">
        <v>659</v>
      </c>
      <c r="D55" s="202">
        <v>0</v>
      </c>
      <c r="E55" s="202">
        <v>0</v>
      </c>
      <c r="F55" s="202">
        <v>0</v>
      </c>
      <c r="G55" s="202">
        <v>0</v>
      </c>
      <c r="H55" s="202">
        <v>0</v>
      </c>
    </row>
    <row r="56" spans="2:14">
      <c r="B56" s="521" t="s">
        <v>660</v>
      </c>
      <c r="C56" s="75" t="s">
        <v>657</v>
      </c>
      <c r="D56" s="202">
        <v>0</v>
      </c>
      <c r="E56" s="202">
        <v>0</v>
      </c>
      <c r="F56" s="202">
        <v>0</v>
      </c>
      <c r="G56" s="202">
        <v>0</v>
      </c>
      <c r="H56" s="202">
        <v>0</v>
      </c>
    </row>
    <row r="57" spans="2:14">
      <c r="B57" s="6" t="s">
        <v>661</v>
      </c>
      <c r="C57" s="75" t="s">
        <v>230</v>
      </c>
      <c r="D57" s="219">
        <f>D55*D56</f>
        <v>0</v>
      </c>
      <c r="E57" s="219">
        <f t="shared" ref="E57:H57" si="6">E55*E56</f>
        <v>0</v>
      </c>
      <c r="F57" s="219">
        <f t="shared" si="6"/>
        <v>0</v>
      </c>
      <c r="G57" s="219">
        <f t="shared" si="6"/>
        <v>0</v>
      </c>
      <c r="H57" s="219">
        <f t="shared" si="6"/>
        <v>0</v>
      </c>
    </row>
    <row r="58" spans="2:14">
      <c r="C58" s="75"/>
    </row>
    <row r="59" spans="2:14">
      <c r="B59" s="6" t="s">
        <v>662</v>
      </c>
      <c r="C59" s="75" t="s">
        <v>230</v>
      </c>
      <c r="D59" s="202">
        <v>0</v>
      </c>
      <c r="E59" s="202">
        <v>0</v>
      </c>
      <c r="F59" s="202">
        <v>0</v>
      </c>
      <c r="G59" s="202">
        <v>0</v>
      </c>
      <c r="H59" s="202">
        <v>0</v>
      </c>
    </row>
    <row r="60" spans="2:14">
      <c r="B60" s="6"/>
      <c r="C60" s="6"/>
      <c r="D60" s="6"/>
      <c r="E60" s="6"/>
      <c r="F60" s="6"/>
      <c r="G60" s="6"/>
      <c r="H60" s="6"/>
      <c r="I60" s="6"/>
      <c r="J60" s="6"/>
      <c r="K60" s="6"/>
      <c r="L60" s="6"/>
      <c r="M60" s="6"/>
      <c r="N60" s="6"/>
    </row>
    <row r="61" spans="2:14">
      <c r="B61" s="6" t="s">
        <v>663</v>
      </c>
      <c r="C61" s="75"/>
      <c r="D61" s="219">
        <f>D53+D57+D59</f>
        <v>0</v>
      </c>
      <c r="E61" s="219">
        <f>E53+E57+E59</f>
        <v>0</v>
      </c>
      <c r="F61" s="219">
        <f>F53+F57+F59</f>
        <v>0</v>
      </c>
      <c r="G61" s="219">
        <f>G53+G57+G59</f>
        <v>0</v>
      </c>
      <c r="H61" s="219">
        <f>H53+H57+H59</f>
        <v>0</v>
      </c>
    </row>
    <row r="62" spans="2:14">
      <c r="B62" s="6" t="s">
        <v>643</v>
      </c>
      <c r="C62" s="75" t="s">
        <v>230</v>
      </c>
      <c r="D62" s="202">
        <v>0</v>
      </c>
      <c r="E62" s="202">
        <v>0</v>
      </c>
      <c r="F62" s="202">
        <v>0</v>
      </c>
      <c r="G62" s="202">
        <v>0</v>
      </c>
      <c r="H62" s="202">
        <v>0</v>
      </c>
    </row>
    <row r="63" spans="2:14">
      <c r="B63" s="6"/>
      <c r="C63" s="75"/>
      <c r="D63" s="6"/>
      <c r="E63" s="6"/>
      <c r="F63" s="6"/>
      <c r="G63" s="6"/>
      <c r="H63" s="6"/>
      <c r="J63" s="6"/>
      <c r="K63" s="6"/>
    </row>
    <row r="64" spans="2:14">
      <c r="B64" s="6" t="s">
        <v>664</v>
      </c>
      <c r="C64" s="75" t="s">
        <v>230</v>
      </c>
      <c r="D64" s="219">
        <f>D45+D61</f>
        <v>452628.04723999999</v>
      </c>
      <c r="E64" s="219">
        <f t="shared" ref="E64:H64" si="7">E45+E61</f>
        <v>17316.26218963744</v>
      </c>
      <c r="F64" s="219">
        <f t="shared" si="7"/>
        <v>134658.04100953176</v>
      </c>
      <c r="G64" s="219">
        <f t="shared" si="7"/>
        <v>52897.126044999997</v>
      </c>
      <c r="H64" s="219">
        <f t="shared" si="7"/>
        <v>0</v>
      </c>
    </row>
    <row r="65" spans="1:12">
      <c r="B65" s="6" t="s">
        <v>665</v>
      </c>
      <c r="C65" s="75" t="s">
        <v>230</v>
      </c>
      <c r="D65" s="219">
        <f>D46+D62</f>
        <v>452628.04723999999</v>
      </c>
      <c r="E65" s="219">
        <f t="shared" ref="E65:H65" si="8">E46+E62</f>
        <v>17316.26218963744</v>
      </c>
      <c r="F65" s="219">
        <f t="shared" si="8"/>
        <v>134658.04100953179</v>
      </c>
      <c r="G65" s="219">
        <f t="shared" si="8"/>
        <v>52897.126044999997</v>
      </c>
      <c r="H65" s="219">
        <f t="shared" si="8"/>
        <v>0</v>
      </c>
      <c r="J65" s="6"/>
    </row>
    <row r="66" spans="1:12">
      <c r="B66" s="6"/>
      <c r="C66" s="75"/>
      <c r="D66" s="414"/>
      <c r="E66" s="414"/>
      <c r="F66" s="414"/>
      <c r="G66" s="414"/>
      <c r="H66" s="414"/>
      <c r="J66" s="6"/>
    </row>
    <row r="67" spans="1:12">
      <c r="B67" s="6" t="s">
        <v>666</v>
      </c>
      <c r="C67" s="75"/>
      <c r="D67" s="414"/>
      <c r="E67" s="414"/>
      <c r="F67" s="414"/>
      <c r="G67" s="414"/>
      <c r="H67" s="414"/>
      <c r="J67" s="6"/>
    </row>
    <row r="68" spans="1:12">
      <c r="B68" t="s">
        <v>667</v>
      </c>
      <c r="C68" s="75"/>
      <c r="D68" s="594">
        <v>0</v>
      </c>
      <c r="E68" s="414"/>
      <c r="F68" s="414"/>
      <c r="G68" s="414"/>
      <c r="H68" s="414"/>
      <c r="J68" s="6"/>
    </row>
    <row r="69" spans="1:12">
      <c r="B69" t="s">
        <v>668</v>
      </c>
      <c r="C69" s="75"/>
      <c r="D69" s="594">
        <v>0</v>
      </c>
      <c r="E69" s="414"/>
      <c r="F69" s="414"/>
      <c r="G69" s="414"/>
      <c r="H69" s="414"/>
      <c r="J69" s="6"/>
    </row>
    <row r="70" spans="1:12">
      <c r="B70" t="s">
        <v>669</v>
      </c>
      <c r="C70" s="75"/>
      <c r="D70" s="594">
        <v>0</v>
      </c>
      <c r="E70" s="414"/>
      <c r="F70" s="414"/>
      <c r="G70" s="414"/>
      <c r="H70" s="414"/>
      <c r="J70" s="6"/>
    </row>
    <row r="71" spans="1:12">
      <c r="B71" s="6"/>
      <c r="C71" s="75"/>
      <c r="D71" s="414"/>
      <c r="E71" s="414"/>
      <c r="F71" s="414"/>
      <c r="G71" s="414"/>
      <c r="H71" s="414"/>
      <c r="J71" s="6"/>
    </row>
    <row r="72" spans="1:12">
      <c r="A72" s="349" t="s">
        <v>670</v>
      </c>
      <c r="B72" s="6"/>
      <c r="C72" s="75"/>
      <c r="D72" s="75"/>
      <c r="E72" s="75"/>
      <c r="F72" s="75"/>
      <c r="G72" s="75"/>
      <c r="H72" s="75"/>
      <c r="I72" s="75"/>
      <c r="J72" s="75"/>
      <c r="K72" s="75"/>
      <c r="L72" s="75"/>
    </row>
    <row r="73" spans="1:12">
      <c r="A73" s="349" t="s">
        <v>671</v>
      </c>
      <c r="B73" s="6"/>
      <c r="C73" s="6"/>
      <c r="D73" s="6"/>
      <c r="E73" s="6"/>
      <c r="F73" s="6"/>
      <c r="G73" s="6"/>
      <c r="H73" s="6"/>
      <c r="I73" s="6"/>
      <c r="J73" s="6"/>
    </row>
    <row r="74" spans="1:12">
      <c r="A74" s="349"/>
      <c r="B74" s="6"/>
      <c r="C74" s="6"/>
      <c r="D74" s="6"/>
      <c r="E74" s="6"/>
      <c r="F74" s="6"/>
      <c r="G74" s="6"/>
      <c r="H74" s="6"/>
      <c r="I74" s="6"/>
      <c r="J74" s="6"/>
    </row>
    <row r="75" spans="1:12">
      <c r="B75" s="6" t="s">
        <v>672</v>
      </c>
    </row>
    <row r="76" spans="1:12">
      <c r="B76" s="6"/>
    </row>
    <row r="77" spans="1:12" ht="24.75">
      <c r="B77" s="796" t="s">
        <v>673</v>
      </c>
      <c r="C77" s="797"/>
      <c r="D77" s="797"/>
      <c r="E77" s="797"/>
      <c r="F77" s="797"/>
      <c r="G77" s="773"/>
      <c r="H77" s="798"/>
    </row>
    <row r="78" spans="1:12">
      <c r="B78" s="631"/>
      <c r="C78" s="632"/>
      <c r="D78" s="362"/>
      <c r="E78" s="335"/>
      <c r="F78" s="335"/>
      <c r="G78" s="335"/>
      <c r="H78" s="363"/>
    </row>
    <row r="79" spans="1:12">
      <c r="B79" s="631"/>
      <c r="C79" s="632"/>
      <c r="D79" s="362"/>
      <c r="E79" s="335"/>
      <c r="F79" s="335"/>
      <c r="G79" s="335"/>
      <c r="H79" s="363"/>
    </row>
    <row r="80" spans="1:12">
      <c r="B80" s="631"/>
      <c r="C80" s="632"/>
      <c r="D80" s="362"/>
      <c r="E80" s="335"/>
      <c r="F80" s="335"/>
      <c r="G80" s="335"/>
      <c r="H80" s="363"/>
    </row>
    <row r="81" spans="2:8">
      <c r="B81" s="631"/>
      <c r="C81" s="632"/>
      <c r="D81" s="362"/>
      <c r="E81" s="335"/>
      <c r="F81" s="335"/>
      <c r="G81" s="335"/>
      <c r="H81" s="363"/>
    </row>
    <row r="82" spans="2:8">
      <c r="B82" s="633"/>
      <c r="C82" s="634"/>
      <c r="D82" s="581"/>
      <c r="E82" s="582"/>
      <c r="F82" s="582"/>
      <c r="G82" s="582"/>
      <c r="H82" s="365"/>
    </row>
  </sheetData>
  <mergeCells count="1">
    <mergeCell ref="D23:H23"/>
  </mergeCells>
  <phoneticPr fontId="251" type="noConversion"/>
  <conditionalFormatting sqref="D5:G6">
    <cfRule type="expression" dxfId="32" priority="45">
      <formula>AND(D$5="Actuals",E$5="N/A")</formula>
    </cfRule>
  </conditionalFormatting>
  <conditionalFormatting sqref="D5:H6 D34:H34 D57:H57 D64:H67 D71:H71 E68:H70">
    <cfRule type="expression" dxfId="31" priority="37">
      <formula>D$5="N/A"</formula>
    </cfRule>
  </conditionalFormatting>
  <conditionalFormatting sqref="D20:H20">
    <cfRule type="expression" priority="31">
      <formula>D$5="N/A"</formula>
    </cfRule>
  </conditionalFormatting>
  <conditionalFormatting sqref="H5:H6">
    <cfRule type="expression" dxfId="30" priority="284">
      <formula>AND(H$5="Actuals",#REF!="N/A")</formula>
    </cfRule>
  </conditionalFormatting>
  <conditionalFormatting sqref="D61:H61">
    <cfRule type="expression" dxfId="29" priority="23">
      <formula>D$5="N/A"</formula>
    </cfRule>
  </conditionalFormatting>
  <conditionalFormatting sqref="D7:H7">
    <cfRule type="expression" dxfId="28" priority="20">
      <formula>AND(D$5="Actuals",E$5="Forecast")</formula>
    </cfRule>
  </conditionalFormatting>
  <conditionalFormatting sqref="E11:H11">
    <cfRule type="expression" dxfId="27" priority="15">
      <formula>E$5="Forecast"</formula>
    </cfRule>
  </conditionalFormatting>
  <conditionalFormatting sqref="E13:H14">
    <cfRule type="expression" dxfId="26" priority="14">
      <formula>E$5="Forecast"</formula>
    </cfRule>
  </conditionalFormatting>
  <conditionalFormatting sqref="E15:H15">
    <cfRule type="expression" dxfId="25" priority="13">
      <formula>E$5="Forecast"</formula>
    </cfRule>
  </conditionalFormatting>
  <conditionalFormatting sqref="E18:H18">
    <cfRule type="expression" dxfId="24" priority="12">
      <formula>E$5="Forecast"</formula>
    </cfRule>
  </conditionalFormatting>
  <conditionalFormatting sqref="D16:H16">
    <cfRule type="expression" dxfId="23" priority="11">
      <formula>D$5="Forecast"</formula>
    </cfRule>
  </conditionalFormatting>
  <conditionalFormatting sqref="D11">
    <cfRule type="expression" dxfId="22" priority="10">
      <formula>D$5="Forecast"</formula>
    </cfRule>
  </conditionalFormatting>
  <conditionalFormatting sqref="D13:D15">
    <cfRule type="expression" dxfId="21" priority="9">
      <formula>D$5="Forecast"</formula>
    </cfRule>
  </conditionalFormatting>
  <conditionalFormatting sqref="D18">
    <cfRule type="expression" dxfId="20" priority="8">
      <formula>D$5="Forecast"</formula>
    </cfRule>
  </conditionalFormatting>
  <conditionalFormatting sqref="D27:H33">
    <cfRule type="expression" dxfId="19" priority="7">
      <formula>D$5="N/A"</formula>
    </cfRule>
  </conditionalFormatting>
  <conditionalFormatting sqref="D35:H35 D38:H41">
    <cfRule type="expression" dxfId="18" priority="6">
      <formula>D$5="N/A"</formula>
    </cfRule>
  </conditionalFormatting>
  <conditionalFormatting sqref="D43:H43">
    <cfRule type="expression" dxfId="17" priority="5">
      <formula>D$5="N/A"</formula>
    </cfRule>
  </conditionalFormatting>
  <conditionalFormatting sqref="D49:H56">
    <cfRule type="expression" dxfId="16" priority="4">
      <formula>D$5="N/A"</formula>
    </cfRule>
  </conditionalFormatting>
  <conditionalFormatting sqref="D59:H59">
    <cfRule type="expression" dxfId="15" priority="3">
      <formula>D$5="N/A"</formula>
    </cfRule>
  </conditionalFormatting>
  <conditionalFormatting sqref="D62:H62">
    <cfRule type="expression" dxfId="14" priority="2">
      <formula>D$5="N/A"</formula>
    </cfRule>
  </conditionalFormatting>
  <conditionalFormatting sqref="D68:D70">
    <cfRule type="expression" dxfId="13" priority="1">
      <formula>D$5="N/A"</formula>
    </cfRule>
  </conditionalFormatting>
  <pageMargins left="0.70866141732283472" right="0.70866141732283472" top="0.74803149606299213" bottom="0.74803149606299213" header="0.31496062992125984" footer="0.31496062992125984"/>
  <pageSetup paperSize="8" orientation="landscape" r:id="rId1"/>
  <customProperties>
    <customPr name="_pios_id"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8">
    <tabColor rgb="FFFFFFCC"/>
    <pageSetUpPr fitToPage="1"/>
  </sheetPr>
  <dimension ref="A1:J67"/>
  <sheetViews>
    <sheetView showGridLines="0" zoomScale="80" zoomScaleNormal="70" workbookViewId="0">
      <pane ySplit="6" topLeftCell="A17" activePane="bottomLeft" state="frozen"/>
      <selection activeCell="D15" sqref="D15"/>
      <selection pane="bottomLeft" activeCell="D21" sqref="D21"/>
    </sheetView>
  </sheetViews>
  <sheetFormatPr defaultRowHeight="12.4"/>
  <cols>
    <col min="1" max="1" width="8.3515625" customWidth="1"/>
    <col min="2" max="2" width="82" customWidth="1"/>
    <col min="3" max="3" width="14.1171875" customWidth="1"/>
    <col min="4" max="8" width="11.1171875" customWidth="1"/>
    <col min="9" max="9" width="6.64453125" bestFit="1" customWidth="1"/>
  </cols>
  <sheetData>
    <row r="1" spans="1:10" ht="20.65">
      <c r="A1" s="776" t="s">
        <v>674</v>
      </c>
      <c r="B1" s="395"/>
      <c r="C1" s="396"/>
      <c r="D1" s="396"/>
      <c r="E1" s="396"/>
      <c r="F1" s="396"/>
      <c r="G1" s="396"/>
      <c r="H1" s="396"/>
      <c r="I1" s="785"/>
    </row>
    <row r="2" spans="1:10" ht="20.65">
      <c r="A2" s="293" t="str">
        <f>Licensee</f>
        <v>Cadent-WM</v>
      </c>
      <c r="B2" s="288"/>
      <c r="C2" s="16"/>
      <c r="D2" s="16"/>
      <c r="E2" s="16"/>
      <c r="F2" s="16"/>
      <c r="G2" s="16"/>
      <c r="H2" s="16"/>
      <c r="I2" s="65"/>
    </row>
    <row r="3" spans="1:10" ht="20.65">
      <c r="A3" s="288">
        <f>Reporting_Year</f>
        <v>2022</v>
      </c>
      <c r="B3" s="588"/>
      <c r="C3" s="575"/>
      <c r="D3" s="575"/>
      <c r="E3" s="575"/>
      <c r="F3" s="575"/>
      <c r="G3" s="575"/>
      <c r="H3" s="575"/>
      <c r="I3" s="119"/>
    </row>
    <row r="4" spans="1:10" s="2" customFormat="1" ht="12.75" customHeight="1">
      <c r="B4" s="3"/>
      <c r="C4"/>
      <c r="D4" s="123"/>
      <c r="E4" s="123"/>
    </row>
    <row r="5" spans="1:10" s="2" customFormat="1" ht="12.75" customHeight="1">
      <c r="B5" s="3"/>
      <c r="C5"/>
      <c r="D5" s="596" t="str">
        <f t="shared" ref="D5:H5" si="0">IF(D6&lt;=Reporting_Year,"Actuals","Forecast")</f>
        <v>Actuals</v>
      </c>
      <c r="E5" s="596" t="str">
        <f t="shared" si="0"/>
        <v>Forecast</v>
      </c>
      <c r="F5" s="596" t="str">
        <f t="shared" si="0"/>
        <v>Forecast</v>
      </c>
      <c r="G5" s="596" t="str">
        <f t="shared" si="0"/>
        <v>Forecast</v>
      </c>
      <c r="H5" s="596" t="str">
        <f t="shared" si="0"/>
        <v>Forecast</v>
      </c>
      <c r="I5" s="1"/>
    </row>
    <row r="6" spans="1:10" s="2" customFormat="1">
      <c r="C6"/>
      <c r="D6" s="420">
        <f>'RFPR cover'!$C$6</f>
        <v>2022</v>
      </c>
      <c r="E6" s="420">
        <f>D6+1</f>
        <v>2023</v>
      </c>
      <c r="F6" s="420">
        <f t="shared" ref="F6:H6" si="1">E6+1</f>
        <v>2024</v>
      </c>
      <c r="G6" s="420">
        <f t="shared" si="1"/>
        <v>2025</v>
      </c>
      <c r="H6" s="420">
        <f t="shared" si="1"/>
        <v>2026</v>
      </c>
      <c r="I6" s="1"/>
    </row>
    <row r="7" spans="1:10"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c r="I7" s="1"/>
    </row>
    <row r="8" spans="1:10" s="2" customFormat="1">
      <c r="I8" s="1"/>
    </row>
    <row r="9" spans="1:10" s="2" customFormat="1">
      <c r="B9" s="61" t="s">
        <v>675</v>
      </c>
      <c r="C9" s="73"/>
      <c r="D9" s="40"/>
      <c r="E9" s="40"/>
      <c r="F9" s="40"/>
      <c r="G9" s="40"/>
      <c r="H9" s="40"/>
      <c r="I9" s="1"/>
    </row>
    <row r="10" spans="1:10" s="2" customFormat="1">
      <c r="B10" s="5"/>
      <c r="C10" s="69"/>
      <c r="I10" s="1"/>
    </row>
    <row r="11" spans="1:10" s="2" customFormat="1">
      <c r="B11" s="5"/>
      <c r="C11" s="69"/>
      <c r="I11" s="1"/>
    </row>
    <row r="12" spans="1:10">
      <c r="B12" s="6" t="s">
        <v>676</v>
      </c>
      <c r="C12" s="75" t="s">
        <v>230</v>
      </c>
      <c r="D12" s="597">
        <v>4.0838824620899148</v>
      </c>
      <c r="E12" s="597"/>
      <c r="F12" s="597"/>
      <c r="G12" s="597"/>
      <c r="H12" s="597"/>
      <c r="I12" s="1"/>
      <c r="J12" s="2"/>
    </row>
    <row r="13" spans="1:10">
      <c r="B13" s="8" t="s">
        <v>677</v>
      </c>
      <c r="D13" s="236"/>
      <c r="E13" s="236"/>
      <c r="F13" s="236"/>
      <c r="G13" s="236"/>
      <c r="H13" s="236"/>
      <c r="J13" s="2"/>
    </row>
    <row r="14" spans="1:10">
      <c r="B14" t="s">
        <v>678</v>
      </c>
      <c r="C14" s="75" t="s">
        <v>230</v>
      </c>
      <c r="D14" s="597">
        <v>5.7517872397326855</v>
      </c>
      <c r="E14" s="597"/>
      <c r="F14" s="597"/>
      <c r="G14" s="597"/>
      <c r="H14" s="597"/>
      <c r="I14" s="1"/>
      <c r="J14" s="2"/>
    </row>
    <row r="15" spans="1:10">
      <c r="B15" t="s">
        <v>679</v>
      </c>
      <c r="C15" s="75" t="s">
        <v>230</v>
      </c>
      <c r="D15" s="597">
        <v>-1.6679047776427705</v>
      </c>
      <c r="E15" s="597"/>
      <c r="F15" s="597"/>
      <c r="G15" s="597"/>
      <c r="H15" s="597"/>
      <c r="I15" s="1"/>
      <c r="J15" s="2"/>
    </row>
    <row r="16" spans="1:10">
      <c r="D16" s="236"/>
      <c r="E16" s="236"/>
      <c r="F16" s="236"/>
      <c r="G16" s="236"/>
      <c r="H16" s="236"/>
      <c r="I16" s="1"/>
      <c r="J16" s="2"/>
    </row>
    <row r="17" spans="2:10">
      <c r="D17" s="236"/>
      <c r="E17" s="236"/>
      <c r="F17" s="236"/>
      <c r="G17" s="236"/>
      <c r="H17" s="236"/>
      <c r="I17" s="1"/>
      <c r="J17" s="2"/>
    </row>
    <row r="18" spans="2:10">
      <c r="B18" t="s">
        <v>678</v>
      </c>
      <c r="C18" s="94" t="str">
        <f>Data!$C$9</f>
        <v>£m 18/19</v>
      </c>
      <c r="D18" s="583">
        <f t="shared" ref="D18:H18" si="2">D$14/INDEX(real_to_nominal_CF,MATCH(D6,calendar_year,0))</f>
        <v>5.3022442537650347</v>
      </c>
      <c r="E18" s="583">
        <f t="shared" si="2"/>
        <v>0</v>
      </c>
      <c r="F18" s="583">
        <f t="shared" si="2"/>
        <v>0</v>
      </c>
      <c r="G18" s="583">
        <f t="shared" si="2"/>
        <v>0</v>
      </c>
      <c r="H18" s="583">
        <f t="shared" si="2"/>
        <v>0</v>
      </c>
      <c r="I18" s="1"/>
      <c r="J18" s="2"/>
    </row>
    <row r="19" spans="2:10">
      <c r="D19" s="236"/>
      <c r="E19" s="236"/>
      <c r="F19" s="236"/>
      <c r="G19" s="236"/>
      <c r="H19" s="236"/>
      <c r="I19" s="1"/>
      <c r="J19" s="2"/>
    </row>
    <row r="20" spans="2:10">
      <c r="D20" s="236"/>
      <c r="E20" s="236"/>
      <c r="F20" s="236"/>
      <c r="G20" s="236"/>
      <c r="H20" s="236"/>
      <c r="I20" s="1"/>
      <c r="J20" s="2"/>
    </row>
    <row r="21" spans="2:10" s="2" customFormat="1">
      <c r="B21" s="6" t="s">
        <v>680</v>
      </c>
      <c r="C21" s="94" t="str">
        <f>Data!$C$9</f>
        <v>£m 18/19</v>
      </c>
      <c r="D21" s="598">
        <v>7.4</v>
      </c>
      <c r="E21" s="598">
        <v>5.0999999999999996</v>
      </c>
      <c r="F21" s="598">
        <v>0</v>
      </c>
      <c r="G21" s="598">
        <v>0</v>
      </c>
      <c r="H21" s="598">
        <v>0</v>
      </c>
      <c r="I21" s="1"/>
    </row>
    <row r="22" spans="2:10" s="2" customFormat="1">
      <c r="B22" t="s">
        <v>681</v>
      </c>
      <c r="C22" s="94" t="str">
        <f>Data!$C$9</f>
        <v>£m 18/19</v>
      </c>
      <c r="D22" s="597">
        <v>3.1</v>
      </c>
      <c r="E22" s="591">
        <v>3.1</v>
      </c>
      <c r="F22" s="591">
        <v>0</v>
      </c>
      <c r="G22" s="591">
        <v>0</v>
      </c>
      <c r="H22" s="591">
        <v>0</v>
      </c>
      <c r="I22" s="1"/>
    </row>
    <row r="23" spans="2:10" s="2" customFormat="1">
      <c r="B23" s="6" t="s">
        <v>682</v>
      </c>
      <c r="C23" s="94" t="str">
        <f>Data!$C$9</f>
        <v>£m 18/19</v>
      </c>
      <c r="D23" s="583">
        <f>D21-D22</f>
        <v>4.3000000000000007</v>
      </c>
      <c r="E23" s="583">
        <f t="shared" ref="E23:H23" si="3">E21-E22</f>
        <v>1.9999999999999996</v>
      </c>
      <c r="F23" s="583">
        <f t="shared" si="3"/>
        <v>0</v>
      </c>
      <c r="G23" s="583">
        <f t="shared" si="3"/>
        <v>0</v>
      </c>
      <c r="H23" s="583">
        <f t="shared" si="3"/>
        <v>0</v>
      </c>
      <c r="I23" s="1"/>
    </row>
    <row r="24" spans="2:10" s="2" customFormat="1">
      <c r="B24" s="6"/>
      <c r="C24" s="6"/>
      <c r="D24" s="6"/>
      <c r="E24" s="6"/>
      <c r="F24" s="6"/>
      <c r="G24" s="6"/>
      <c r="H24" s="6"/>
      <c r="I24" s="1"/>
    </row>
    <row r="25" spans="2:10" s="2" customFormat="1">
      <c r="B25" s="6"/>
      <c r="C25" s="6"/>
      <c r="D25" s="877" t="s">
        <v>683</v>
      </c>
      <c r="E25" s="6"/>
      <c r="F25" s="6"/>
      <c r="G25" s="6"/>
      <c r="H25" s="6"/>
      <c r="I25" s="1"/>
    </row>
    <row r="26" spans="2:10" s="2" customFormat="1" ht="12.75" customHeight="1">
      <c r="B26" s="6"/>
      <c r="C26" s="6"/>
      <c r="D26" s="878"/>
      <c r="E26" s="6"/>
      <c r="F26" s="6"/>
      <c r="G26" s="6"/>
      <c r="H26" s="6"/>
      <c r="I26" s="1"/>
    </row>
    <row r="27" spans="2:10">
      <c r="C27" s="6"/>
      <c r="D27" s="879"/>
      <c r="E27" s="6"/>
      <c r="I27" s="1"/>
    </row>
    <row r="28" spans="2:10">
      <c r="B28" s="6" t="s">
        <v>684</v>
      </c>
      <c r="C28" s="6"/>
      <c r="D28" s="599">
        <v>43555</v>
      </c>
      <c r="I28" s="1"/>
    </row>
    <row r="29" spans="2:10">
      <c r="B29" s="6"/>
      <c r="C29" s="6"/>
      <c r="D29" s="23"/>
      <c r="E29" s="24"/>
      <c r="F29" s="24"/>
      <c r="I29" s="1"/>
    </row>
    <row r="30" spans="2:10">
      <c r="B30" t="s">
        <v>548</v>
      </c>
      <c r="C30" s="6"/>
      <c r="D30" s="599">
        <v>43555</v>
      </c>
      <c r="E30" s="24"/>
      <c r="F30" s="24"/>
      <c r="I30" s="1"/>
    </row>
    <row r="31" spans="2:10">
      <c r="C31" s="6"/>
      <c r="D31" s="23"/>
      <c r="E31" s="24"/>
      <c r="F31" s="24"/>
      <c r="I31" s="1"/>
    </row>
    <row r="32" spans="2:10">
      <c r="B32" s="6"/>
      <c r="D32" s="143"/>
      <c r="E32" s="24"/>
      <c r="F32" s="24"/>
      <c r="I32" s="1"/>
    </row>
    <row r="33" spans="2:9">
      <c r="B33" t="s">
        <v>685</v>
      </c>
      <c r="C33" s="648" t="str">
        <f>"£m "&amp;$D$30</f>
        <v>£m 43555</v>
      </c>
      <c r="D33" s="591">
        <v>189.9403274103077</v>
      </c>
      <c r="I33" s="1"/>
    </row>
    <row r="34" spans="2:9">
      <c r="B34" t="s">
        <v>686</v>
      </c>
      <c r="C34" s="648" t="str">
        <f>"£m "&amp;$D$30</f>
        <v>£m 43555</v>
      </c>
      <c r="D34" s="591">
        <v>6559.7596725896919</v>
      </c>
      <c r="I34" s="1"/>
    </row>
    <row r="35" spans="2:9">
      <c r="C35" s="143"/>
      <c r="D35" s="236"/>
      <c r="I35" s="1"/>
    </row>
    <row r="36" spans="2:9">
      <c r="B36" t="s">
        <v>687</v>
      </c>
      <c r="C36" s="648" t="str">
        <f>"£m "&amp;$D$30</f>
        <v>£m 43555</v>
      </c>
      <c r="D36" s="591">
        <v>221.90000000000003</v>
      </c>
      <c r="I36" s="1"/>
    </row>
    <row r="37" spans="2:9">
      <c r="B37" t="s">
        <v>688</v>
      </c>
      <c r="C37" s="648" t="str">
        <f>"£m "&amp;$D$30</f>
        <v>£m 43555</v>
      </c>
      <c r="D37" s="591">
        <v>6445.5000000000009</v>
      </c>
      <c r="I37" s="1"/>
    </row>
    <row r="38" spans="2:9">
      <c r="C38" s="143"/>
      <c r="D38" s="236"/>
      <c r="I38" s="1"/>
    </row>
    <row r="39" spans="2:9">
      <c r="B39" s="25" t="s">
        <v>689</v>
      </c>
      <c r="C39" s="648" t="str">
        <f>"£m "&amp;$D$30</f>
        <v>£m 43555</v>
      </c>
      <c r="D39" s="583">
        <f>D33-D36</f>
        <v>-31.959672589692332</v>
      </c>
      <c r="I39" s="1"/>
    </row>
    <row r="40" spans="2:9">
      <c r="B40" s="25" t="s">
        <v>690</v>
      </c>
      <c r="C40" s="648" t="str">
        <f>"£m "&amp;$D$30</f>
        <v>£m 43555</v>
      </c>
      <c r="D40" s="583">
        <f>D34-D37</f>
        <v>114.25967258969104</v>
      </c>
      <c r="I40" s="1"/>
    </row>
    <row r="41" spans="2:9">
      <c r="C41" s="143"/>
      <c r="D41" s="236"/>
      <c r="I41" s="1"/>
    </row>
    <row r="42" spans="2:9">
      <c r="B42" t="s">
        <v>691</v>
      </c>
      <c r="C42" s="648" t="str">
        <f>"£m "&amp;$D$30</f>
        <v>£m 43555</v>
      </c>
      <c r="D42" s="591">
        <v>20.76098250954686</v>
      </c>
      <c r="I42" s="1"/>
    </row>
    <row r="43" spans="2:9">
      <c r="B43" t="s">
        <v>692</v>
      </c>
      <c r="C43" s="648" t="str">
        <f>"£m "&amp;$D$30</f>
        <v>£m 43555</v>
      </c>
      <c r="D43" s="591">
        <v>-6.0143602028689829</v>
      </c>
      <c r="I43" s="1"/>
    </row>
    <row r="44" spans="2:9">
      <c r="I44" s="1"/>
    </row>
    <row r="45" spans="2:9">
      <c r="I45" s="1"/>
    </row>
    <row r="46" spans="2:9">
      <c r="I46" s="1"/>
    </row>
    <row r="47" spans="2:9">
      <c r="B47" s="61" t="s">
        <v>693</v>
      </c>
      <c r="C47" s="73"/>
      <c r="D47" s="40"/>
      <c r="E47" s="40"/>
      <c r="F47" s="40"/>
      <c r="G47" s="40"/>
      <c r="H47" s="40"/>
      <c r="I47" s="1"/>
    </row>
    <row r="48" spans="2:9">
      <c r="I48" s="1"/>
    </row>
    <row r="49" spans="1:9">
      <c r="I49" s="1"/>
    </row>
    <row r="50" spans="1:9">
      <c r="I50" s="1"/>
    </row>
    <row r="51" spans="1:9">
      <c r="A51" s="2"/>
      <c r="B51" s="3"/>
      <c r="C51" s="3"/>
      <c r="D51" s="596" t="str">
        <f t="shared" ref="D51:H51" si="4">IF(D52&lt;=Reporting_Year,"Actuals","Forecast")</f>
        <v>Actuals</v>
      </c>
      <c r="E51" s="596" t="str">
        <f t="shared" si="4"/>
        <v>Forecast</v>
      </c>
      <c r="F51" s="596" t="str">
        <f t="shared" si="4"/>
        <v>Forecast</v>
      </c>
      <c r="G51" s="596" t="str">
        <f t="shared" si="4"/>
        <v>Forecast</v>
      </c>
      <c r="H51" s="596" t="str">
        <f t="shared" si="4"/>
        <v>Forecast</v>
      </c>
      <c r="I51" s="1"/>
    </row>
    <row r="52" spans="1:9">
      <c r="A52" s="2"/>
      <c r="B52" s="2"/>
      <c r="C52" s="6"/>
      <c r="D52" s="420">
        <f>'RFPR cover'!$C$6</f>
        <v>2022</v>
      </c>
      <c r="E52" s="420">
        <f t="shared" ref="E52:H52" si="5">D52+1</f>
        <v>2023</v>
      </c>
      <c r="F52" s="420">
        <f t="shared" si="5"/>
        <v>2024</v>
      </c>
      <c r="G52" s="420">
        <f t="shared" si="5"/>
        <v>2025</v>
      </c>
      <c r="H52" s="420">
        <f t="shared" si="5"/>
        <v>2026</v>
      </c>
      <c r="I52" s="1"/>
    </row>
    <row r="53" spans="1:9">
      <c r="D53" s="237"/>
      <c r="E53" s="237"/>
      <c r="F53" s="237"/>
      <c r="G53" s="237"/>
      <c r="H53" s="237"/>
      <c r="I53" s="1"/>
    </row>
    <row r="54" spans="1:9">
      <c r="B54" s="5" t="s">
        <v>694</v>
      </c>
      <c r="C54" s="94" t="str">
        <f>Data!$C$9</f>
        <v>£m 18/19</v>
      </c>
      <c r="D54" s="600">
        <f>(D$62+D$67)/INDEX(real_to_nominal_CF,MATCH('[8]R10 - Pensions &amp; Oth Activities'!D52,calendar_year,0))</f>
        <v>0.860900708183998</v>
      </c>
      <c r="E54" s="600">
        <f>(E$62+E$67)/INDEX(real_to_nominal_CF,MATCH('[8]R10 - Pensions &amp; Oth Activities'!E52,calendar_year,0))</f>
        <v>0.74020333620775547</v>
      </c>
      <c r="F54" s="600">
        <f>(F$62+F$67)/INDEX(real_to_nominal_CF,MATCH('[8]R10 - Pensions &amp; Oth Activities'!F52,calendar_year,0))</f>
        <v>0.71638321021731544</v>
      </c>
      <c r="G54" s="600">
        <f>(G$62+G$67)/INDEX(real_to_nominal_CF,MATCH('[8]R10 - Pensions &amp; Oth Activities'!G52,calendar_year,0))</f>
        <v>0.70444701123725628</v>
      </c>
      <c r="H54" s="600">
        <f>(H$62+H$67)/INDEX(real_to_nominal_CF,MATCH('[8]R10 - Pensions &amp; Oth Activities'!H52,calendar_year,0))</f>
        <v>0.69124099794357441</v>
      </c>
      <c r="I54" s="1"/>
    </row>
    <row r="55" spans="1:9">
      <c r="D55" s="237"/>
      <c r="E55" s="237"/>
      <c r="F55" s="237"/>
      <c r="G55" s="237"/>
      <c r="H55" s="237"/>
    </row>
    <row r="56" spans="1:9">
      <c r="B56" s="6" t="s">
        <v>695</v>
      </c>
      <c r="D56" s="237"/>
      <c r="E56" s="237"/>
      <c r="F56" s="237"/>
      <c r="G56" s="237"/>
      <c r="H56" s="237"/>
    </row>
    <row r="57" spans="1:9">
      <c r="B57" s="661" t="s">
        <v>696</v>
      </c>
      <c r="C57" s="75" t="s">
        <v>230</v>
      </c>
      <c r="D57" s="594">
        <v>0</v>
      </c>
      <c r="E57" s="594">
        <v>0</v>
      </c>
      <c r="F57" s="594">
        <v>0</v>
      </c>
      <c r="G57" s="594">
        <v>0</v>
      </c>
      <c r="H57" s="594">
        <v>0</v>
      </c>
    </row>
    <row r="58" spans="1:9">
      <c r="B58" s="661" t="s">
        <v>696</v>
      </c>
      <c r="C58" s="75" t="s">
        <v>230</v>
      </c>
      <c r="D58" s="594">
        <v>0</v>
      </c>
      <c r="E58" s="594">
        <v>0</v>
      </c>
      <c r="F58" s="594">
        <v>0</v>
      </c>
      <c r="G58" s="594">
        <v>0</v>
      </c>
      <c r="H58" s="594">
        <v>0</v>
      </c>
    </row>
    <row r="59" spans="1:9">
      <c r="B59" s="661" t="s">
        <v>527</v>
      </c>
      <c r="C59" s="75" t="s">
        <v>230</v>
      </c>
      <c r="D59" s="594">
        <v>0</v>
      </c>
      <c r="E59" s="594">
        <v>0</v>
      </c>
      <c r="F59" s="594">
        <v>0</v>
      </c>
      <c r="G59" s="594">
        <v>0</v>
      </c>
      <c r="H59" s="594">
        <v>0</v>
      </c>
    </row>
    <row r="60" spans="1:9">
      <c r="B60" s="6" t="s">
        <v>697</v>
      </c>
      <c r="C60" s="75" t="s">
        <v>230</v>
      </c>
      <c r="D60" s="600">
        <f t="shared" ref="D60:H60" si="6">SUM(D57:D59)</f>
        <v>0</v>
      </c>
      <c r="E60" s="600">
        <f t="shared" si="6"/>
        <v>0</v>
      </c>
      <c r="F60" s="600">
        <f t="shared" si="6"/>
        <v>0</v>
      </c>
      <c r="G60" s="600">
        <f t="shared" si="6"/>
        <v>0</v>
      </c>
      <c r="H60" s="600">
        <f t="shared" si="6"/>
        <v>0</v>
      </c>
    </row>
    <row r="61" spans="1:9">
      <c r="B61" s="2" t="s">
        <v>698</v>
      </c>
      <c r="C61" s="75" t="s">
        <v>230</v>
      </c>
      <c r="D61" s="594">
        <v>0</v>
      </c>
      <c r="E61" s="594">
        <v>0</v>
      </c>
      <c r="F61" s="594">
        <v>0</v>
      </c>
      <c r="G61" s="594">
        <v>0</v>
      </c>
      <c r="H61" s="594">
        <v>0</v>
      </c>
    </row>
    <row r="62" spans="1:9">
      <c r="B62" s="5" t="s">
        <v>699</v>
      </c>
      <c r="C62" s="75" t="s">
        <v>230</v>
      </c>
      <c r="D62" s="600">
        <f t="shared" ref="D62:H62" si="7">D60-D61</f>
        <v>0</v>
      </c>
      <c r="E62" s="600">
        <f t="shared" si="7"/>
        <v>0</v>
      </c>
      <c r="F62" s="600">
        <f t="shared" si="7"/>
        <v>0</v>
      </c>
      <c r="G62" s="600">
        <f t="shared" si="7"/>
        <v>0</v>
      </c>
      <c r="H62" s="600">
        <f t="shared" si="7"/>
        <v>0</v>
      </c>
    </row>
    <row r="64" spans="1:9">
      <c r="B64" s="6" t="s">
        <v>700</v>
      </c>
      <c r="D64" s="237"/>
      <c r="E64" s="237"/>
      <c r="F64" s="237"/>
      <c r="G64" s="237"/>
      <c r="H64" s="237"/>
    </row>
    <row r="65" spans="2:8">
      <c r="B65" s="661" t="s">
        <v>701</v>
      </c>
      <c r="C65" s="75" t="s">
        <v>230</v>
      </c>
      <c r="D65" s="594">
        <v>1.15295174</v>
      </c>
      <c r="E65" s="594">
        <v>1.15295174</v>
      </c>
      <c r="F65" s="594">
        <v>1.15295174</v>
      </c>
      <c r="G65" s="594">
        <v>1.15295174</v>
      </c>
      <c r="H65" s="594">
        <v>1.15295174</v>
      </c>
    </row>
    <row r="66" spans="2:8">
      <c r="B66" s="2" t="s">
        <v>698</v>
      </c>
      <c r="C66" s="75" t="s">
        <v>230</v>
      </c>
      <c r="D66" s="594">
        <v>0.21906083060000001</v>
      </c>
      <c r="E66" s="594">
        <v>0.288237935</v>
      </c>
      <c r="F66" s="594">
        <v>0.288237935</v>
      </c>
      <c r="G66" s="594">
        <v>0.288237935</v>
      </c>
      <c r="H66" s="594">
        <v>0.288237935</v>
      </c>
    </row>
    <row r="67" spans="2:8">
      <c r="B67" s="5" t="s">
        <v>702</v>
      </c>
      <c r="C67" s="75" t="s">
        <v>230</v>
      </c>
      <c r="D67" s="600">
        <f t="shared" ref="D67:H67" si="8">D65-D66</f>
        <v>0.93389090939999997</v>
      </c>
      <c r="E67" s="600">
        <f>E65-E66</f>
        <v>0.86471380500000006</v>
      </c>
      <c r="F67" s="600">
        <f t="shared" si="8"/>
        <v>0.86471380500000006</v>
      </c>
      <c r="G67" s="600">
        <f t="shared" si="8"/>
        <v>0.86471380500000006</v>
      </c>
      <c r="H67" s="600">
        <f t="shared" si="8"/>
        <v>0.86471380500000006</v>
      </c>
    </row>
  </sheetData>
  <mergeCells count="1">
    <mergeCell ref="D25:D27"/>
  </mergeCells>
  <conditionalFormatting sqref="D6:G6 D52:G52">
    <cfRule type="expression" dxfId="12" priority="24">
      <formula>AND(D$4="Actuals",E$4="Forecast")</formula>
    </cfRule>
  </conditionalFormatting>
  <conditionalFormatting sqref="E12:H12 E14:H15">
    <cfRule type="expression" dxfId="11" priority="18">
      <formula>E$5="Forecast"</formula>
    </cfRule>
    <cfRule type="expression" dxfId="10" priority="19">
      <formula>E$5="Actuals"</formula>
    </cfRule>
  </conditionalFormatting>
  <conditionalFormatting sqref="D5:G6 D51:G52 I5:I12 I14:I54">
    <cfRule type="expression" dxfId="9" priority="17">
      <formula>AND(D$5="Actuals",E$5="Forecast")</formula>
    </cfRule>
  </conditionalFormatting>
  <conditionalFormatting sqref="D25">
    <cfRule type="expression" dxfId="8" priority="14">
      <formula>AND(E$4="Actuals",F$4="Forecast")</formula>
    </cfRule>
  </conditionalFormatting>
  <conditionalFormatting sqref="H6 H52">
    <cfRule type="expression" dxfId="7" priority="270">
      <formula>AND(H$4="Actuals",#REF!="Forecast")</formula>
    </cfRule>
  </conditionalFormatting>
  <conditionalFormatting sqref="H5:H6 H51:H52">
    <cfRule type="expression" dxfId="6" priority="278">
      <formula>AND(H$5="Actuals",#REF!="Forecast")</formula>
    </cfRule>
  </conditionalFormatting>
  <conditionalFormatting sqref="D7:H7">
    <cfRule type="expression" dxfId="5" priority="5">
      <formula>AND(D$5="Actuals",E$5="Forecast")</formula>
    </cfRule>
  </conditionalFormatting>
  <conditionalFormatting sqref="J17:J22">
    <cfRule type="expression" dxfId="4" priority="290">
      <formula>AND(I$5="Actuals",J$5="Forecast")</formula>
    </cfRule>
  </conditionalFormatting>
  <conditionalFormatting sqref="D12 D14:D15">
    <cfRule type="expression" dxfId="3" priority="3">
      <formula>D$5="Forecast"</formula>
    </cfRule>
    <cfRule type="expression" dxfId="2" priority="4">
      <formula>D$5="Actuals"</formula>
    </cfRule>
  </conditionalFormatting>
  <conditionalFormatting sqref="D22">
    <cfRule type="expression" dxfId="1" priority="1">
      <formula>D$5="Forecast"</formula>
    </cfRule>
    <cfRule type="expression" dxfId="0" priority="2">
      <formula>D$5="Actuals"</formula>
    </cfRule>
  </conditionalFormatting>
  <pageMargins left="0.70866141732283472" right="0.70866141732283472" top="0.74803149606299213" bottom="0.74803149606299213" header="0.31496062992125984" footer="0.31496062992125984"/>
  <pageSetup paperSize="8"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D9D9D9"/>
  </sheetPr>
  <dimension ref="A1:W317"/>
  <sheetViews>
    <sheetView showGridLines="0" zoomScaleNormal="100" workbookViewId="0">
      <pane ySplit="4" topLeftCell="A108" activePane="bottomLeft" state="frozen"/>
      <selection activeCell="B26" sqref="B26"/>
      <selection pane="bottomLeft" activeCell="D41" sqref="D41"/>
    </sheetView>
  </sheetViews>
  <sheetFormatPr defaultRowHeight="12.4"/>
  <cols>
    <col min="1" max="1" width="8.3515625" customWidth="1"/>
    <col min="2" max="2" width="45.46875" customWidth="1"/>
    <col min="3" max="3" width="17.76171875" customWidth="1"/>
    <col min="4" max="4" width="13" customWidth="1"/>
    <col min="5" max="5" width="11.76171875" customWidth="1"/>
    <col min="6" max="6" width="11.234375" customWidth="1"/>
    <col min="7" max="7" width="13.76171875" customWidth="1"/>
    <col min="8" max="8" width="16.87890625" bestFit="1" customWidth="1"/>
    <col min="9" max="9" width="11.1171875" bestFit="1" customWidth="1"/>
    <col min="10" max="10" width="12.3515625" customWidth="1"/>
    <col min="11" max="11" width="11.234375" customWidth="1"/>
    <col min="12" max="12" width="12" customWidth="1"/>
    <col min="13" max="13" width="11.87890625" customWidth="1"/>
    <col min="14" max="14" width="12.76171875" customWidth="1"/>
  </cols>
  <sheetData>
    <row r="1" spans="1:14" ht="20.65">
      <c r="A1" s="776" t="s">
        <v>16</v>
      </c>
      <c r="B1" s="388"/>
      <c r="C1" s="388"/>
      <c r="D1" s="388"/>
      <c r="E1" s="388"/>
      <c r="F1" s="388"/>
      <c r="G1" s="388"/>
      <c r="H1" s="388"/>
      <c r="I1" s="388"/>
      <c r="J1" s="388"/>
      <c r="K1" s="388"/>
      <c r="L1" s="388"/>
      <c r="M1" s="388"/>
      <c r="N1" s="777"/>
    </row>
    <row r="2" spans="1:14" ht="20.65">
      <c r="A2" s="293" t="str">
        <f>Licensee</f>
        <v>Cadent-WM</v>
      </c>
      <c r="B2" s="291"/>
      <c r="C2" s="291"/>
      <c r="D2" s="291"/>
      <c r="E2" s="291"/>
      <c r="F2" s="291"/>
      <c r="G2" s="291"/>
      <c r="H2" s="291"/>
      <c r="I2" s="291"/>
      <c r="J2" s="291"/>
      <c r="K2" s="291"/>
      <c r="L2" s="291"/>
      <c r="M2" s="291"/>
      <c r="N2" s="294"/>
    </row>
    <row r="3" spans="1:14" ht="20.65">
      <c r="A3" s="288">
        <f>Reporting_Year</f>
        <v>2022</v>
      </c>
      <c r="B3" s="556"/>
      <c r="C3" s="556"/>
      <c r="D3" s="556"/>
      <c r="E3" s="556"/>
      <c r="F3" s="556"/>
      <c r="G3" s="556"/>
      <c r="H3" s="556"/>
      <c r="I3" s="556"/>
      <c r="J3" s="556"/>
      <c r="K3" s="556"/>
      <c r="L3" s="556"/>
      <c r="M3" s="556"/>
      <c r="N3" s="295"/>
    </row>
    <row r="6" spans="1:14" ht="24.75">
      <c r="B6" s="542" t="s">
        <v>17</v>
      </c>
      <c r="C6" s="559">
        <f>INDEX(O55:U83,MATCH(Licensee,Data!B55:B83,0),MATCH(Reporting_Year,Data!O54:U54,0))</f>
        <v>4.5181881000000007E-2</v>
      </c>
      <c r="F6" s="527" t="s">
        <v>18</v>
      </c>
      <c r="G6" s="88"/>
      <c r="H6" s="506" t="s">
        <v>19</v>
      </c>
      <c r="I6" s="558" t="s">
        <v>20</v>
      </c>
    </row>
    <row r="7" spans="1:14">
      <c r="B7" s="542" t="s">
        <v>21</v>
      </c>
      <c r="C7" s="559">
        <f>SUMIF(Data!$B$54:$B$83,'RFPR cover'!C7,Data!$C$54:$C$83)</f>
        <v>0.5</v>
      </c>
      <c r="F7" s="560">
        <v>0.1</v>
      </c>
      <c r="G7" s="193"/>
      <c r="H7" s="506" t="s">
        <v>22</v>
      </c>
      <c r="I7" s="507" t="s">
        <v>23</v>
      </c>
    </row>
    <row r="8" spans="1:14">
      <c r="B8" s="542" t="s">
        <v>24</v>
      </c>
      <c r="C8" s="557">
        <f>SUMIF(Data!$B$54:$B$83,'RFPR cover'!C7,Data!$D$54:$D$83)</f>
        <v>0.6</v>
      </c>
      <c r="H8" s="506" t="s">
        <v>25</v>
      </c>
      <c r="I8" s="507" t="s">
        <v>23</v>
      </c>
    </row>
    <row r="9" spans="1:14">
      <c r="B9" s="389" t="s">
        <v>26</v>
      </c>
      <c r="C9" s="546" t="str">
        <f>INDEX(Data!$F$55:$F$83,MATCH('RFPR cover'!$C$7,Data!$B$55:$B$83,0),0)</f>
        <v>£m 18/19</v>
      </c>
      <c r="H9" s="506" t="s">
        <v>27</v>
      </c>
      <c r="I9" s="507" t="s">
        <v>23</v>
      </c>
    </row>
    <row r="10" spans="1:14">
      <c r="H10" s="506" t="s">
        <v>28</v>
      </c>
      <c r="I10" s="507" t="s">
        <v>23</v>
      </c>
    </row>
    <row r="12" spans="1:14">
      <c r="B12" s="6" t="s">
        <v>29</v>
      </c>
    </row>
    <row r="13" spans="1:14">
      <c r="A13" s="17"/>
      <c r="B13" s="561" t="s">
        <v>30</v>
      </c>
      <c r="C13" s="562" t="str">
        <f t="shared" ref="C13:N13" si="0">IF(VALUE(C15)&lt;=Reporting_Year,"Actual","Forecast")</f>
        <v>Actual</v>
      </c>
      <c r="D13" s="562" t="str">
        <f t="shared" si="0"/>
        <v>Actual</v>
      </c>
      <c r="E13" s="562" t="str">
        <f t="shared" si="0"/>
        <v>Actual</v>
      </c>
      <c r="F13" s="562" t="str">
        <f t="shared" si="0"/>
        <v>Actual</v>
      </c>
      <c r="G13" s="562" t="str">
        <f t="shared" si="0"/>
        <v>Forecast</v>
      </c>
      <c r="H13" s="562" t="str">
        <f t="shared" si="0"/>
        <v>Forecast</v>
      </c>
      <c r="I13" s="562" t="str">
        <f t="shared" si="0"/>
        <v>Forecast</v>
      </c>
      <c r="J13" s="562" t="str">
        <f t="shared" si="0"/>
        <v>Forecast</v>
      </c>
      <c r="K13" s="562" t="str">
        <f t="shared" si="0"/>
        <v>Forecast</v>
      </c>
      <c r="L13" s="562" t="str">
        <f t="shared" si="0"/>
        <v>Forecast</v>
      </c>
      <c r="M13" s="562" t="str">
        <f t="shared" si="0"/>
        <v>Forecast</v>
      </c>
      <c r="N13" s="562" t="str">
        <f t="shared" si="0"/>
        <v>Forecast</v>
      </c>
    </row>
    <row r="14" spans="1:14">
      <c r="A14" s="17"/>
      <c r="B14" s="561" t="s">
        <v>31</v>
      </c>
      <c r="C14" s="563">
        <v>43555</v>
      </c>
      <c r="D14" s="564">
        <v>43921</v>
      </c>
      <c r="E14" s="564">
        <v>44286</v>
      </c>
      <c r="F14" s="564">
        <v>44651</v>
      </c>
      <c r="G14" s="564">
        <v>45016</v>
      </c>
      <c r="H14" s="563">
        <v>45382</v>
      </c>
      <c r="I14" s="563">
        <v>45747</v>
      </c>
      <c r="J14" s="563">
        <v>46112</v>
      </c>
      <c r="K14" s="563">
        <v>46477</v>
      </c>
      <c r="L14" s="563">
        <v>46843</v>
      </c>
      <c r="M14" s="563">
        <v>47208</v>
      </c>
      <c r="N14" s="563">
        <v>47573</v>
      </c>
    </row>
    <row r="15" spans="1:14">
      <c r="A15" s="17"/>
      <c r="B15" s="561" t="s">
        <v>32</v>
      </c>
      <c r="C15" s="565">
        <v>2019</v>
      </c>
      <c r="D15" s="566">
        <v>2020</v>
      </c>
      <c r="E15" s="565">
        <v>2021</v>
      </c>
      <c r="F15" s="566">
        <v>2022</v>
      </c>
      <c r="G15" s="565">
        <v>2023</v>
      </c>
      <c r="H15" s="566">
        <v>2024</v>
      </c>
      <c r="I15" s="565">
        <v>2025</v>
      </c>
      <c r="J15" s="566">
        <v>2026</v>
      </c>
      <c r="K15" s="565">
        <v>2027</v>
      </c>
      <c r="L15" s="566">
        <v>2028</v>
      </c>
      <c r="M15" s="565">
        <v>2029</v>
      </c>
      <c r="N15" s="566">
        <v>2030</v>
      </c>
    </row>
    <row r="16" spans="1:14">
      <c r="A16" s="17"/>
      <c r="B16" s="567" t="s">
        <v>33</v>
      </c>
      <c r="C16" s="615">
        <v>283.30833333333334</v>
      </c>
      <c r="D16" s="616">
        <v>290.64166666666665</v>
      </c>
      <c r="E16" s="616">
        <v>294.16666666666669</v>
      </c>
      <c r="F16" s="616">
        <v>307.32821397646848</v>
      </c>
      <c r="G16" s="616">
        <v>330.96395938982295</v>
      </c>
      <c r="H16" s="616">
        <v>341.96868856063776</v>
      </c>
      <c r="I16" s="616">
        <v>347.76302971972729</v>
      </c>
      <c r="J16" s="616">
        <v>354.40696896406115</v>
      </c>
      <c r="K16" s="424">
        <v>361.49510834334239</v>
      </c>
      <c r="L16" s="424">
        <v>368.72501051020924</v>
      </c>
      <c r="M16" s="424">
        <v>376.09951072041343</v>
      </c>
      <c r="N16" s="424">
        <v>383.62150093482171</v>
      </c>
    </row>
    <row r="17" spans="1:23">
      <c r="A17" s="17"/>
      <c r="B17" s="561" t="s">
        <v>34</v>
      </c>
      <c r="C17" s="615">
        <v>286.64999999999998</v>
      </c>
      <c r="D17" s="616">
        <v>292.60000000000002</v>
      </c>
      <c r="E17" s="616">
        <v>298.42363263445759</v>
      </c>
      <c r="F17" s="616">
        <v>319.91658048382931</v>
      </c>
      <c r="G17" s="616">
        <v>337.82117245956056</v>
      </c>
      <c r="H17" s="616">
        <v>344.75394696522062</v>
      </c>
      <c r="I17" s="616">
        <v>350.98716524424435</v>
      </c>
      <c r="J17" s="616">
        <v>357.62377789692238</v>
      </c>
      <c r="K17" s="424">
        <v>364.77625345486081</v>
      </c>
      <c r="L17" s="424">
        <v>372.07177852395802</v>
      </c>
      <c r="M17" s="424">
        <v>379.51321409443716</v>
      </c>
      <c r="N17" s="424">
        <v>387.10347837632588</v>
      </c>
    </row>
    <row r="18" spans="1:23" ht="12.75">
      <c r="A18" s="17"/>
      <c r="B18" s="561" t="s">
        <v>35</v>
      </c>
      <c r="C18" s="446">
        <v>0.19</v>
      </c>
      <c r="D18" s="617">
        <v>0.19</v>
      </c>
      <c r="E18" s="617">
        <v>0.19</v>
      </c>
      <c r="F18" s="617">
        <v>0.19</v>
      </c>
      <c r="G18" s="446">
        <v>0.19</v>
      </c>
      <c r="H18" s="446">
        <v>0.25</v>
      </c>
      <c r="I18" s="446">
        <v>0.25</v>
      </c>
      <c r="J18" s="446">
        <v>0.25</v>
      </c>
      <c r="K18" s="445">
        <v>0.25</v>
      </c>
      <c r="L18" s="445">
        <v>0.25</v>
      </c>
      <c r="M18" s="445">
        <v>0.25</v>
      </c>
      <c r="N18" s="445">
        <v>0.25</v>
      </c>
    </row>
    <row r="19" spans="1:23">
      <c r="A19" s="17"/>
      <c r="B19" s="332" t="s">
        <v>36</v>
      </c>
      <c r="C19" s="618">
        <v>106.43333333333334</v>
      </c>
      <c r="D19" s="618">
        <v>108.24166666666663</v>
      </c>
      <c r="E19" s="618">
        <v>109.10833333333335</v>
      </c>
      <c r="F19" s="618">
        <v>113.11666666666667</v>
      </c>
      <c r="G19" s="618">
        <v>121.81615019519597</v>
      </c>
      <c r="H19" s="618">
        <v>125.86660252843778</v>
      </c>
      <c r="I19" s="618">
        <v>127.99929496485652</v>
      </c>
      <c r="J19" s="618">
        <v>130.44469446505488</v>
      </c>
      <c r="K19" s="424">
        <v>133.05358835435598</v>
      </c>
      <c r="L19" s="424">
        <v>135.7146601214431</v>
      </c>
      <c r="M19" s="424">
        <v>138.42895332387198</v>
      </c>
      <c r="N19" s="424">
        <v>141.19753239034941</v>
      </c>
      <c r="U19" s="324"/>
      <c r="V19" s="324"/>
    </row>
    <row r="20" spans="1:23" ht="15.4">
      <c r="A20" s="17"/>
      <c r="B20" s="561" t="s">
        <v>37</v>
      </c>
      <c r="C20" s="332"/>
      <c r="D20" s="332"/>
      <c r="E20" s="332"/>
      <c r="F20" s="332"/>
      <c r="G20" s="332"/>
      <c r="H20" s="333"/>
      <c r="I20" s="332"/>
      <c r="J20" s="332"/>
      <c r="K20" s="446">
        <v>0.02</v>
      </c>
      <c r="L20" s="446">
        <v>0.02</v>
      </c>
      <c r="M20" s="446">
        <v>0.02</v>
      </c>
      <c r="N20" s="446">
        <v>0.02</v>
      </c>
      <c r="O20" s="369" t="s">
        <v>38</v>
      </c>
      <c r="U20" s="324"/>
      <c r="V20" s="324"/>
    </row>
    <row r="21" spans="1:23" ht="15.4">
      <c r="A21" s="17"/>
      <c r="B21" s="329"/>
      <c r="C21" s="325"/>
      <c r="D21" s="325"/>
      <c r="E21" s="325"/>
      <c r="F21" s="325"/>
      <c r="G21" s="325"/>
      <c r="U21" s="324"/>
      <c r="V21" s="324"/>
    </row>
    <row r="22" spans="1:23" ht="15.4">
      <c r="A22" s="17"/>
      <c r="B22" s="340"/>
      <c r="C22" s="341"/>
      <c r="D22" s="670"/>
      <c r="E22" s="341"/>
      <c r="F22" s="341"/>
      <c r="G22" s="341"/>
      <c r="U22" s="324"/>
      <c r="V22" s="324"/>
    </row>
    <row r="23" spans="1:23">
      <c r="B23" s="319"/>
      <c r="C23" s="523"/>
      <c r="D23" s="320"/>
      <c r="E23" s="321"/>
      <c r="F23" s="321"/>
      <c r="G23" s="322"/>
    </row>
    <row r="24" spans="1:23">
      <c r="D24" s="562" t="str">
        <f>IF(D25&lt;='RFPR cover'!$C$9,"Actuals","Forecast")</f>
        <v>Actuals</v>
      </c>
      <c r="E24" s="562" t="str">
        <f>IF(E25&lt;='RFPR cover'!$C$9,"Actuals","Forecast")</f>
        <v>Actuals</v>
      </c>
      <c r="F24" s="562" t="str">
        <f>IF(F25&lt;='RFPR cover'!$C$9,"Actuals","Forecast")</f>
        <v>Forecast</v>
      </c>
      <c r="G24" s="562" t="str">
        <f>IF(G25&lt;='RFPR cover'!$C$9,"Actuals","Forecast")</f>
        <v>Forecast</v>
      </c>
      <c r="H24" s="562" t="str">
        <f>IF(H25&lt;='RFPR cover'!$C$9,"Actuals","Forecast")</f>
        <v>Forecast</v>
      </c>
      <c r="I24" s="562" t="str">
        <f>IF(I25&lt;='RFPR cover'!$C$9,"Actuals","Forecast")</f>
        <v>Forecast</v>
      </c>
      <c r="J24" s="562" t="str">
        <f>IF(J25&lt;='RFPR cover'!$C$9,"Actuals","Forecast")</f>
        <v>Forecast</v>
      </c>
      <c r="K24" s="562" t="str">
        <f>IF(K25&lt;='RFPR cover'!$C$9,"Actuals","Forecast")</f>
        <v>Forecast</v>
      </c>
    </row>
    <row r="25" spans="1:23" ht="14.25" customHeight="1">
      <c r="D25" s="390">
        <v>2021</v>
      </c>
      <c r="E25" s="391">
        <f t="shared" ref="E25:K25" si="1">D25+1</f>
        <v>2022</v>
      </c>
      <c r="F25" s="391">
        <f t="shared" si="1"/>
        <v>2023</v>
      </c>
      <c r="G25" s="391">
        <f t="shared" si="1"/>
        <v>2024</v>
      </c>
      <c r="H25" s="391">
        <f t="shared" si="1"/>
        <v>2025</v>
      </c>
      <c r="I25" s="391">
        <f t="shared" si="1"/>
        <v>2026</v>
      </c>
      <c r="J25" s="391">
        <f t="shared" si="1"/>
        <v>2027</v>
      </c>
      <c r="K25" s="391">
        <f t="shared" si="1"/>
        <v>2028</v>
      </c>
      <c r="M25" s="27"/>
    </row>
    <row r="26" spans="1:23" ht="48.75" customHeight="1">
      <c r="C26" s="568" t="s">
        <v>39</v>
      </c>
      <c r="D26" s="430">
        <f t="shared" ref="D26:K26" si="2">IF(SectorCov="ED2",G16/INDEX($C$16:$N$16,MATCH($E$15,$C$15:$N$15,0)),E16/INDEX($C$16:$N$16,MATCH($C$15,$C$15:$N$15,0)))</f>
        <v>1.0383269111980469</v>
      </c>
      <c r="E26" s="430">
        <f t="shared" si="2"/>
        <v>1.0847835302284383</v>
      </c>
      <c r="F26" s="430">
        <f t="shared" si="2"/>
        <v>1.1682111694202062</v>
      </c>
      <c r="G26" s="430">
        <f t="shared" si="2"/>
        <v>1.2070548174037865</v>
      </c>
      <c r="H26" s="430">
        <f t="shared" si="2"/>
        <v>1.2275072378847331</v>
      </c>
      <c r="I26" s="430">
        <f t="shared" si="2"/>
        <v>1.2509585044470788</v>
      </c>
      <c r="J26" s="430">
        <f t="shared" si="2"/>
        <v>1.2759776745360205</v>
      </c>
      <c r="K26" s="430">
        <f t="shared" si="2"/>
        <v>1.3014972280267409</v>
      </c>
      <c r="M26" s="345"/>
      <c r="N26" s="345"/>
      <c r="O26" s="345"/>
      <c r="P26" s="345"/>
      <c r="Q26" s="345"/>
      <c r="R26" s="345"/>
    </row>
    <row r="27" spans="1:23" ht="58.5" customHeight="1">
      <c r="C27" s="377" t="s">
        <v>40</v>
      </c>
      <c r="D27" s="430">
        <f>INDEX(Data!$C$16:$N$16,MATCH(D$25,Data!$C$15:$N$15,0))/INDEX(Data!$C$16:$N$16,MATCH(D$25-1,Data!$C$15:$N$15,0))</f>
        <v>1.0121283367262093</v>
      </c>
      <c r="E27" s="430">
        <f>INDEX(Data!$C$16:$N$16,MATCH(E$25,Data!$C$15:$N$15,0))/INDEX(Data!$C$16:$N$16,MATCH(E$25-1,Data!$C$15:$N$15,0))</f>
        <v>1.0447418038860117</v>
      </c>
      <c r="F27" s="430">
        <f>INDEX(Data!$C$16:$N$16,MATCH(F$25,Data!$C$15:$N$15,0))/INDEX(Data!$C$16:$N$16,MATCH(F$25-1,Data!$C$15:$N$15,0))</f>
        <v>1.0769071772081564</v>
      </c>
      <c r="G27" s="430">
        <f>INDEX(Data!$C$16:$N$16,MATCH(G$25,Data!$C$15:$N$15,0))/INDEX(Data!$C$16:$N$16,MATCH(G$25-1,Data!$C$15:$N$15,0))</f>
        <v>1.033250536375935</v>
      </c>
      <c r="H27" s="430">
        <f>INDEX(Data!$C$16:$N$16,MATCH(H$25,Data!$C$15:$N$15,0))/INDEX(Data!$C$16:$N$16,MATCH(H$25-1,Data!$C$15:$N$15,0))</f>
        <v>1.0169440693049361</v>
      </c>
      <c r="I27" s="430">
        <f>INDEX(Data!$C$16:$N$16,MATCH(I$25,Data!$C$15:$N$15,0))/INDEX(Data!$C$16:$N$16,MATCH(I$25-1,Data!$C$15:$N$15,0))</f>
        <v>1.0191047888261395</v>
      </c>
      <c r="J27" s="430">
        <f>INDEX(Data!$C$16:$N$16,MATCH(J$25,Data!$C$15:$N$15,0))/INDEX(Data!$C$16:$N$16,MATCH(J$25-1,Data!$C$15:$N$15,0))</f>
        <v>1.02</v>
      </c>
      <c r="K27" s="430">
        <f>INDEX(Data!$C$16:$N$16,MATCH(K$25,Data!$C$15:$N$15,0))/INDEX(Data!$C$16:$N$16,MATCH(K$25-1,Data!$C$15:$N$15,0))</f>
        <v>1.02</v>
      </c>
      <c r="M27" s="345"/>
    </row>
    <row r="28" spans="1:23" ht="71.25" customHeight="1">
      <c r="C28" s="377" t="s">
        <v>41</v>
      </c>
      <c r="D28" s="430">
        <f>IF(SectorCov="ED2",INDEX(Data!$C$17:$N$17,MATCH(D$25,Data!$C$15:$N$15,0))/Data!$E$16,INDEX(Data!$C$17:$N$17,MATCH(D$25,Data!$C$15:$N$15,0))/Data!$C$16)</f>
        <v>1.0533528227824487</v>
      </c>
      <c r="E28" s="430">
        <f>IF(SectorCov="ED2",INDEX(Data!$C$17:$N$17,MATCH(E$25,Data!$C$15:$N$15,0))/Data!$E$16,INDEX(Data!$C$17:$N$17,MATCH(E$25,Data!$C$15:$N$15,0))/Data!$C$16)</f>
        <v>1.1292169796764278</v>
      </c>
      <c r="F28" s="430">
        <f>IF(SectorCov="ED2",INDEX(Data!$C$17:$N$17,MATCH(F$25,Data!$C$15:$N$15,0))/Data!$E$16,INDEX(Data!$C$17:$N$17,MATCH(F$25,Data!$C$15:$N$15,0))/Data!$C$16)</f>
        <v>1.192415233554351</v>
      </c>
      <c r="G28" s="430">
        <f>IF(SectorCov="ED2",INDEX(Data!$C$17:$N$17,MATCH(G$25,Data!$C$15:$N$15,0))/Data!$E$16,INDEX(Data!$C$17:$N$17,MATCH(G$25,Data!$C$15:$N$15,0))/Data!$C$16)</f>
        <v>1.2168860086427178</v>
      </c>
      <c r="H28" s="430">
        <f>IF(SectorCov="ED2",INDEX(Data!$C$17:$N$17,MATCH(H$25,Data!$C$15:$N$15,0))/Data!$E$16,INDEX(Data!$C$17:$N$17,MATCH(H$25,Data!$C$15:$N$15,0))/Data!$C$16)</f>
        <v>1.2388875438806166</v>
      </c>
      <c r="I28" s="430">
        <f>IF(SectorCov="ED2",INDEX(Data!$C$17:$N$17,MATCH(I$25,Data!$C$15:$N$15,0))/Data!$E$16,INDEX(Data!$C$17:$N$17,MATCH(I$25,Data!$C$15:$N$15,0))/Data!$C$16)</f>
        <v>1.262312949602338</v>
      </c>
      <c r="J28" s="430">
        <f>IF(SectorCov="ED2",INDEX(Data!$C$17:$N$17,MATCH(J$25,Data!$C$15:$N$15,0))/Data!$E$16,INDEX(Data!$C$17:$N$17,MATCH(J$25,Data!$C$15:$N$15,0))/Data!$C$16)</f>
        <v>1.2875592085943848</v>
      </c>
      <c r="K28" s="430">
        <f>IF(SectorCov="ED2",INDEX(Data!$C$17:$N$17,MATCH(K$25,Data!$C$15:$N$15,0))/Data!$E$16,INDEX(Data!$C$17:$N$17,MATCH(K$25,Data!$C$15:$N$15,0))/Data!$C$16)</f>
        <v>1.3133103927662724</v>
      </c>
      <c r="M28" s="345"/>
    </row>
    <row r="29" spans="1:23">
      <c r="A29" s="330"/>
      <c r="B29" s="330"/>
      <c r="C29" s="330"/>
      <c r="M29" s="345"/>
      <c r="N29" s="330"/>
      <c r="O29" s="330"/>
      <c r="P29" s="330"/>
      <c r="Q29" s="330"/>
      <c r="R29" s="330"/>
      <c r="S29" s="330"/>
      <c r="T29" s="330"/>
      <c r="U29" s="330"/>
      <c r="V29" s="330"/>
      <c r="W29" s="330"/>
    </row>
    <row r="30" spans="1:23">
      <c r="B30" s="268"/>
      <c r="C30" s="323"/>
      <c r="D30" s="323"/>
      <c r="E30" s="323"/>
      <c r="F30" s="323"/>
      <c r="G30" s="323"/>
      <c r="H30" s="323"/>
      <c r="I30" s="323"/>
      <c r="J30" s="323"/>
      <c r="K30" s="323"/>
      <c r="M30" s="345"/>
    </row>
    <row r="31" spans="1:23">
      <c r="E31" s="368"/>
      <c r="F31" s="368"/>
      <c r="G31" s="368"/>
      <c r="H31" s="368"/>
      <c r="I31" s="368"/>
      <c r="J31" s="368"/>
      <c r="K31" s="368"/>
      <c r="L31" s="368"/>
      <c r="M31" s="345"/>
    </row>
    <row r="32" spans="1:23">
      <c r="B32" s="268"/>
      <c r="C32" s="323"/>
      <c r="D32" s="323"/>
      <c r="E32" s="323"/>
      <c r="F32" s="323"/>
      <c r="G32" s="323"/>
      <c r="H32" s="323"/>
      <c r="I32" s="323"/>
      <c r="J32" s="323"/>
    </row>
    <row r="33" spans="1:20">
      <c r="B33" s="161"/>
      <c r="C33" s="161"/>
      <c r="D33" s="98"/>
      <c r="E33" s="161"/>
      <c r="F33" s="162"/>
      <c r="G33" s="163"/>
      <c r="H33" s="163"/>
      <c r="I33" s="163"/>
      <c r="J33" s="164"/>
      <c r="K33" s="164"/>
      <c r="L33" s="98"/>
      <c r="M33" s="98"/>
      <c r="N33" s="98"/>
      <c r="O33" s="98"/>
      <c r="P33" s="98"/>
      <c r="Q33" s="98"/>
      <c r="R33" s="98"/>
      <c r="S33" s="98"/>
      <c r="T33" s="98"/>
    </row>
    <row r="34" spans="1:20">
      <c r="B34" s="160" t="s">
        <v>42</v>
      </c>
      <c r="C34" s="88"/>
      <c r="I34" s="39"/>
    </row>
    <row r="35" spans="1:20">
      <c r="C35" s="390">
        <f>RIIO_2_start_date</f>
        <v>2022</v>
      </c>
      <c r="D35" s="391">
        <f t="shared" ref="D35" si="3">C35+1</f>
        <v>2023</v>
      </c>
      <c r="E35" s="391">
        <f t="shared" ref="E35" si="4">D35+1</f>
        <v>2024</v>
      </c>
      <c r="F35" s="391">
        <f t="shared" ref="F35" si="5">E35+1</f>
        <v>2025</v>
      </c>
      <c r="G35" s="391">
        <f t="shared" ref="G35" si="6">F35+1</f>
        <v>2026</v>
      </c>
      <c r="H35" s="391">
        <f t="shared" ref="H35" si="7">G35+1</f>
        <v>2027</v>
      </c>
      <c r="I35" s="391">
        <f t="shared" ref="I35" si="8">H35+1</f>
        <v>2028</v>
      </c>
      <c r="J35" s="391">
        <f t="shared" ref="J35" si="9">I35+1</f>
        <v>2029</v>
      </c>
    </row>
    <row r="36" spans="1:20">
      <c r="B36" s="387" t="s">
        <v>43</v>
      </c>
      <c r="C36" s="378"/>
      <c r="D36" s="379"/>
      <c r="E36" s="351"/>
      <c r="F36" s="351"/>
      <c r="G36" s="351"/>
      <c r="H36" s="351"/>
      <c r="I36" s="352"/>
    </row>
    <row r="37" spans="1:20">
      <c r="A37" s="338"/>
      <c r="B37" s="381" t="s">
        <v>44</v>
      </c>
      <c r="C37" s="380"/>
      <c r="D37" s="194"/>
      <c r="E37" s="353"/>
      <c r="F37" s="353"/>
      <c r="G37" s="353"/>
      <c r="H37" s="353"/>
      <c r="I37" s="159"/>
    </row>
    <row r="38" spans="1:20">
      <c r="A38" s="338"/>
      <c r="B38" s="381" t="s">
        <v>45</v>
      </c>
      <c r="C38" s="381">
        <v>1.8143044979056552E-2</v>
      </c>
      <c r="D38" s="353">
        <v>1.5909426602326575E-2</v>
      </c>
      <c r="E38" s="353">
        <v>1.5486013713550701E-2</v>
      </c>
      <c r="F38" s="353">
        <v>1.4921786215027617E-2</v>
      </c>
      <c r="G38" s="353">
        <v>1.4560675534238218E-2</v>
      </c>
      <c r="H38" s="194"/>
      <c r="I38" s="382"/>
    </row>
    <row r="39" spans="1:20">
      <c r="A39" s="339"/>
      <c r="B39" s="381" t="s">
        <v>46</v>
      </c>
      <c r="C39" s="381">
        <v>2.0500000000000001E-2</v>
      </c>
      <c r="D39" s="353">
        <v>1.9E-2</v>
      </c>
      <c r="E39" s="353">
        <v>1.83E-2</v>
      </c>
      <c r="F39" s="353">
        <v>1.78E-2</v>
      </c>
      <c r="G39" s="353">
        <v>1.7500000000000002E-2</v>
      </c>
      <c r="H39" s="194"/>
      <c r="I39" s="382"/>
      <c r="N39" s="305"/>
      <c r="O39" s="305"/>
      <c r="P39" s="305"/>
      <c r="Q39" s="305"/>
      <c r="R39" s="305"/>
    </row>
    <row r="40" spans="1:20">
      <c r="A40" s="338"/>
      <c r="B40" s="381" t="s">
        <v>25</v>
      </c>
      <c r="C40" s="381">
        <v>2.0500000000000001E-2</v>
      </c>
      <c r="D40" s="353">
        <v>1.9E-2</v>
      </c>
      <c r="E40" s="353">
        <v>1.83E-2</v>
      </c>
      <c r="F40" s="353">
        <v>1.78E-2</v>
      </c>
      <c r="G40" s="353">
        <v>1.7500000000000002E-2</v>
      </c>
      <c r="H40" s="194"/>
      <c r="I40" s="382"/>
    </row>
    <row r="41" spans="1:20">
      <c r="A41" s="338"/>
      <c r="B41" s="381" t="s">
        <v>47</v>
      </c>
      <c r="C41" s="381">
        <v>2.1100000000000001E-2</v>
      </c>
      <c r="D41" s="353">
        <v>1.9599999999999999E-2</v>
      </c>
      <c r="E41" s="353">
        <v>1.89E-2</v>
      </c>
      <c r="F41" s="353">
        <v>1.84E-2</v>
      </c>
      <c r="G41" s="353">
        <v>1.8100000000000002E-2</v>
      </c>
      <c r="H41" s="194"/>
      <c r="I41" s="382"/>
    </row>
    <row r="42" spans="1:20">
      <c r="A42" s="338"/>
      <c r="B42" s="381" t="s">
        <v>27</v>
      </c>
      <c r="C42" s="381">
        <v>2.0500000000000001E-2</v>
      </c>
      <c r="D42" s="353">
        <v>1.9E-2</v>
      </c>
      <c r="E42" s="353">
        <v>1.83E-2</v>
      </c>
      <c r="F42" s="353">
        <v>1.78E-2</v>
      </c>
      <c r="G42" s="353">
        <v>1.7500000000000002E-2</v>
      </c>
      <c r="H42" s="194"/>
      <c r="I42" s="382"/>
    </row>
    <row r="43" spans="1:20">
      <c r="A43" s="338"/>
      <c r="B43" s="383" t="s">
        <v>28</v>
      </c>
      <c r="C43" s="383">
        <v>-1E-4</v>
      </c>
      <c r="D43" s="384">
        <v>9.2999999999999992E-3</v>
      </c>
      <c r="E43" s="384">
        <v>1.06E-2</v>
      </c>
      <c r="F43" s="384">
        <v>9.1999999999999998E-3</v>
      </c>
      <c r="G43" s="384">
        <v>7.7999999999999996E-3</v>
      </c>
      <c r="H43" s="385"/>
      <c r="I43" s="386"/>
    </row>
    <row r="44" spans="1:20">
      <c r="H44" s="39"/>
    </row>
    <row r="45" spans="1:20">
      <c r="B45" s="160" t="s">
        <v>48</v>
      </c>
      <c r="C45" s="88"/>
      <c r="I45" s="39"/>
    </row>
    <row r="46" spans="1:20">
      <c r="A46" s="33" t="s">
        <v>6</v>
      </c>
      <c r="C46" s="390">
        <f>RIIO_2_start_date</f>
        <v>2022</v>
      </c>
      <c r="D46" s="391">
        <f t="shared" ref="D46:J46" si="10">C46+1</f>
        <v>2023</v>
      </c>
      <c r="E46" s="391">
        <f t="shared" si="10"/>
        <v>2024</v>
      </c>
      <c r="F46" s="391">
        <f t="shared" si="10"/>
        <v>2025</v>
      </c>
      <c r="G46" s="391">
        <f t="shared" si="10"/>
        <v>2026</v>
      </c>
      <c r="H46" s="391">
        <f t="shared" si="10"/>
        <v>2027</v>
      </c>
      <c r="I46" s="391">
        <f t="shared" si="10"/>
        <v>2028</v>
      </c>
      <c r="J46" s="391">
        <f t="shared" si="10"/>
        <v>2029</v>
      </c>
    </row>
    <row r="47" spans="1:20">
      <c r="A47" s="33" t="s">
        <v>49</v>
      </c>
      <c r="B47" s="381" t="s">
        <v>19</v>
      </c>
      <c r="C47" s="380"/>
      <c r="D47" s="194"/>
      <c r="E47" s="353"/>
      <c r="F47" s="353"/>
      <c r="G47" s="353"/>
      <c r="H47" s="353"/>
      <c r="I47" s="159"/>
    </row>
    <row r="48" spans="1:20">
      <c r="A48" s="33" t="s">
        <v>50</v>
      </c>
      <c r="B48" s="381" t="s">
        <v>22</v>
      </c>
      <c r="C48" s="381">
        <v>4.2439449777777784E-2</v>
      </c>
      <c r="D48" s="353">
        <v>4.2616093333333334E-2</v>
      </c>
      <c r="E48" s="353">
        <v>4.2388117333333329E-2</v>
      </c>
      <c r="F48" s="353">
        <v>4.2547130666666676E-2</v>
      </c>
      <c r="G48" s="353">
        <v>4.2685452444444452E-2</v>
      </c>
      <c r="H48" s="194"/>
      <c r="I48" s="382"/>
      <c r="N48" s="305"/>
      <c r="O48" s="305"/>
      <c r="P48" s="305"/>
      <c r="Q48" s="305"/>
      <c r="R48" s="305"/>
    </row>
    <row r="49" spans="1:23">
      <c r="A49" s="33" t="s">
        <v>51</v>
      </c>
      <c r="B49" s="381" t="s">
        <v>25</v>
      </c>
      <c r="C49" s="381">
        <v>4.5181881000000007E-2</v>
      </c>
      <c r="D49" s="353">
        <v>4.5568105000000005E-2</v>
      </c>
      <c r="E49" s="353">
        <v>4.5399131999999995E-2</v>
      </c>
      <c r="F49" s="353">
        <v>4.564052200000001E-2</v>
      </c>
      <c r="G49" s="353">
        <v>4.5833633999999998E-2</v>
      </c>
      <c r="H49" s="194"/>
      <c r="I49" s="382"/>
    </row>
    <row r="50" spans="1:23">
      <c r="A50" s="33" t="s">
        <v>52</v>
      </c>
      <c r="B50" s="381" t="s">
        <v>27</v>
      </c>
      <c r="C50" s="619">
        <v>4.5181881000000007E-2</v>
      </c>
      <c r="D50" s="620">
        <v>4.5568105000000005E-2</v>
      </c>
      <c r="E50" s="620">
        <v>4.5399131999999995E-2</v>
      </c>
      <c r="F50" s="620">
        <v>4.564052200000001E-2</v>
      </c>
      <c r="G50" s="620">
        <v>4.5833633999999998E-2</v>
      </c>
      <c r="H50" s="194"/>
      <c r="I50" s="382"/>
    </row>
    <row r="51" spans="1:23">
      <c r="A51" s="33" t="s">
        <v>53</v>
      </c>
      <c r="B51" s="383" t="s">
        <v>28</v>
      </c>
      <c r="C51" s="621">
        <v>7.5718976000000007E-2</v>
      </c>
      <c r="D51" s="621">
        <v>7.5510080000000007E-2</v>
      </c>
      <c r="E51" s="621">
        <v>7.5601472000000003E-2</v>
      </c>
      <c r="F51" s="621">
        <v>7.5470912000000001E-2</v>
      </c>
      <c r="G51" s="621">
        <v>7.5366464000000008E-2</v>
      </c>
      <c r="H51" s="470"/>
      <c r="I51" s="386"/>
    </row>
    <row r="52" spans="1:23" ht="12.75" thickBot="1">
      <c r="A52" s="338"/>
      <c r="B52" s="468"/>
      <c r="C52" s="468"/>
      <c r="D52" s="468"/>
      <c r="E52" s="468"/>
      <c r="F52" s="468"/>
      <c r="G52" s="468"/>
      <c r="H52" s="469"/>
      <c r="I52" s="469"/>
    </row>
    <row r="53" spans="1:23" s="330" customFormat="1" ht="37.5" thickBot="1">
      <c r="A53"/>
      <c r="B53" s="11"/>
      <c r="C53" s="504" t="s">
        <v>54</v>
      </c>
      <c r="D53" s="504" t="s">
        <v>55</v>
      </c>
      <c r="E53" s="504" t="s">
        <v>56</v>
      </c>
      <c r="F53" s="504" t="s">
        <v>57</v>
      </c>
      <c r="G53" s="505" t="s">
        <v>58</v>
      </c>
      <c r="H53" s="824" t="s">
        <v>59</v>
      </c>
      <c r="I53" s="825"/>
      <c r="J53" s="825"/>
      <c r="K53" s="825"/>
      <c r="L53" s="825"/>
      <c r="M53" s="825"/>
      <c r="N53" s="826"/>
      <c r="O53" s="824" t="s">
        <v>60</v>
      </c>
      <c r="P53" s="825"/>
      <c r="Q53" s="825"/>
      <c r="R53" s="825"/>
      <c r="S53" s="825"/>
      <c r="T53" s="825"/>
      <c r="U53" s="826"/>
      <c r="V53"/>
      <c r="W53"/>
    </row>
    <row r="54" spans="1:23" ht="12.75" thickBot="1">
      <c r="A54" s="131" t="s">
        <v>6</v>
      </c>
      <c r="B54" s="499" t="s">
        <v>61</v>
      </c>
      <c r="C54" s="500"/>
      <c r="D54" s="500"/>
      <c r="E54" s="501"/>
      <c r="F54" s="502"/>
      <c r="G54" s="503"/>
      <c r="H54" s="480">
        <v>2022</v>
      </c>
      <c r="I54" s="481">
        <f t="shared" ref="I54:N54" si="11">H54+1</f>
        <v>2023</v>
      </c>
      <c r="J54" s="481">
        <f t="shared" si="11"/>
        <v>2024</v>
      </c>
      <c r="K54" s="482">
        <f t="shared" si="11"/>
        <v>2025</v>
      </c>
      <c r="L54" s="482">
        <f t="shared" si="11"/>
        <v>2026</v>
      </c>
      <c r="M54" s="482">
        <f t="shared" si="11"/>
        <v>2027</v>
      </c>
      <c r="N54" s="483">
        <f t="shared" si="11"/>
        <v>2028</v>
      </c>
      <c r="O54" s="480">
        <v>2022</v>
      </c>
      <c r="P54" s="481">
        <f t="shared" ref="P54:U54" si="12">O54+1</f>
        <v>2023</v>
      </c>
      <c r="Q54" s="481">
        <f t="shared" si="12"/>
        <v>2024</v>
      </c>
      <c r="R54" s="482">
        <f t="shared" si="12"/>
        <v>2025</v>
      </c>
      <c r="S54" s="482">
        <f t="shared" si="12"/>
        <v>2026</v>
      </c>
      <c r="T54" s="482">
        <f t="shared" si="12"/>
        <v>2027</v>
      </c>
      <c r="U54" s="483">
        <f t="shared" si="12"/>
        <v>2028</v>
      </c>
    </row>
    <row r="55" spans="1:23">
      <c r="A55" s="33" t="s">
        <v>19</v>
      </c>
      <c r="B55" s="489" t="s">
        <v>62</v>
      </c>
      <c r="C55" s="486"/>
      <c r="D55" s="486"/>
      <c r="E55" s="490">
        <v>2024</v>
      </c>
      <c r="F55" s="491" t="str">
        <f t="shared" ref="F55:F83" si="13">VLOOKUP($A55,$H$6:$I$10,2,FALSE)</f>
        <v>£m 20/21</v>
      </c>
      <c r="G55" s="492" t="s">
        <v>44</v>
      </c>
      <c r="H55" s="484"/>
      <c r="I55" s="485"/>
      <c r="J55" s="486">
        <f t="shared" ref="J55:N68" si="14">INDEX($C$36:$I$43,MATCH($G55,$B$36:$B$43,0),MATCH(J$54,$C$35:$I$35))</f>
        <v>0</v>
      </c>
      <c r="K55" s="486">
        <f t="shared" si="14"/>
        <v>0</v>
      </c>
      <c r="L55" s="486">
        <f t="shared" si="14"/>
        <v>0</v>
      </c>
      <c r="M55" s="487">
        <f t="shared" si="14"/>
        <v>0</v>
      </c>
      <c r="N55" s="488">
        <f t="shared" si="14"/>
        <v>0</v>
      </c>
      <c r="O55" s="471"/>
      <c r="P55" s="379"/>
      <c r="Q55" s="351">
        <f t="shared" ref="Q55:U68" si="15">INDEX($C$47:$I$51,MATCH($A55,$B$47:$B$51,0),MATCH(Q$54,$C$46:$I$46))</f>
        <v>0</v>
      </c>
      <c r="R55" s="351">
        <f t="shared" si="15"/>
        <v>0</v>
      </c>
      <c r="S55" s="351">
        <f t="shared" si="15"/>
        <v>0</v>
      </c>
      <c r="T55" s="413">
        <f t="shared" si="15"/>
        <v>0</v>
      </c>
      <c r="U55" s="472">
        <f t="shared" si="15"/>
        <v>0</v>
      </c>
    </row>
    <row r="56" spans="1:23">
      <c r="A56" s="33" t="s">
        <v>19</v>
      </c>
      <c r="B56" s="493" t="s">
        <v>63</v>
      </c>
      <c r="C56" s="353"/>
      <c r="D56" s="353"/>
      <c r="E56" s="137">
        <v>2024</v>
      </c>
      <c r="F56" s="138" t="str">
        <f t="shared" si="13"/>
        <v>£m 20/21</v>
      </c>
      <c r="G56" s="494" t="s">
        <v>44</v>
      </c>
      <c r="H56" s="473"/>
      <c r="I56" s="194"/>
      <c r="J56" s="353">
        <f t="shared" si="14"/>
        <v>0</v>
      </c>
      <c r="K56" s="353">
        <f t="shared" si="14"/>
        <v>0</v>
      </c>
      <c r="L56" s="353">
        <f t="shared" si="14"/>
        <v>0</v>
      </c>
      <c r="M56" s="413">
        <f t="shared" si="14"/>
        <v>0</v>
      </c>
      <c r="N56" s="472">
        <f t="shared" si="14"/>
        <v>0</v>
      </c>
      <c r="O56" s="473"/>
      <c r="P56" s="194"/>
      <c r="Q56" s="353">
        <f t="shared" si="15"/>
        <v>0</v>
      </c>
      <c r="R56" s="353">
        <f t="shared" si="15"/>
        <v>0</v>
      </c>
      <c r="S56" s="353">
        <f t="shared" si="15"/>
        <v>0</v>
      </c>
      <c r="T56" s="413">
        <f t="shared" si="15"/>
        <v>0</v>
      </c>
      <c r="U56" s="472">
        <f t="shared" si="15"/>
        <v>0</v>
      </c>
    </row>
    <row r="57" spans="1:23">
      <c r="A57" s="33" t="s">
        <v>19</v>
      </c>
      <c r="B57" s="493" t="s">
        <v>64</v>
      </c>
      <c r="C57" s="353"/>
      <c r="D57" s="353"/>
      <c r="E57" s="137">
        <v>2024</v>
      </c>
      <c r="F57" s="138" t="str">
        <f t="shared" si="13"/>
        <v>£m 20/21</v>
      </c>
      <c r="G57" s="494" t="s">
        <v>44</v>
      </c>
      <c r="H57" s="473"/>
      <c r="I57" s="194"/>
      <c r="J57" s="353">
        <f t="shared" si="14"/>
        <v>0</v>
      </c>
      <c r="K57" s="353">
        <f t="shared" si="14"/>
        <v>0</v>
      </c>
      <c r="L57" s="353">
        <f t="shared" si="14"/>
        <v>0</v>
      </c>
      <c r="M57" s="413">
        <f t="shared" si="14"/>
        <v>0</v>
      </c>
      <c r="N57" s="472">
        <f t="shared" si="14"/>
        <v>0</v>
      </c>
      <c r="O57" s="473"/>
      <c r="P57" s="194"/>
      <c r="Q57" s="353">
        <f t="shared" si="15"/>
        <v>0</v>
      </c>
      <c r="R57" s="353">
        <f t="shared" si="15"/>
        <v>0</v>
      </c>
      <c r="S57" s="353">
        <f t="shared" si="15"/>
        <v>0</v>
      </c>
      <c r="T57" s="413">
        <f t="shared" si="15"/>
        <v>0</v>
      </c>
      <c r="U57" s="472">
        <f t="shared" si="15"/>
        <v>0</v>
      </c>
    </row>
    <row r="58" spans="1:23">
      <c r="A58" s="33" t="s">
        <v>19</v>
      </c>
      <c r="B58" s="493" t="s">
        <v>65</v>
      </c>
      <c r="C58" s="353"/>
      <c r="D58" s="353"/>
      <c r="E58" s="137">
        <v>2024</v>
      </c>
      <c r="F58" s="138" t="str">
        <f t="shared" si="13"/>
        <v>£m 20/21</v>
      </c>
      <c r="G58" s="494" t="s">
        <v>44</v>
      </c>
      <c r="H58" s="473"/>
      <c r="I58" s="194"/>
      <c r="J58" s="353">
        <f t="shared" si="14"/>
        <v>0</v>
      </c>
      <c r="K58" s="353">
        <f t="shared" si="14"/>
        <v>0</v>
      </c>
      <c r="L58" s="353">
        <f t="shared" si="14"/>
        <v>0</v>
      </c>
      <c r="M58" s="413">
        <f t="shared" si="14"/>
        <v>0</v>
      </c>
      <c r="N58" s="472">
        <f t="shared" si="14"/>
        <v>0</v>
      </c>
      <c r="O58" s="473"/>
      <c r="P58" s="194"/>
      <c r="Q58" s="353">
        <f t="shared" si="15"/>
        <v>0</v>
      </c>
      <c r="R58" s="353">
        <f t="shared" si="15"/>
        <v>0</v>
      </c>
      <c r="S58" s="353">
        <f t="shared" si="15"/>
        <v>0</v>
      </c>
      <c r="T58" s="413">
        <f t="shared" si="15"/>
        <v>0</v>
      </c>
      <c r="U58" s="472">
        <f t="shared" si="15"/>
        <v>0</v>
      </c>
    </row>
    <row r="59" spans="1:23">
      <c r="A59" s="33" t="s">
        <v>19</v>
      </c>
      <c r="B59" s="493" t="s">
        <v>66</v>
      </c>
      <c r="C59" s="353"/>
      <c r="D59" s="353"/>
      <c r="E59" s="137">
        <v>2024</v>
      </c>
      <c r="F59" s="138" t="str">
        <f t="shared" si="13"/>
        <v>£m 20/21</v>
      </c>
      <c r="G59" s="494" t="s">
        <v>44</v>
      </c>
      <c r="H59" s="473"/>
      <c r="I59" s="194"/>
      <c r="J59" s="353">
        <f t="shared" si="14"/>
        <v>0</v>
      </c>
      <c r="K59" s="353">
        <f t="shared" si="14"/>
        <v>0</v>
      </c>
      <c r="L59" s="353">
        <f t="shared" si="14"/>
        <v>0</v>
      </c>
      <c r="M59" s="413">
        <f t="shared" si="14"/>
        <v>0</v>
      </c>
      <c r="N59" s="472">
        <f t="shared" si="14"/>
        <v>0</v>
      </c>
      <c r="O59" s="473"/>
      <c r="P59" s="194"/>
      <c r="Q59" s="353">
        <f t="shared" si="15"/>
        <v>0</v>
      </c>
      <c r="R59" s="353">
        <f t="shared" si="15"/>
        <v>0</v>
      </c>
      <c r="S59" s="353">
        <f t="shared" si="15"/>
        <v>0</v>
      </c>
      <c r="T59" s="413">
        <f t="shared" si="15"/>
        <v>0</v>
      </c>
      <c r="U59" s="472">
        <f t="shared" si="15"/>
        <v>0</v>
      </c>
    </row>
    <row r="60" spans="1:23">
      <c r="A60" s="33" t="s">
        <v>19</v>
      </c>
      <c r="B60" s="493" t="s">
        <v>67</v>
      </c>
      <c r="C60" s="353"/>
      <c r="D60" s="353"/>
      <c r="E60" s="137">
        <v>2024</v>
      </c>
      <c r="F60" s="138" t="str">
        <f t="shared" si="13"/>
        <v>£m 20/21</v>
      </c>
      <c r="G60" s="494" t="s">
        <v>44</v>
      </c>
      <c r="H60" s="473"/>
      <c r="I60" s="194"/>
      <c r="J60" s="353">
        <f t="shared" si="14"/>
        <v>0</v>
      </c>
      <c r="K60" s="353">
        <f t="shared" si="14"/>
        <v>0</v>
      </c>
      <c r="L60" s="353">
        <f t="shared" si="14"/>
        <v>0</v>
      </c>
      <c r="M60" s="413">
        <f t="shared" si="14"/>
        <v>0</v>
      </c>
      <c r="N60" s="472">
        <f t="shared" si="14"/>
        <v>0</v>
      </c>
      <c r="O60" s="473"/>
      <c r="P60" s="194"/>
      <c r="Q60" s="353">
        <f t="shared" si="15"/>
        <v>0</v>
      </c>
      <c r="R60" s="353">
        <f t="shared" si="15"/>
        <v>0</v>
      </c>
      <c r="S60" s="353">
        <f t="shared" si="15"/>
        <v>0</v>
      </c>
      <c r="T60" s="413">
        <f t="shared" si="15"/>
        <v>0</v>
      </c>
      <c r="U60" s="472">
        <f t="shared" si="15"/>
        <v>0</v>
      </c>
    </row>
    <row r="61" spans="1:23">
      <c r="A61" s="33" t="s">
        <v>19</v>
      </c>
      <c r="B61" s="493" t="s">
        <v>68</v>
      </c>
      <c r="C61" s="353"/>
      <c r="D61" s="353"/>
      <c r="E61" s="137">
        <v>2024</v>
      </c>
      <c r="F61" s="138" t="str">
        <f t="shared" si="13"/>
        <v>£m 20/21</v>
      </c>
      <c r="G61" s="494" t="s">
        <v>44</v>
      </c>
      <c r="H61" s="473"/>
      <c r="I61" s="194"/>
      <c r="J61" s="353">
        <f t="shared" si="14"/>
        <v>0</v>
      </c>
      <c r="K61" s="353">
        <f t="shared" si="14"/>
        <v>0</v>
      </c>
      <c r="L61" s="353">
        <f t="shared" si="14"/>
        <v>0</v>
      </c>
      <c r="M61" s="413">
        <f t="shared" si="14"/>
        <v>0</v>
      </c>
      <c r="N61" s="472">
        <f t="shared" si="14"/>
        <v>0</v>
      </c>
      <c r="O61" s="473"/>
      <c r="P61" s="194"/>
      <c r="Q61" s="353">
        <f t="shared" si="15"/>
        <v>0</v>
      </c>
      <c r="R61" s="353">
        <f t="shared" si="15"/>
        <v>0</v>
      </c>
      <c r="S61" s="353">
        <f t="shared" si="15"/>
        <v>0</v>
      </c>
      <c r="T61" s="413">
        <f t="shared" si="15"/>
        <v>0</v>
      </c>
      <c r="U61" s="472">
        <f t="shared" si="15"/>
        <v>0</v>
      </c>
    </row>
    <row r="62" spans="1:23">
      <c r="A62" s="33" t="s">
        <v>19</v>
      </c>
      <c r="B62" s="493" t="s">
        <v>69</v>
      </c>
      <c r="C62" s="353"/>
      <c r="D62" s="353"/>
      <c r="E62" s="137">
        <v>2024</v>
      </c>
      <c r="F62" s="138" t="str">
        <f t="shared" si="13"/>
        <v>£m 20/21</v>
      </c>
      <c r="G62" s="494" t="s">
        <v>44</v>
      </c>
      <c r="H62" s="473"/>
      <c r="I62" s="194"/>
      <c r="J62" s="353">
        <f t="shared" si="14"/>
        <v>0</v>
      </c>
      <c r="K62" s="353">
        <f t="shared" si="14"/>
        <v>0</v>
      </c>
      <c r="L62" s="353">
        <f t="shared" si="14"/>
        <v>0</v>
      </c>
      <c r="M62" s="413">
        <f t="shared" si="14"/>
        <v>0</v>
      </c>
      <c r="N62" s="472">
        <f t="shared" si="14"/>
        <v>0</v>
      </c>
      <c r="O62" s="473"/>
      <c r="P62" s="194"/>
      <c r="Q62" s="353">
        <f t="shared" si="15"/>
        <v>0</v>
      </c>
      <c r="R62" s="353">
        <f t="shared" si="15"/>
        <v>0</v>
      </c>
      <c r="S62" s="353">
        <f t="shared" si="15"/>
        <v>0</v>
      </c>
      <c r="T62" s="413">
        <f t="shared" si="15"/>
        <v>0</v>
      </c>
      <c r="U62" s="472">
        <f t="shared" si="15"/>
        <v>0</v>
      </c>
    </row>
    <row r="63" spans="1:23">
      <c r="A63" s="33" t="s">
        <v>19</v>
      </c>
      <c r="B63" s="493" t="s">
        <v>70</v>
      </c>
      <c r="C63" s="353"/>
      <c r="D63" s="353"/>
      <c r="E63" s="137">
        <v>2024</v>
      </c>
      <c r="F63" s="138" t="str">
        <f t="shared" si="13"/>
        <v>£m 20/21</v>
      </c>
      <c r="G63" s="494" t="s">
        <v>44</v>
      </c>
      <c r="H63" s="473"/>
      <c r="I63" s="194"/>
      <c r="J63" s="353">
        <f t="shared" si="14"/>
        <v>0</v>
      </c>
      <c r="K63" s="353">
        <f t="shared" si="14"/>
        <v>0</v>
      </c>
      <c r="L63" s="353">
        <f t="shared" si="14"/>
        <v>0</v>
      </c>
      <c r="M63" s="413">
        <f t="shared" si="14"/>
        <v>0</v>
      </c>
      <c r="N63" s="472">
        <f t="shared" si="14"/>
        <v>0</v>
      </c>
      <c r="O63" s="473"/>
      <c r="P63" s="194"/>
      <c r="Q63" s="353">
        <f t="shared" si="15"/>
        <v>0</v>
      </c>
      <c r="R63" s="353">
        <f t="shared" si="15"/>
        <v>0</v>
      </c>
      <c r="S63" s="353">
        <f t="shared" si="15"/>
        <v>0</v>
      </c>
      <c r="T63" s="413">
        <f t="shared" si="15"/>
        <v>0</v>
      </c>
      <c r="U63" s="472">
        <f t="shared" si="15"/>
        <v>0</v>
      </c>
    </row>
    <row r="64" spans="1:23">
      <c r="A64" s="33" t="s">
        <v>19</v>
      </c>
      <c r="B64" s="493" t="s">
        <v>71</v>
      </c>
      <c r="C64" s="353"/>
      <c r="D64" s="353"/>
      <c r="E64" s="137">
        <v>2024</v>
      </c>
      <c r="F64" s="138" t="str">
        <f t="shared" si="13"/>
        <v>£m 20/21</v>
      </c>
      <c r="G64" s="494" t="s">
        <v>44</v>
      </c>
      <c r="H64" s="473"/>
      <c r="I64" s="194"/>
      <c r="J64" s="353">
        <f t="shared" si="14"/>
        <v>0</v>
      </c>
      <c r="K64" s="353">
        <f t="shared" si="14"/>
        <v>0</v>
      </c>
      <c r="L64" s="353">
        <f t="shared" si="14"/>
        <v>0</v>
      </c>
      <c r="M64" s="413">
        <f t="shared" si="14"/>
        <v>0</v>
      </c>
      <c r="N64" s="472">
        <f t="shared" si="14"/>
        <v>0</v>
      </c>
      <c r="O64" s="473"/>
      <c r="P64" s="194"/>
      <c r="Q64" s="353">
        <f t="shared" si="15"/>
        <v>0</v>
      </c>
      <c r="R64" s="353">
        <f t="shared" si="15"/>
        <v>0</v>
      </c>
      <c r="S64" s="353">
        <f t="shared" si="15"/>
        <v>0</v>
      </c>
      <c r="T64" s="413">
        <f t="shared" si="15"/>
        <v>0</v>
      </c>
      <c r="U64" s="472">
        <f t="shared" si="15"/>
        <v>0</v>
      </c>
    </row>
    <row r="65" spans="1:21">
      <c r="A65" s="33" t="s">
        <v>19</v>
      </c>
      <c r="B65" s="493" t="s">
        <v>72</v>
      </c>
      <c r="C65" s="353"/>
      <c r="D65" s="353"/>
      <c r="E65" s="137">
        <v>2024</v>
      </c>
      <c r="F65" s="138" t="str">
        <f t="shared" si="13"/>
        <v>£m 20/21</v>
      </c>
      <c r="G65" s="494" t="s">
        <v>43</v>
      </c>
      <c r="H65" s="473"/>
      <c r="I65" s="194"/>
      <c r="J65" s="353">
        <f t="shared" si="14"/>
        <v>0</v>
      </c>
      <c r="K65" s="353">
        <f t="shared" si="14"/>
        <v>0</v>
      </c>
      <c r="L65" s="353">
        <f t="shared" si="14"/>
        <v>0</v>
      </c>
      <c r="M65" s="413">
        <f t="shared" si="14"/>
        <v>0</v>
      </c>
      <c r="N65" s="472">
        <f t="shared" si="14"/>
        <v>0</v>
      </c>
      <c r="O65" s="473"/>
      <c r="P65" s="194"/>
      <c r="Q65" s="353">
        <f t="shared" si="15"/>
        <v>0</v>
      </c>
      <c r="R65" s="353">
        <f t="shared" si="15"/>
        <v>0</v>
      </c>
      <c r="S65" s="353">
        <f t="shared" si="15"/>
        <v>0</v>
      </c>
      <c r="T65" s="413">
        <f t="shared" si="15"/>
        <v>0</v>
      </c>
      <c r="U65" s="472">
        <f t="shared" si="15"/>
        <v>0</v>
      </c>
    </row>
    <row r="66" spans="1:21">
      <c r="A66" s="33" t="s">
        <v>19</v>
      </c>
      <c r="B66" s="493" t="s">
        <v>73</v>
      </c>
      <c r="C66" s="353"/>
      <c r="D66" s="353"/>
      <c r="E66" s="137">
        <v>2024</v>
      </c>
      <c r="F66" s="138" t="str">
        <f t="shared" si="13"/>
        <v>£m 20/21</v>
      </c>
      <c r="G66" s="494" t="s">
        <v>43</v>
      </c>
      <c r="H66" s="473"/>
      <c r="I66" s="194"/>
      <c r="J66" s="353">
        <f t="shared" si="14"/>
        <v>0</v>
      </c>
      <c r="K66" s="353">
        <f t="shared" si="14"/>
        <v>0</v>
      </c>
      <c r="L66" s="353">
        <f t="shared" si="14"/>
        <v>0</v>
      </c>
      <c r="M66" s="413">
        <f t="shared" si="14"/>
        <v>0</v>
      </c>
      <c r="N66" s="472">
        <f t="shared" si="14"/>
        <v>0</v>
      </c>
      <c r="O66" s="473"/>
      <c r="P66" s="194"/>
      <c r="Q66" s="353">
        <f t="shared" si="15"/>
        <v>0</v>
      </c>
      <c r="R66" s="353">
        <f t="shared" si="15"/>
        <v>0</v>
      </c>
      <c r="S66" s="353">
        <f t="shared" si="15"/>
        <v>0</v>
      </c>
      <c r="T66" s="413">
        <f t="shared" si="15"/>
        <v>0</v>
      </c>
      <c r="U66" s="472">
        <f t="shared" si="15"/>
        <v>0</v>
      </c>
    </row>
    <row r="67" spans="1:21">
      <c r="A67" s="33" t="s">
        <v>19</v>
      </c>
      <c r="B67" s="493" t="s">
        <v>74</v>
      </c>
      <c r="C67" s="353"/>
      <c r="D67" s="353"/>
      <c r="E67" s="137">
        <v>2024</v>
      </c>
      <c r="F67" s="138" t="str">
        <f t="shared" si="13"/>
        <v>£m 20/21</v>
      </c>
      <c r="G67" s="494" t="s">
        <v>43</v>
      </c>
      <c r="H67" s="473"/>
      <c r="I67" s="194"/>
      <c r="J67" s="353">
        <f t="shared" si="14"/>
        <v>0</v>
      </c>
      <c r="K67" s="353">
        <f t="shared" si="14"/>
        <v>0</v>
      </c>
      <c r="L67" s="353">
        <f t="shared" si="14"/>
        <v>0</v>
      </c>
      <c r="M67" s="413">
        <f t="shared" si="14"/>
        <v>0</v>
      </c>
      <c r="N67" s="472">
        <f t="shared" si="14"/>
        <v>0</v>
      </c>
      <c r="O67" s="473"/>
      <c r="P67" s="194"/>
      <c r="Q67" s="353">
        <f t="shared" si="15"/>
        <v>0</v>
      </c>
      <c r="R67" s="353">
        <f t="shared" si="15"/>
        <v>0</v>
      </c>
      <c r="S67" s="353">
        <f t="shared" si="15"/>
        <v>0</v>
      </c>
      <c r="T67" s="413">
        <f t="shared" si="15"/>
        <v>0</v>
      </c>
      <c r="U67" s="472">
        <f t="shared" si="15"/>
        <v>0</v>
      </c>
    </row>
    <row r="68" spans="1:21">
      <c r="A68" s="33" t="s">
        <v>19</v>
      </c>
      <c r="B68" s="493" t="s">
        <v>75</v>
      </c>
      <c r="C68" s="353"/>
      <c r="D68" s="353"/>
      <c r="E68" s="137">
        <v>2024</v>
      </c>
      <c r="F68" s="138" t="str">
        <f t="shared" si="13"/>
        <v>£m 20/21</v>
      </c>
      <c r="G68" s="494" t="s">
        <v>43</v>
      </c>
      <c r="H68" s="473"/>
      <c r="I68" s="194"/>
      <c r="J68" s="353">
        <f t="shared" si="14"/>
        <v>0</v>
      </c>
      <c r="K68" s="353">
        <f t="shared" si="14"/>
        <v>0</v>
      </c>
      <c r="L68" s="353">
        <f t="shared" si="14"/>
        <v>0</v>
      </c>
      <c r="M68" s="413">
        <f t="shared" si="14"/>
        <v>0</v>
      </c>
      <c r="N68" s="472">
        <f t="shared" si="14"/>
        <v>0</v>
      </c>
      <c r="O68" s="473"/>
      <c r="P68" s="194"/>
      <c r="Q68" s="353">
        <f t="shared" si="15"/>
        <v>0</v>
      </c>
      <c r="R68" s="353">
        <f t="shared" si="15"/>
        <v>0</v>
      </c>
      <c r="S68" s="353">
        <f t="shared" si="15"/>
        <v>0</v>
      </c>
      <c r="T68" s="413">
        <f t="shared" si="15"/>
        <v>0</v>
      </c>
      <c r="U68" s="472">
        <f t="shared" si="15"/>
        <v>0</v>
      </c>
    </row>
    <row r="69" spans="1:21">
      <c r="A69" s="33" t="s">
        <v>25</v>
      </c>
      <c r="B69" s="493" t="s">
        <v>76</v>
      </c>
      <c r="C69" s="353">
        <v>0.5</v>
      </c>
      <c r="D69" s="353">
        <v>0.6</v>
      </c>
      <c r="E69" s="137">
        <v>2022</v>
      </c>
      <c r="F69" s="138" t="str">
        <f t="shared" si="13"/>
        <v>£m 18/19</v>
      </c>
      <c r="G69" s="494" t="s">
        <v>25</v>
      </c>
      <c r="H69" s="474">
        <f t="shared" ref="H69:L83" si="16">INDEX($C$36:$I$43,MATCH($G69,$B$36:$B$43,0),MATCH(H$54,$C$35:$I$35))</f>
        <v>2.0500000000000001E-2</v>
      </c>
      <c r="I69" s="353">
        <f t="shared" si="16"/>
        <v>1.9E-2</v>
      </c>
      <c r="J69" s="353">
        <f t="shared" si="16"/>
        <v>1.83E-2</v>
      </c>
      <c r="K69" s="353">
        <f t="shared" si="16"/>
        <v>1.78E-2</v>
      </c>
      <c r="L69" s="353">
        <f t="shared" si="16"/>
        <v>1.7500000000000002E-2</v>
      </c>
      <c r="M69" s="194"/>
      <c r="N69" s="475"/>
      <c r="O69" s="474">
        <f t="shared" ref="O69:S83" si="17">INDEX($C$47:$I$51,MATCH($A69,$B$47:$B$51,0),MATCH(O$54,$C$46:$I$46))</f>
        <v>4.5181881000000007E-2</v>
      </c>
      <c r="P69" s="353">
        <f t="shared" si="17"/>
        <v>4.5568105000000005E-2</v>
      </c>
      <c r="Q69" s="353">
        <f t="shared" si="17"/>
        <v>4.5399131999999995E-2</v>
      </c>
      <c r="R69" s="353">
        <f t="shared" si="17"/>
        <v>4.564052200000001E-2</v>
      </c>
      <c r="S69" s="353">
        <f t="shared" si="17"/>
        <v>4.5833633999999998E-2</v>
      </c>
      <c r="T69" s="194"/>
      <c r="U69" s="475"/>
    </row>
    <row r="70" spans="1:21">
      <c r="A70" s="33" t="s">
        <v>25</v>
      </c>
      <c r="B70" s="493" t="s">
        <v>77</v>
      </c>
      <c r="C70" s="353">
        <v>0.5</v>
      </c>
      <c r="D70" s="353">
        <v>0.6</v>
      </c>
      <c r="E70" s="137">
        <v>2022</v>
      </c>
      <c r="F70" s="138" t="str">
        <f t="shared" si="13"/>
        <v>£m 18/19</v>
      </c>
      <c r="G70" s="494" t="s">
        <v>25</v>
      </c>
      <c r="H70" s="474">
        <f t="shared" si="16"/>
        <v>2.0500000000000001E-2</v>
      </c>
      <c r="I70" s="353">
        <f t="shared" si="16"/>
        <v>1.9E-2</v>
      </c>
      <c r="J70" s="353">
        <f t="shared" si="16"/>
        <v>1.83E-2</v>
      </c>
      <c r="K70" s="353">
        <f t="shared" si="16"/>
        <v>1.78E-2</v>
      </c>
      <c r="L70" s="353">
        <f t="shared" si="16"/>
        <v>1.7500000000000002E-2</v>
      </c>
      <c r="M70" s="194"/>
      <c r="N70" s="475"/>
      <c r="O70" s="474">
        <f t="shared" si="17"/>
        <v>4.5181881000000007E-2</v>
      </c>
      <c r="P70" s="353">
        <f t="shared" si="17"/>
        <v>4.5568105000000005E-2</v>
      </c>
      <c r="Q70" s="353">
        <f t="shared" si="17"/>
        <v>4.5399131999999995E-2</v>
      </c>
      <c r="R70" s="353">
        <f t="shared" si="17"/>
        <v>4.564052200000001E-2</v>
      </c>
      <c r="S70" s="353">
        <f t="shared" si="17"/>
        <v>4.5833633999999998E-2</v>
      </c>
      <c r="T70" s="194"/>
      <c r="U70" s="475"/>
    </row>
    <row r="71" spans="1:21">
      <c r="A71" s="33" t="s">
        <v>25</v>
      </c>
      <c r="B71" s="493" t="s">
        <v>4</v>
      </c>
      <c r="C71" s="353">
        <v>0.5</v>
      </c>
      <c r="D71" s="353">
        <v>0.6</v>
      </c>
      <c r="E71" s="137">
        <v>2022</v>
      </c>
      <c r="F71" s="138" t="str">
        <f t="shared" si="13"/>
        <v>£m 18/19</v>
      </c>
      <c r="G71" s="494" t="s">
        <v>25</v>
      </c>
      <c r="H71" s="474">
        <f t="shared" si="16"/>
        <v>2.0500000000000001E-2</v>
      </c>
      <c r="I71" s="353">
        <f t="shared" si="16"/>
        <v>1.9E-2</v>
      </c>
      <c r="J71" s="353">
        <f t="shared" si="16"/>
        <v>1.83E-2</v>
      </c>
      <c r="K71" s="353">
        <f t="shared" si="16"/>
        <v>1.78E-2</v>
      </c>
      <c r="L71" s="353">
        <f t="shared" si="16"/>
        <v>1.7500000000000002E-2</v>
      </c>
      <c r="M71" s="194"/>
      <c r="N71" s="475"/>
      <c r="O71" s="474">
        <f t="shared" si="17"/>
        <v>4.5181881000000007E-2</v>
      </c>
      <c r="P71" s="353">
        <f t="shared" si="17"/>
        <v>4.5568105000000005E-2</v>
      </c>
      <c r="Q71" s="353">
        <f t="shared" si="17"/>
        <v>4.5399131999999995E-2</v>
      </c>
      <c r="R71" s="353">
        <f t="shared" si="17"/>
        <v>4.564052200000001E-2</v>
      </c>
      <c r="S71" s="353">
        <f t="shared" si="17"/>
        <v>4.5833633999999998E-2</v>
      </c>
      <c r="T71" s="194"/>
      <c r="U71" s="475"/>
    </row>
    <row r="72" spans="1:21">
      <c r="A72" s="33" t="s">
        <v>25</v>
      </c>
      <c r="B72" s="493" t="s">
        <v>78</v>
      </c>
      <c r="C72" s="353">
        <v>0.5</v>
      </c>
      <c r="D72" s="353">
        <v>0.6</v>
      </c>
      <c r="E72" s="137">
        <v>2022</v>
      </c>
      <c r="F72" s="138" t="str">
        <f t="shared" si="13"/>
        <v>£m 18/19</v>
      </c>
      <c r="G72" s="494" t="s">
        <v>25</v>
      </c>
      <c r="H72" s="474">
        <f t="shared" si="16"/>
        <v>2.0500000000000001E-2</v>
      </c>
      <c r="I72" s="353">
        <f t="shared" si="16"/>
        <v>1.9E-2</v>
      </c>
      <c r="J72" s="353">
        <f t="shared" si="16"/>
        <v>1.83E-2</v>
      </c>
      <c r="K72" s="353">
        <f t="shared" si="16"/>
        <v>1.78E-2</v>
      </c>
      <c r="L72" s="353">
        <f t="shared" si="16"/>
        <v>1.7500000000000002E-2</v>
      </c>
      <c r="M72" s="194"/>
      <c r="N72" s="475"/>
      <c r="O72" s="474">
        <f t="shared" si="17"/>
        <v>4.5181881000000007E-2</v>
      </c>
      <c r="P72" s="353">
        <f t="shared" si="17"/>
        <v>4.5568105000000005E-2</v>
      </c>
      <c r="Q72" s="353">
        <f t="shared" si="17"/>
        <v>4.5399131999999995E-2</v>
      </c>
      <c r="R72" s="353">
        <f t="shared" si="17"/>
        <v>4.564052200000001E-2</v>
      </c>
      <c r="S72" s="353">
        <f t="shared" si="17"/>
        <v>4.5833633999999998E-2</v>
      </c>
      <c r="T72" s="194"/>
      <c r="U72" s="475"/>
    </row>
    <row r="73" spans="1:21">
      <c r="A73" s="33" t="s">
        <v>25</v>
      </c>
      <c r="B73" s="493" t="s">
        <v>79</v>
      </c>
      <c r="C73" s="353">
        <v>0.51</v>
      </c>
      <c r="D73" s="353">
        <v>0.6</v>
      </c>
      <c r="E73" s="137">
        <v>2022</v>
      </c>
      <c r="F73" s="138" t="str">
        <f t="shared" si="13"/>
        <v>£m 18/19</v>
      </c>
      <c r="G73" s="494" t="s">
        <v>47</v>
      </c>
      <c r="H73" s="474">
        <f t="shared" si="16"/>
        <v>2.1100000000000001E-2</v>
      </c>
      <c r="I73" s="353">
        <f t="shared" si="16"/>
        <v>1.9599999999999999E-2</v>
      </c>
      <c r="J73" s="353">
        <f t="shared" si="16"/>
        <v>1.89E-2</v>
      </c>
      <c r="K73" s="353">
        <f t="shared" si="16"/>
        <v>1.84E-2</v>
      </c>
      <c r="L73" s="353">
        <f t="shared" si="16"/>
        <v>1.8100000000000002E-2</v>
      </c>
      <c r="M73" s="194"/>
      <c r="N73" s="475"/>
      <c r="O73" s="474">
        <f t="shared" si="17"/>
        <v>4.5181881000000007E-2</v>
      </c>
      <c r="P73" s="353">
        <f t="shared" si="17"/>
        <v>4.5568105000000005E-2</v>
      </c>
      <c r="Q73" s="353">
        <f t="shared" si="17"/>
        <v>4.5399131999999995E-2</v>
      </c>
      <c r="R73" s="353">
        <f t="shared" si="17"/>
        <v>4.564052200000001E-2</v>
      </c>
      <c r="S73" s="353">
        <f t="shared" si="17"/>
        <v>4.5833633999999998E-2</v>
      </c>
      <c r="T73" s="194"/>
      <c r="U73" s="475"/>
    </row>
    <row r="74" spans="1:21">
      <c r="A74" s="33" t="s">
        <v>25</v>
      </c>
      <c r="B74" s="493" t="s">
        <v>80</v>
      </c>
      <c r="C74" s="353">
        <v>0.51</v>
      </c>
      <c r="D74" s="353">
        <v>0.6</v>
      </c>
      <c r="E74" s="137">
        <v>2022</v>
      </c>
      <c r="F74" s="138" t="str">
        <f t="shared" si="13"/>
        <v>£m 18/19</v>
      </c>
      <c r="G74" s="494" t="s">
        <v>47</v>
      </c>
      <c r="H74" s="474">
        <f t="shared" si="16"/>
        <v>2.1100000000000001E-2</v>
      </c>
      <c r="I74" s="353">
        <f t="shared" si="16"/>
        <v>1.9599999999999999E-2</v>
      </c>
      <c r="J74" s="353">
        <f t="shared" si="16"/>
        <v>1.89E-2</v>
      </c>
      <c r="K74" s="353">
        <f t="shared" si="16"/>
        <v>1.84E-2</v>
      </c>
      <c r="L74" s="353">
        <f t="shared" si="16"/>
        <v>1.8100000000000002E-2</v>
      </c>
      <c r="M74" s="194"/>
      <c r="N74" s="475"/>
      <c r="O74" s="474">
        <f t="shared" si="17"/>
        <v>4.5181881000000007E-2</v>
      </c>
      <c r="P74" s="353">
        <f t="shared" si="17"/>
        <v>4.5568105000000005E-2</v>
      </c>
      <c r="Q74" s="353">
        <f t="shared" si="17"/>
        <v>4.5399131999999995E-2</v>
      </c>
      <c r="R74" s="353">
        <f t="shared" si="17"/>
        <v>4.564052200000001E-2</v>
      </c>
      <c r="S74" s="353">
        <f t="shared" si="17"/>
        <v>4.5833633999999998E-2</v>
      </c>
      <c r="T74" s="194"/>
      <c r="U74" s="475"/>
    </row>
    <row r="75" spans="1:21">
      <c r="A75" s="33" t="s">
        <v>25</v>
      </c>
      <c r="B75" s="493" t="s">
        <v>81</v>
      </c>
      <c r="C75" s="353">
        <v>0.5</v>
      </c>
      <c r="D75" s="353">
        <v>0.6</v>
      </c>
      <c r="E75" s="137">
        <v>2022</v>
      </c>
      <c r="F75" s="138" t="str">
        <f t="shared" si="13"/>
        <v>£m 18/19</v>
      </c>
      <c r="G75" s="494" t="s">
        <v>25</v>
      </c>
      <c r="H75" s="474">
        <f t="shared" si="16"/>
        <v>2.0500000000000001E-2</v>
      </c>
      <c r="I75" s="353">
        <f t="shared" si="16"/>
        <v>1.9E-2</v>
      </c>
      <c r="J75" s="353">
        <f t="shared" si="16"/>
        <v>1.83E-2</v>
      </c>
      <c r="K75" s="353">
        <f t="shared" si="16"/>
        <v>1.78E-2</v>
      </c>
      <c r="L75" s="353">
        <f t="shared" si="16"/>
        <v>1.7500000000000002E-2</v>
      </c>
      <c r="M75" s="194"/>
      <c r="N75" s="475"/>
      <c r="O75" s="474">
        <f t="shared" si="17"/>
        <v>4.5181881000000007E-2</v>
      </c>
      <c r="P75" s="353">
        <f t="shared" si="17"/>
        <v>4.5568105000000005E-2</v>
      </c>
      <c r="Q75" s="353">
        <f t="shared" si="17"/>
        <v>4.5399131999999995E-2</v>
      </c>
      <c r="R75" s="353">
        <f t="shared" si="17"/>
        <v>4.564052200000001E-2</v>
      </c>
      <c r="S75" s="353">
        <f t="shared" si="17"/>
        <v>4.5833633999999998E-2</v>
      </c>
      <c r="T75" s="194"/>
      <c r="U75" s="475"/>
    </row>
    <row r="76" spans="1:21">
      <c r="A76" s="33" t="s">
        <v>25</v>
      </c>
      <c r="B76" s="493" t="s">
        <v>82</v>
      </c>
      <c r="C76" s="353">
        <v>0.5</v>
      </c>
      <c r="D76" s="353">
        <v>0.6</v>
      </c>
      <c r="E76" s="137">
        <v>2022</v>
      </c>
      <c r="F76" s="138" t="str">
        <f t="shared" si="13"/>
        <v>£m 18/19</v>
      </c>
      <c r="G76" s="494" t="s">
        <v>47</v>
      </c>
      <c r="H76" s="474">
        <f t="shared" si="16"/>
        <v>2.1100000000000001E-2</v>
      </c>
      <c r="I76" s="353">
        <f t="shared" si="16"/>
        <v>1.9599999999999999E-2</v>
      </c>
      <c r="J76" s="353">
        <f t="shared" si="16"/>
        <v>1.89E-2</v>
      </c>
      <c r="K76" s="353">
        <f t="shared" si="16"/>
        <v>1.84E-2</v>
      </c>
      <c r="L76" s="353">
        <f t="shared" si="16"/>
        <v>1.8100000000000002E-2</v>
      </c>
      <c r="M76" s="194"/>
      <c r="N76" s="475"/>
      <c r="O76" s="474">
        <f t="shared" si="17"/>
        <v>4.5181881000000007E-2</v>
      </c>
      <c r="P76" s="353">
        <f t="shared" si="17"/>
        <v>4.5568105000000005E-2</v>
      </c>
      <c r="Q76" s="353">
        <f t="shared" si="17"/>
        <v>4.5399131999999995E-2</v>
      </c>
      <c r="R76" s="353">
        <f t="shared" si="17"/>
        <v>4.564052200000001E-2</v>
      </c>
      <c r="S76" s="353">
        <f t="shared" si="17"/>
        <v>4.5833633999999998E-2</v>
      </c>
      <c r="T76" s="194"/>
      <c r="U76" s="475"/>
    </row>
    <row r="77" spans="1:21">
      <c r="A77" s="33" t="s">
        <v>27</v>
      </c>
      <c r="B77" s="493" t="s">
        <v>83</v>
      </c>
      <c r="C77" s="353">
        <v>0.61</v>
      </c>
      <c r="D77" s="353">
        <v>0.6</v>
      </c>
      <c r="E77" s="137">
        <v>2022</v>
      </c>
      <c r="F77" s="138" t="str">
        <f t="shared" si="13"/>
        <v>£m 18/19</v>
      </c>
      <c r="G77" s="494" t="s">
        <v>27</v>
      </c>
      <c r="H77" s="474">
        <f t="shared" si="16"/>
        <v>2.0500000000000001E-2</v>
      </c>
      <c r="I77" s="353">
        <f t="shared" si="16"/>
        <v>1.9E-2</v>
      </c>
      <c r="J77" s="353">
        <f t="shared" si="16"/>
        <v>1.83E-2</v>
      </c>
      <c r="K77" s="353">
        <f t="shared" si="16"/>
        <v>1.78E-2</v>
      </c>
      <c r="L77" s="353">
        <f t="shared" si="16"/>
        <v>1.7500000000000002E-2</v>
      </c>
      <c r="M77" s="194"/>
      <c r="N77" s="475"/>
      <c r="O77" s="474">
        <f t="shared" si="17"/>
        <v>4.5181881000000007E-2</v>
      </c>
      <c r="P77" s="353">
        <f t="shared" si="17"/>
        <v>4.5568105000000005E-2</v>
      </c>
      <c r="Q77" s="353">
        <f t="shared" si="17"/>
        <v>4.5399131999999995E-2</v>
      </c>
      <c r="R77" s="353">
        <f t="shared" si="17"/>
        <v>4.564052200000001E-2</v>
      </c>
      <c r="S77" s="353">
        <f t="shared" si="17"/>
        <v>4.5833633999999998E-2</v>
      </c>
      <c r="T77" s="194"/>
      <c r="U77" s="475"/>
    </row>
    <row r="78" spans="1:21">
      <c r="A78" s="33" t="s">
        <v>27</v>
      </c>
      <c r="B78" s="493" t="s">
        <v>84</v>
      </c>
      <c r="C78" s="353">
        <v>0.61</v>
      </c>
      <c r="D78" s="353">
        <v>0.6</v>
      </c>
      <c r="E78" s="137">
        <v>2022</v>
      </c>
      <c r="F78" s="138" t="str">
        <f t="shared" si="13"/>
        <v>£m 18/19</v>
      </c>
      <c r="G78" s="494" t="s">
        <v>27</v>
      </c>
      <c r="H78" s="474">
        <f t="shared" si="16"/>
        <v>2.0500000000000001E-2</v>
      </c>
      <c r="I78" s="353">
        <f t="shared" si="16"/>
        <v>1.9E-2</v>
      </c>
      <c r="J78" s="353">
        <f t="shared" si="16"/>
        <v>1.83E-2</v>
      </c>
      <c r="K78" s="353">
        <f t="shared" si="16"/>
        <v>1.78E-2</v>
      </c>
      <c r="L78" s="353">
        <f t="shared" si="16"/>
        <v>1.7500000000000002E-2</v>
      </c>
      <c r="M78" s="194"/>
      <c r="N78" s="475"/>
      <c r="O78" s="474">
        <f t="shared" si="17"/>
        <v>4.5181881000000007E-2</v>
      </c>
      <c r="P78" s="353">
        <f t="shared" si="17"/>
        <v>4.5568105000000005E-2</v>
      </c>
      <c r="Q78" s="353">
        <f t="shared" si="17"/>
        <v>4.5399131999999995E-2</v>
      </c>
      <c r="R78" s="353">
        <f t="shared" si="17"/>
        <v>4.564052200000001E-2</v>
      </c>
      <c r="S78" s="353">
        <f t="shared" si="17"/>
        <v>4.5833633999999998E-2</v>
      </c>
      <c r="T78" s="194"/>
      <c r="U78" s="475"/>
    </row>
    <row r="79" spans="1:21">
      <c r="A79" s="33" t="s">
        <v>27</v>
      </c>
      <c r="B79" s="493" t="s">
        <v>85</v>
      </c>
      <c r="C79" s="353">
        <v>0.61</v>
      </c>
      <c r="D79" s="353">
        <v>0.6</v>
      </c>
      <c r="E79" s="137">
        <v>2022</v>
      </c>
      <c r="F79" s="138" t="str">
        <f t="shared" si="13"/>
        <v>£m 18/19</v>
      </c>
      <c r="G79" s="494" t="s">
        <v>27</v>
      </c>
      <c r="H79" s="474">
        <f t="shared" si="16"/>
        <v>2.0500000000000001E-2</v>
      </c>
      <c r="I79" s="353">
        <f t="shared" si="16"/>
        <v>1.9E-2</v>
      </c>
      <c r="J79" s="353">
        <f t="shared" si="16"/>
        <v>1.83E-2</v>
      </c>
      <c r="K79" s="353">
        <f t="shared" si="16"/>
        <v>1.78E-2</v>
      </c>
      <c r="L79" s="353">
        <f t="shared" si="16"/>
        <v>1.7500000000000002E-2</v>
      </c>
      <c r="M79" s="194"/>
      <c r="N79" s="475"/>
      <c r="O79" s="474">
        <f t="shared" si="17"/>
        <v>4.5181881000000007E-2</v>
      </c>
      <c r="P79" s="353">
        <f t="shared" si="17"/>
        <v>4.5568105000000005E-2</v>
      </c>
      <c r="Q79" s="353">
        <f t="shared" si="17"/>
        <v>4.5399131999999995E-2</v>
      </c>
      <c r="R79" s="353">
        <f t="shared" si="17"/>
        <v>4.564052200000001E-2</v>
      </c>
      <c r="S79" s="353">
        <f t="shared" si="17"/>
        <v>4.5833633999999998E-2</v>
      </c>
      <c r="T79" s="194"/>
      <c r="U79" s="475"/>
    </row>
    <row r="80" spans="1:21">
      <c r="A80" s="33" t="s">
        <v>22</v>
      </c>
      <c r="B80" s="493" t="s">
        <v>86</v>
      </c>
      <c r="C80" s="353">
        <v>0.67</v>
      </c>
      <c r="D80" s="353">
        <v>0.55000000000000004</v>
      </c>
      <c r="E80" s="137">
        <v>2022</v>
      </c>
      <c r="F80" s="138" t="str">
        <f t="shared" si="13"/>
        <v>£m 18/19</v>
      </c>
      <c r="G80" s="494" t="s">
        <v>46</v>
      </c>
      <c r="H80" s="474">
        <f t="shared" si="16"/>
        <v>2.0500000000000001E-2</v>
      </c>
      <c r="I80" s="353">
        <f t="shared" si="16"/>
        <v>1.9E-2</v>
      </c>
      <c r="J80" s="353">
        <f t="shared" si="16"/>
        <v>1.83E-2</v>
      </c>
      <c r="K80" s="353">
        <f t="shared" si="16"/>
        <v>1.78E-2</v>
      </c>
      <c r="L80" s="353">
        <f t="shared" si="16"/>
        <v>1.7500000000000002E-2</v>
      </c>
      <c r="M80" s="194"/>
      <c r="N80" s="475"/>
      <c r="O80" s="474">
        <f t="shared" si="17"/>
        <v>4.2439449777777784E-2</v>
      </c>
      <c r="P80" s="353">
        <f t="shared" si="17"/>
        <v>4.2616093333333334E-2</v>
      </c>
      <c r="Q80" s="353">
        <f t="shared" si="17"/>
        <v>4.2388117333333329E-2</v>
      </c>
      <c r="R80" s="353">
        <f t="shared" si="17"/>
        <v>4.2547130666666676E-2</v>
      </c>
      <c r="S80" s="353">
        <f t="shared" si="17"/>
        <v>4.2685452444444452E-2</v>
      </c>
      <c r="T80" s="194"/>
      <c r="U80" s="475"/>
    </row>
    <row r="81" spans="1:21">
      <c r="A81" s="33" t="s">
        <v>28</v>
      </c>
      <c r="B81" s="493" t="s">
        <v>28</v>
      </c>
      <c r="C81" s="353">
        <v>1</v>
      </c>
      <c r="D81" s="353">
        <v>0.55000000000000004</v>
      </c>
      <c r="E81" s="137">
        <v>2022</v>
      </c>
      <c r="F81" s="138" t="str">
        <f t="shared" si="13"/>
        <v>£m 18/19</v>
      </c>
      <c r="G81" s="494" t="s">
        <v>28</v>
      </c>
      <c r="H81" s="474">
        <f t="shared" si="16"/>
        <v>-1E-4</v>
      </c>
      <c r="I81" s="353">
        <f t="shared" si="16"/>
        <v>9.2999999999999992E-3</v>
      </c>
      <c r="J81" s="353">
        <f t="shared" si="16"/>
        <v>1.06E-2</v>
      </c>
      <c r="K81" s="353">
        <f t="shared" si="16"/>
        <v>9.1999999999999998E-3</v>
      </c>
      <c r="L81" s="353">
        <f t="shared" si="16"/>
        <v>7.7999999999999996E-3</v>
      </c>
      <c r="M81" s="194"/>
      <c r="N81" s="475"/>
      <c r="O81" s="474">
        <f t="shared" si="17"/>
        <v>7.5718976000000007E-2</v>
      </c>
      <c r="P81" s="353">
        <f t="shared" si="17"/>
        <v>7.5510080000000007E-2</v>
      </c>
      <c r="Q81" s="353">
        <f t="shared" si="17"/>
        <v>7.5601472000000003E-2</v>
      </c>
      <c r="R81" s="353">
        <f t="shared" si="17"/>
        <v>7.5470912000000001E-2</v>
      </c>
      <c r="S81" s="353">
        <f t="shared" si="17"/>
        <v>7.5366464000000008E-2</v>
      </c>
      <c r="T81" s="194"/>
      <c r="U81" s="475"/>
    </row>
    <row r="82" spans="1:21">
      <c r="A82" s="33" t="s">
        <v>22</v>
      </c>
      <c r="B82" s="493" t="s">
        <v>87</v>
      </c>
      <c r="C82" s="353">
        <v>0.51</v>
      </c>
      <c r="D82" s="353">
        <v>0.55000000000000004</v>
      </c>
      <c r="E82" s="137">
        <v>2022</v>
      </c>
      <c r="F82" s="138" t="str">
        <f t="shared" si="13"/>
        <v>£m 18/19</v>
      </c>
      <c r="G82" s="494" t="s">
        <v>46</v>
      </c>
      <c r="H82" s="474">
        <f t="shared" si="16"/>
        <v>2.0500000000000001E-2</v>
      </c>
      <c r="I82" s="353">
        <f t="shared" si="16"/>
        <v>1.9E-2</v>
      </c>
      <c r="J82" s="353">
        <f t="shared" si="16"/>
        <v>1.83E-2</v>
      </c>
      <c r="K82" s="353">
        <f t="shared" si="16"/>
        <v>1.78E-2</v>
      </c>
      <c r="L82" s="353">
        <f t="shared" si="16"/>
        <v>1.7500000000000002E-2</v>
      </c>
      <c r="M82" s="194"/>
      <c r="N82" s="475"/>
      <c r="O82" s="474">
        <f t="shared" si="17"/>
        <v>4.2439449777777784E-2</v>
      </c>
      <c r="P82" s="353">
        <f t="shared" si="17"/>
        <v>4.2616093333333334E-2</v>
      </c>
      <c r="Q82" s="353">
        <f t="shared" si="17"/>
        <v>4.2388117333333329E-2</v>
      </c>
      <c r="R82" s="353">
        <f t="shared" si="17"/>
        <v>4.2547130666666676E-2</v>
      </c>
      <c r="S82" s="353">
        <f t="shared" si="17"/>
        <v>4.2685452444444452E-2</v>
      </c>
      <c r="T82" s="194"/>
      <c r="U82" s="475"/>
    </row>
    <row r="83" spans="1:21" ht="12.75" thickBot="1">
      <c r="A83" s="33" t="s">
        <v>22</v>
      </c>
      <c r="B83" s="495" t="s">
        <v>45</v>
      </c>
      <c r="C83" s="477">
        <v>0.64</v>
      </c>
      <c r="D83" s="477">
        <v>0.55000000000000004</v>
      </c>
      <c r="E83" s="496">
        <v>2022</v>
      </c>
      <c r="F83" s="497" t="str">
        <f t="shared" si="13"/>
        <v>£m 18/19</v>
      </c>
      <c r="G83" s="498" t="s">
        <v>45</v>
      </c>
      <c r="H83" s="476">
        <f t="shared" si="16"/>
        <v>1.8143044979056552E-2</v>
      </c>
      <c r="I83" s="477">
        <f t="shared" si="16"/>
        <v>1.5909426602326575E-2</v>
      </c>
      <c r="J83" s="477">
        <f t="shared" si="16"/>
        <v>1.5486013713550701E-2</v>
      </c>
      <c r="K83" s="477">
        <f t="shared" si="16"/>
        <v>1.4921786215027617E-2</v>
      </c>
      <c r="L83" s="477">
        <f t="shared" si="16"/>
        <v>1.4560675534238218E-2</v>
      </c>
      <c r="M83" s="478"/>
      <c r="N83" s="479"/>
      <c r="O83" s="476">
        <f t="shared" si="17"/>
        <v>4.2439449777777784E-2</v>
      </c>
      <c r="P83" s="477">
        <f t="shared" si="17"/>
        <v>4.2616093333333334E-2</v>
      </c>
      <c r="Q83" s="477">
        <f t="shared" si="17"/>
        <v>4.2388117333333329E-2</v>
      </c>
      <c r="R83" s="477">
        <f t="shared" si="17"/>
        <v>4.2547130666666676E-2</v>
      </c>
      <c r="S83" s="477">
        <f t="shared" si="17"/>
        <v>4.2685452444444452E-2</v>
      </c>
      <c r="T83" s="478"/>
      <c r="U83" s="479"/>
    </row>
    <row r="84" spans="1:21">
      <c r="I84" s="39"/>
    </row>
    <row r="85" spans="1:21">
      <c r="I85" s="39"/>
    </row>
    <row r="86" spans="1:21">
      <c r="I86" s="39"/>
    </row>
    <row r="87" spans="1:21">
      <c r="B87" s="6"/>
      <c r="D87" s="342"/>
      <c r="E87" s="342"/>
      <c r="F87" s="342"/>
      <c r="G87" s="342"/>
      <c r="H87" s="342"/>
      <c r="I87" s="342"/>
      <c r="J87" s="342"/>
    </row>
    <row r="89" spans="1:21" ht="15.4">
      <c r="B89" s="310" t="s">
        <v>88</v>
      </c>
      <c r="C89" s="62">
        <v>2022</v>
      </c>
      <c r="D89" s="63">
        <f t="shared" ref="D89:I89" si="18">C89+1</f>
        <v>2023</v>
      </c>
      <c r="E89" s="63">
        <f t="shared" si="18"/>
        <v>2024</v>
      </c>
      <c r="F89" s="63">
        <f t="shared" si="18"/>
        <v>2025</v>
      </c>
      <c r="G89" s="63">
        <f t="shared" si="18"/>
        <v>2026</v>
      </c>
      <c r="H89" s="63">
        <f t="shared" si="18"/>
        <v>2027</v>
      </c>
      <c r="I89" s="63">
        <f t="shared" si="18"/>
        <v>2028</v>
      </c>
    </row>
    <row r="90" spans="1:21">
      <c r="B90" s="311" t="s">
        <v>62</v>
      </c>
      <c r="C90" s="194"/>
      <c r="D90" s="194"/>
      <c r="E90" s="312">
        <v>0</v>
      </c>
      <c r="F90" s="312">
        <v>0</v>
      </c>
      <c r="G90" s="312">
        <v>0</v>
      </c>
      <c r="H90" s="312">
        <v>0</v>
      </c>
      <c r="I90" s="312">
        <v>0</v>
      </c>
    </row>
    <row r="91" spans="1:21">
      <c r="B91" s="311" t="s">
        <v>63</v>
      </c>
      <c r="C91" s="194"/>
      <c r="D91" s="194"/>
      <c r="E91" s="312">
        <v>0</v>
      </c>
      <c r="F91" s="312">
        <v>0</v>
      </c>
      <c r="G91" s="312">
        <v>0</v>
      </c>
      <c r="H91" s="312">
        <v>0</v>
      </c>
      <c r="I91" s="312">
        <v>0</v>
      </c>
    </row>
    <row r="92" spans="1:21">
      <c r="B92" s="311" t="s">
        <v>64</v>
      </c>
      <c r="C92" s="194"/>
      <c r="D92" s="194"/>
      <c r="E92" s="312">
        <v>0</v>
      </c>
      <c r="F92" s="312">
        <v>0</v>
      </c>
      <c r="G92" s="312">
        <v>0</v>
      </c>
      <c r="H92" s="312">
        <v>0</v>
      </c>
      <c r="I92" s="312">
        <v>0</v>
      </c>
      <c r="J92" s="247"/>
      <c r="K92" s="247"/>
      <c r="L92" s="247"/>
      <c r="M92" s="247"/>
      <c r="N92" s="247"/>
    </row>
    <row r="93" spans="1:21">
      <c r="B93" s="311" t="s">
        <v>65</v>
      </c>
      <c r="C93" s="194"/>
      <c r="D93" s="194"/>
      <c r="E93" s="312">
        <v>0</v>
      </c>
      <c r="F93" s="312">
        <v>0</v>
      </c>
      <c r="G93" s="312">
        <v>0</v>
      </c>
      <c r="H93" s="312">
        <v>0</v>
      </c>
      <c r="I93" s="312">
        <v>0</v>
      </c>
    </row>
    <row r="94" spans="1:21">
      <c r="B94" s="311" t="s">
        <v>66</v>
      </c>
      <c r="C94" s="194"/>
      <c r="D94" s="194"/>
      <c r="E94" s="312">
        <v>0</v>
      </c>
      <c r="F94" s="312">
        <v>0</v>
      </c>
      <c r="G94" s="312">
        <v>0</v>
      </c>
      <c r="H94" s="312">
        <v>0</v>
      </c>
      <c r="I94" s="312">
        <v>0</v>
      </c>
    </row>
    <row r="95" spans="1:21">
      <c r="B95" s="311" t="s">
        <v>67</v>
      </c>
      <c r="C95" s="194"/>
      <c r="D95" s="194"/>
      <c r="E95" s="312">
        <v>0</v>
      </c>
      <c r="F95" s="312">
        <v>0</v>
      </c>
      <c r="G95" s="312">
        <v>0</v>
      </c>
      <c r="H95" s="312">
        <v>0</v>
      </c>
      <c r="I95" s="312">
        <v>0</v>
      </c>
    </row>
    <row r="96" spans="1:21">
      <c r="B96" s="311" t="s">
        <v>68</v>
      </c>
      <c r="C96" s="194"/>
      <c r="D96" s="194"/>
      <c r="E96" s="312">
        <v>0</v>
      </c>
      <c r="F96" s="312">
        <v>0</v>
      </c>
      <c r="G96" s="312">
        <v>0</v>
      </c>
      <c r="H96" s="312">
        <v>0</v>
      </c>
      <c r="I96" s="312">
        <v>0</v>
      </c>
    </row>
    <row r="97" spans="2:9">
      <c r="B97" s="311" t="s">
        <v>69</v>
      </c>
      <c r="C97" s="194"/>
      <c r="D97" s="194"/>
      <c r="E97" s="312">
        <v>0</v>
      </c>
      <c r="F97" s="312">
        <v>0</v>
      </c>
      <c r="G97" s="312">
        <v>0</v>
      </c>
      <c r="H97" s="312">
        <v>0</v>
      </c>
      <c r="I97" s="312">
        <v>0</v>
      </c>
    </row>
    <row r="98" spans="2:9">
      <c r="B98" s="311" t="s">
        <v>70</v>
      </c>
      <c r="C98" s="194"/>
      <c r="D98" s="194"/>
      <c r="E98" s="312">
        <v>0</v>
      </c>
      <c r="F98" s="312">
        <v>0</v>
      </c>
      <c r="G98" s="312">
        <v>0</v>
      </c>
      <c r="H98" s="312">
        <v>0</v>
      </c>
      <c r="I98" s="312">
        <v>0</v>
      </c>
    </row>
    <row r="99" spans="2:9">
      <c r="B99" s="311" t="s">
        <v>71</v>
      </c>
      <c r="C99" s="194"/>
      <c r="D99" s="194"/>
      <c r="E99" s="312">
        <v>0</v>
      </c>
      <c r="F99" s="312">
        <v>0</v>
      </c>
      <c r="G99" s="312">
        <v>0</v>
      </c>
      <c r="H99" s="312">
        <v>0</v>
      </c>
      <c r="I99" s="312">
        <v>0</v>
      </c>
    </row>
    <row r="100" spans="2:9">
      <c r="B100" s="311" t="s">
        <v>72</v>
      </c>
      <c r="C100" s="194"/>
      <c r="D100" s="194"/>
      <c r="E100" s="312">
        <v>0</v>
      </c>
      <c r="F100" s="312">
        <v>0</v>
      </c>
      <c r="G100" s="312">
        <v>0</v>
      </c>
      <c r="H100" s="312">
        <v>0</v>
      </c>
      <c r="I100" s="312">
        <v>0</v>
      </c>
    </row>
    <row r="101" spans="2:9">
      <c r="B101" s="311" t="s">
        <v>73</v>
      </c>
      <c r="C101" s="194"/>
      <c r="D101" s="194"/>
      <c r="E101" s="312">
        <v>0</v>
      </c>
      <c r="F101" s="312">
        <v>0</v>
      </c>
      <c r="G101" s="312">
        <v>0</v>
      </c>
      <c r="H101" s="312">
        <v>0</v>
      </c>
      <c r="I101" s="312">
        <v>0</v>
      </c>
    </row>
    <row r="102" spans="2:9">
      <c r="B102" s="311" t="s">
        <v>74</v>
      </c>
      <c r="C102" s="194"/>
      <c r="D102" s="194"/>
      <c r="E102" s="312">
        <v>0</v>
      </c>
      <c r="F102" s="312">
        <v>0</v>
      </c>
      <c r="G102" s="312">
        <v>0</v>
      </c>
      <c r="H102" s="312">
        <v>0</v>
      </c>
      <c r="I102" s="312">
        <v>0</v>
      </c>
    </row>
    <row r="103" spans="2:9">
      <c r="B103" s="311" t="s">
        <v>75</v>
      </c>
      <c r="C103" s="194"/>
      <c r="D103" s="194"/>
      <c r="E103" s="312">
        <v>0</v>
      </c>
      <c r="F103" s="312">
        <v>0</v>
      </c>
      <c r="G103" s="312">
        <v>0</v>
      </c>
      <c r="H103" s="312">
        <v>0</v>
      </c>
      <c r="I103" s="312">
        <v>0</v>
      </c>
    </row>
    <row r="104" spans="2:9">
      <c r="B104" s="311" t="s">
        <v>76</v>
      </c>
      <c r="C104" s="313">
        <v>3.6510479549499562E-2</v>
      </c>
      <c r="D104" s="313">
        <v>3.6510479549499562E-2</v>
      </c>
      <c r="E104" s="313">
        <v>3.6510479549499562E-2</v>
      </c>
      <c r="F104" s="313">
        <v>3.6510479549499562E-2</v>
      </c>
      <c r="G104" s="313">
        <v>3.6510479549499562E-2</v>
      </c>
      <c r="H104" s="194"/>
      <c r="I104" s="194"/>
    </row>
    <row r="105" spans="2:9">
      <c r="B105" s="311" t="s">
        <v>77</v>
      </c>
      <c r="C105" s="313">
        <v>2.7462875901387192E-2</v>
      </c>
      <c r="D105" s="313">
        <v>2.7462875901387192E-2</v>
      </c>
      <c r="E105" s="313">
        <v>2.7462875901387192E-2</v>
      </c>
      <c r="F105" s="313">
        <v>2.7462875901387192E-2</v>
      </c>
      <c r="G105" s="313">
        <v>2.7462875901387192E-2</v>
      </c>
      <c r="H105" s="194"/>
      <c r="I105" s="194"/>
    </row>
    <row r="106" spans="2:9">
      <c r="B106" s="311" t="s">
        <v>4</v>
      </c>
      <c r="C106" s="313">
        <v>1.7082326729376533E-2</v>
      </c>
      <c r="D106" s="313">
        <v>1.7082326729376533E-2</v>
      </c>
      <c r="E106" s="313">
        <v>1.7082326729376533E-2</v>
      </c>
      <c r="F106" s="313">
        <v>1.7082326729376533E-2</v>
      </c>
      <c r="G106" s="313">
        <v>1.7082326729376533E-2</v>
      </c>
      <c r="H106" s="194"/>
      <c r="I106" s="194"/>
    </row>
    <row r="107" spans="2:9">
      <c r="B107" s="311" t="s">
        <v>78</v>
      </c>
      <c r="C107" s="313">
        <v>2.5713646682447938E-2</v>
      </c>
      <c r="D107" s="313">
        <v>2.5713646682447938E-2</v>
      </c>
      <c r="E107" s="313">
        <v>2.5713646682447938E-2</v>
      </c>
      <c r="F107" s="313">
        <v>2.5713646682447938E-2</v>
      </c>
      <c r="G107" s="313">
        <v>2.5713646682447938E-2</v>
      </c>
      <c r="H107" s="194"/>
      <c r="I107" s="194"/>
    </row>
    <row r="108" spans="2:9">
      <c r="B108" s="311" t="s">
        <v>79</v>
      </c>
      <c r="C108" s="313">
        <v>0.4206045538022069</v>
      </c>
      <c r="D108" s="313">
        <v>0.4206045538022069</v>
      </c>
      <c r="E108" s="313">
        <v>0.4206045538022069</v>
      </c>
      <c r="F108" s="313">
        <v>0.4206045538022069</v>
      </c>
      <c r="G108" s="313">
        <v>0.4206045538022069</v>
      </c>
      <c r="H108" s="194"/>
      <c r="I108" s="194"/>
    </row>
    <row r="109" spans="2:9">
      <c r="B109" s="311" t="s">
        <v>80</v>
      </c>
      <c r="C109" s="312">
        <v>0</v>
      </c>
      <c r="D109" s="312">
        <v>0</v>
      </c>
      <c r="E109" s="312">
        <v>0</v>
      </c>
      <c r="F109" s="312">
        <v>0</v>
      </c>
      <c r="G109" s="312">
        <v>0</v>
      </c>
      <c r="H109" s="194"/>
      <c r="I109" s="194"/>
    </row>
    <row r="110" spans="2:9">
      <c r="B110" s="311" t="s">
        <v>81</v>
      </c>
      <c r="C110" s="312">
        <v>0</v>
      </c>
      <c r="D110" s="312">
        <v>0</v>
      </c>
      <c r="E110" s="312">
        <v>0</v>
      </c>
      <c r="F110" s="312">
        <v>0</v>
      </c>
      <c r="G110" s="312">
        <v>0</v>
      </c>
      <c r="H110" s="194"/>
      <c r="I110" s="194"/>
    </row>
    <row r="111" spans="2:9">
      <c r="B111" s="311" t="s">
        <v>82</v>
      </c>
      <c r="C111" s="312">
        <v>0</v>
      </c>
      <c r="D111" s="312">
        <v>0</v>
      </c>
      <c r="E111" s="312">
        <v>0</v>
      </c>
      <c r="F111" s="312">
        <v>0</v>
      </c>
      <c r="G111" s="312">
        <v>0</v>
      </c>
      <c r="H111" s="194"/>
      <c r="I111" s="194"/>
    </row>
    <row r="112" spans="2:9">
      <c r="B112" s="311" t="s">
        <v>83</v>
      </c>
      <c r="C112" s="314">
        <v>-4.3390000000000004</v>
      </c>
      <c r="D112" s="314">
        <v>-4.3390000000000004</v>
      </c>
      <c r="E112" s="314">
        <v>-4.3390000000000004</v>
      </c>
      <c r="F112" s="314">
        <v>-4.3390000000000004</v>
      </c>
      <c r="G112" s="314">
        <v>-4.3390000000000004</v>
      </c>
      <c r="H112" s="194"/>
      <c r="I112" s="194"/>
    </row>
    <row r="113" spans="1:14">
      <c r="B113" s="311" t="s">
        <v>84</v>
      </c>
      <c r="C113" s="312">
        <v>0</v>
      </c>
      <c r="D113" s="312">
        <v>0</v>
      </c>
      <c r="E113" s="312">
        <v>0</v>
      </c>
      <c r="F113" s="312">
        <v>0</v>
      </c>
      <c r="G113" s="312">
        <v>0</v>
      </c>
      <c r="H113" s="194"/>
      <c r="I113" s="194"/>
    </row>
    <row r="114" spans="1:14">
      <c r="B114" s="311" t="s">
        <v>85</v>
      </c>
      <c r="C114" s="314">
        <v>-4.3390000000000004</v>
      </c>
      <c r="D114" s="314">
        <v>-4.3390000000000004</v>
      </c>
      <c r="E114" s="314">
        <v>-4.3390000000000004</v>
      </c>
      <c r="F114" s="314">
        <v>-4.3390000000000004</v>
      </c>
      <c r="G114" s="314">
        <v>-4.3390000000000004</v>
      </c>
      <c r="H114" s="194"/>
      <c r="I114" s="194"/>
    </row>
    <row r="115" spans="1:14">
      <c r="B115" s="311" t="s">
        <v>86</v>
      </c>
      <c r="C115" s="317">
        <v>-13</v>
      </c>
      <c r="D115" s="317">
        <v>-13</v>
      </c>
      <c r="E115" s="317">
        <v>-13</v>
      </c>
      <c r="F115" s="317">
        <v>-13</v>
      </c>
      <c r="G115" s="317">
        <v>-13</v>
      </c>
      <c r="H115" s="194"/>
      <c r="I115" s="194"/>
    </row>
    <row r="116" spans="1:14">
      <c r="B116" s="311" t="s">
        <v>28</v>
      </c>
      <c r="C116" s="312">
        <v>0</v>
      </c>
      <c r="D116" s="312">
        <v>0</v>
      </c>
      <c r="E116" s="312">
        <v>0</v>
      </c>
      <c r="F116" s="312">
        <v>0</v>
      </c>
      <c r="G116" s="312">
        <v>0</v>
      </c>
      <c r="H116" s="194"/>
      <c r="I116" s="194"/>
    </row>
    <row r="117" spans="1:14">
      <c r="B117" s="311" t="s">
        <v>87</v>
      </c>
      <c r="C117" s="313">
        <v>1</v>
      </c>
      <c r="D117" s="313">
        <v>1</v>
      </c>
      <c r="E117" s="313">
        <v>1</v>
      </c>
      <c r="F117" s="313">
        <v>1</v>
      </c>
      <c r="G117" s="313">
        <v>1</v>
      </c>
      <c r="H117" s="194"/>
      <c r="I117" s="194"/>
    </row>
    <row r="118" spans="1:14">
      <c r="B118" s="315" t="s">
        <v>45</v>
      </c>
      <c r="C118" s="313">
        <v>4.3620000000000001</v>
      </c>
      <c r="D118" s="313">
        <v>4.3620000000000001</v>
      </c>
      <c r="E118" s="316">
        <v>4.3620000000000001</v>
      </c>
      <c r="F118" s="316">
        <v>4.3620000000000001</v>
      </c>
      <c r="G118" s="316">
        <v>4.3620000000000001</v>
      </c>
      <c r="H118" s="194"/>
      <c r="I118" s="194"/>
    </row>
    <row r="119" spans="1:14">
      <c r="B119" s="88"/>
    </row>
    <row r="120" spans="1:14">
      <c r="B120" s="392" t="str">
        <f>LEFT('RFPR cover'!C8,2)</f>
        <v>GD</v>
      </c>
      <c r="C120" s="569"/>
      <c r="D120" s="569"/>
      <c r="E120" s="569"/>
      <c r="F120" s="569"/>
      <c r="G120" s="569"/>
      <c r="H120" s="569"/>
      <c r="I120" s="569"/>
      <c r="J120" s="569"/>
      <c r="K120" s="569"/>
      <c r="L120" s="393"/>
    </row>
    <row r="121" spans="1:14">
      <c r="A121" s="92"/>
      <c r="B121" s="167" t="s">
        <v>89</v>
      </c>
      <c r="C121" s="168"/>
      <c r="D121" s="168"/>
      <c r="E121" s="168"/>
      <c r="F121" s="166"/>
      <c r="G121" s="166"/>
      <c r="H121" s="166"/>
      <c r="I121" s="166"/>
      <c r="J121" s="166"/>
      <c r="K121" s="166"/>
      <c r="L121" s="166"/>
      <c r="M121" s="166"/>
      <c r="N121" s="166"/>
    </row>
    <row r="122" spans="1:14">
      <c r="A122" s="92"/>
      <c r="B122" s="245"/>
      <c r="C122" s="246"/>
      <c r="D122" s="246"/>
      <c r="E122" s="246"/>
      <c r="F122" s="247"/>
      <c r="G122" s="247"/>
      <c r="H122" s="247"/>
      <c r="I122" s="247"/>
    </row>
    <row r="123" spans="1:14">
      <c r="A123" s="91"/>
      <c r="B123" s="570" t="s">
        <v>90</v>
      </c>
      <c r="C123" s="93"/>
      <c r="D123" s="93"/>
      <c r="E123" s="778" t="b">
        <f>OR((LEFT('RFPR cover'!$C$8,2)=Data!G123),'RFPR cover'!$C$7=Data!G123)</f>
        <v>0</v>
      </c>
      <c r="F123" s="639">
        <f t="shared" ref="F123:F126" si="19">IF(E123,1,0)</f>
        <v>0</v>
      </c>
      <c r="G123" s="779" t="str">
        <f>B132</f>
        <v>ED</v>
      </c>
    </row>
    <row r="124" spans="1:14" ht="16.5" customHeight="1">
      <c r="A124" s="91"/>
      <c r="B124" s="250" t="str">
        <f t="shared" ref="B124:B129" si="20">IF(SUM($F$123:$F$129)=0,"",CHOOSE(MATCH(TRUE,$E$123:$E$129,0),B133,B143,B153,B163,E163,B173,E173)&amp;"")</f>
        <v>Customer Satisfaction Survey ODI</v>
      </c>
      <c r="C124" s="93"/>
      <c r="D124" s="93"/>
      <c r="E124" s="640" t="b">
        <f>OR((LEFT('RFPR cover'!$C$8,2)=Data!G124),'RFPR cover'!$C$7=Data!G124)</f>
        <v>1</v>
      </c>
      <c r="F124" s="641">
        <f t="shared" si="19"/>
        <v>1</v>
      </c>
      <c r="G124" s="642" t="str">
        <f>B142</f>
        <v>GD</v>
      </c>
    </row>
    <row r="125" spans="1:14">
      <c r="A125" s="91"/>
      <c r="B125" s="250" t="str">
        <f t="shared" si="20"/>
        <v>Complaints metric ODI</v>
      </c>
      <c r="C125" s="93"/>
      <c r="D125" s="93"/>
      <c r="E125" s="640" t="b">
        <f>OR((LEFT('RFPR cover'!$C$8,2)=Data!G125),'RFPR cover'!$C$7=Data!G125)</f>
        <v>0</v>
      </c>
      <c r="F125" s="641">
        <f t="shared" si="19"/>
        <v>0</v>
      </c>
      <c r="G125" s="643" t="str">
        <f>B152</f>
        <v>NGGT (TO)</v>
      </c>
    </row>
    <row r="126" spans="1:14" ht="24.75">
      <c r="A126" s="91"/>
      <c r="B126" s="250" t="str">
        <f t="shared" si="20"/>
        <v>Unplanned Interruption Mean Duration ODI [NGN, SGN and WWU]</v>
      </c>
      <c r="C126" s="93"/>
      <c r="D126" s="93"/>
      <c r="E126" s="640" t="b">
        <f>OR((LEFT('RFPR cover'!$C$8,2)=Data!G126),'RFPR cover'!$C$7=Data!G126)</f>
        <v>0</v>
      </c>
      <c r="F126" s="641">
        <f t="shared" si="19"/>
        <v>0</v>
      </c>
      <c r="G126" s="643" t="str">
        <f>B162</f>
        <v>NGET (TO)</v>
      </c>
    </row>
    <row r="127" spans="1:14" ht="24.75">
      <c r="A127" s="91"/>
      <c r="B127" s="250" t="str">
        <f t="shared" si="20"/>
        <v>Unplanned Interruption Mean Duration ODI [Cadent only]</v>
      </c>
      <c r="C127" s="93"/>
      <c r="D127" s="93"/>
      <c r="E127" s="640" t="b">
        <f>OR((LEFT('RFPR cover'!$C$8,2)=Data!G127),'RFPR cover'!$C$7=Data!G127)</f>
        <v>0</v>
      </c>
      <c r="F127" s="641">
        <f t="shared" ref="F127" si="21">IF(E127,1,0)</f>
        <v>0</v>
      </c>
      <c r="G127" s="643" t="s">
        <v>28</v>
      </c>
    </row>
    <row r="128" spans="1:14">
      <c r="A128" s="91"/>
      <c r="B128" s="250" t="str">
        <f t="shared" si="20"/>
        <v>Shrinkage Management ODI</v>
      </c>
      <c r="C128" s="93"/>
      <c r="D128" s="93"/>
      <c r="E128" s="640" t="b">
        <f>OR((LEFT('RFPR cover'!$C$8,2)=Data!G128),'RFPR cover'!$C$7=Data!G128)</f>
        <v>0</v>
      </c>
      <c r="F128" s="641">
        <f>IF(E128,1,0)</f>
        <v>0</v>
      </c>
      <c r="G128" s="643" t="str">
        <f>B172</f>
        <v>SPT</v>
      </c>
    </row>
    <row r="129" spans="1:7" ht="24.75">
      <c r="A129" s="91"/>
      <c r="B129" s="250" t="str">
        <f t="shared" si="20"/>
        <v>Collaborative streetworks ODI [Cadent Lon &amp; EoE, SGN So only]</v>
      </c>
      <c r="C129" s="93"/>
      <c r="D129" s="93"/>
      <c r="E129" s="644" t="b">
        <f>OR((LEFT('RFPR cover'!$C$8,2)=Data!G129),'RFPR cover'!$C$7=Data!G129)</f>
        <v>0</v>
      </c>
      <c r="F129" s="645">
        <f>IF(E129,1,0)</f>
        <v>0</v>
      </c>
      <c r="G129" s="646" t="s">
        <v>45</v>
      </c>
    </row>
    <row r="130" spans="1:7">
      <c r="A130" s="91"/>
      <c r="B130" s="250" t="str">
        <f>IF(SUM($F$123:$F$129)=0,"",CHOOSE(MATCH(TRUE,$E$123:$E$129,0),B139,B149,B159,B169,B179,E179)&amp;"")</f>
        <v/>
      </c>
      <c r="C130" s="93"/>
      <c r="D130" s="93"/>
    </row>
    <row r="131" spans="1:7">
      <c r="A131" s="91"/>
      <c r="B131" s="93"/>
      <c r="C131" s="93"/>
      <c r="D131" s="93"/>
      <c r="E131" s="32"/>
      <c r="F131" s="248"/>
    </row>
    <row r="132" spans="1:7">
      <c r="A132" s="91"/>
      <c r="B132" s="829" t="s">
        <v>19</v>
      </c>
      <c r="C132" s="830"/>
      <c r="D132" s="93"/>
      <c r="E132" s="93"/>
    </row>
    <row r="133" spans="1:7">
      <c r="A133" s="91"/>
      <c r="B133" s="833" t="s">
        <v>91</v>
      </c>
      <c r="C133" s="834"/>
      <c r="D133" s="93"/>
      <c r="E133" s="93"/>
    </row>
    <row r="134" spans="1:7">
      <c r="A134" s="91"/>
      <c r="B134" s="831" t="s">
        <v>92</v>
      </c>
      <c r="C134" s="832"/>
      <c r="D134" s="93"/>
      <c r="E134" s="93"/>
    </row>
    <row r="135" spans="1:7">
      <c r="A135" s="91"/>
      <c r="B135" s="831" t="s">
        <v>93</v>
      </c>
      <c r="C135" s="832"/>
      <c r="D135" s="93"/>
      <c r="E135" s="93"/>
    </row>
    <row r="136" spans="1:7">
      <c r="A136" s="91"/>
      <c r="B136" s="831" t="s">
        <v>94</v>
      </c>
      <c r="C136" s="832"/>
      <c r="D136" s="93"/>
      <c r="E136" s="93"/>
    </row>
    <row r="137" spans="1:7">
      <c r="A137" s="91"/>
      <c r="B137" s="831" t="s">
        <v>95</v>
      </c>
      <c r="C137" s="832"/>
      <c r="D137" s="93"/>
      <c r="E137" s="93"/>
    </row>
    <row r="138" spans="1:7">
      <c r="A138" s="91"/>
      <c r="B138" s="831"/>
      <c r="C138" s="832"/>
      <c r="D138" s="93"/>
      <c r="E138" s="93"/>
    </row>
    <row r="139" spans="1:7">
      <c r="A139" s="91"/>
      <c r="B139" s="835"/>
      <c r="C139" s="836"/>
      <c r="D139" s="93"/>
      <c r="E139" s="93"/>
    </row>
    <row r="140" spans="1:7">
      <c r="A140" s="91"/>
      <c r="B140" s="93"/>
      <c r="C140" s="93"/>
      <c r="D140" s="93"/>
      <c r="E140" s="93"/>
    </row>
    <row r="141" spans="1:7">
      <c r="A141" s="91"/>
      <c r="B141" s="93"/>
      <c r="C141" s="93"/>
      <c r="D141" s="93"/>
      <c r="E141" s="93"/>
    </row>
    <row r="142" spans="1:7">
      <c r="A142" s="91"/>
      <c r="B142" s="829" t="s">
        <v>25</v>
      </c>
      <c r="C142" s="830"/>
      <c r="D142" s="93"/>
      <c r="E142" s="93"/>
    </row>
    <row r="143" spans="1:7">
      <c r="A143" s="91"/>
      <c r="B143" s="833" t="s">
        <v>96</v>
      </c>
      <c r="C143" s="834"/>
      <c r="E143" s="93"/>
    </row>
    <row r="144" spans="1:7">
      <c r="A144" s="91"/>
      <c r="B144" s="831" t="s">
        <v>97</v>
      </c>
      <c r="C144" s="832"/>
      <c r="D144" s="93"/>
      <c r="E144" s="93"/>
    </row>
    <row r="145" spans="1:9" ht="25.5" customHeight="1">
      <c r="A145" s="91"/>
      <c r="B145" s="831" t="s">
        <v>98</v>
      </c>
      <c r="C145" s="832"/>
      <c r="D145" s="93"/>
      <c r="E145" s="93"/>
    </row>
    <row r="146" spans="1:9" ht="25.5" customHeight="1">
      <c r="A146" s="91"/>
      <c r="B146" s="831" t="s">
        <v>99</v>
      </c>
      <c r="C146" s="832"/>
      <c r="D146" s="93"/>
      <c r="E146" s="93"/>
    </row>
    <row r="147" spans="1:9" ht="14.25" customHeight="1">
      <c r="A147" s="91"/>
      <c r="B147" s="831" t="s">
        <v>100</v>
      </c>
      <c r="C147" s="832"/>
      <c r="D147" s="93"/>
      <c r="E147" s="93"/>
    </row>
    <row r="148" spans="1:9" ht="25.5" customHeight="1">
      <c r="A148" s="91"/>
      <c r="B148" s="831" t="s">
        <v>101</v>
      </c>
      <c r="C148" s="832"/>
      <c r="D148" s="93"/>
      <c r="E148" s="93"/>
    </row>
    <row r="149" spans="1:9">
      <c r="A149" s="91"/>
      <c r="B149" s="835"/>
      <c r="C149" s="836"/>
      <c r="D149" s="93"/>
      <c r="E149" s="93"/>
    </row>
    <row r="150" spans="1:9">
      <c r="A150" s="91"/>
      <c r="B150" s="93"/>
      <c r="C150" s="93"/>
      <c r="D150" s="93"/>
      <c r="E150" s="93"/>
    </row>
    <row r="151" spans="1:9">
      <c r="A151" s="91"/>
      <c r="B151" s="93"/>
      <c r="C151" s="93"/>
      <c r="D151" s="93"/>
      <c r="E151" s="93"/>
    </row>
    <row r="152" spans="1:9">
      <c r="A152" s="91"/>
      <c r="B152" s="819" t="s">
        <v>83</v>
      </c>
      <c r="C152" s="820"/>
      <c r="D152" s="93"/>
      <c r="E152" s="343"/>
      <c r="F152" s="38"/>
      <c r="G152" s="38"/>
      <c r="H152" s="38"/>
      <c r="I152" s="38"/>
    </row>
    <row r="153" spans="1:9">
      <c r="A153" s="91"/>
      <c r="B153" s="833" t="s">
        <v>102</v>
      </c>
      <c r="C153" s="834"/>
      <c r="E153" s="244"/>
      <c r="F153" s="244"/>
      <c r="G153" s="244"/>
      <c r="H153" s="244"/>
      <c r="I153" s="244"/>
    </row>
    <row r="154" spans="1:9">
      <c r="A154" s="91"/>
      <c r="B154" s="831" t="s">
        <v>103</v>
      </c>
      <c r="C154" s="832"/>
      <c r="E154" s="244"/>
      <c r="F154" s="244"/>
      <c r="G154" s="244"/>
      <c r="H154" s="244"/>
      <c r="I154" s="244"/>
    </row>
    <row r="155" spans="1:9">
      <c r="A155" s="91"/>
      <c r="B155" s="831"/>
      <c r="C155" s="832"/>
      <c r="D155" s="93"/>
      <c r="E155" s="244"/>
      <c r="F155" s="244"/>
      <c r="G155" s="244"/>
      <c r="H155" s="244"/>
      <c r="I155" s="244"/>
    </row>
    <row r="156" spans="1:9">
      <c r="A156" s="91"/>
      <c r="B156" s="831"/>
      <c r="C156" s="832"/>
      <c r="D156" s="93"/>
      <c r="E156" s="244"/>
      <c r="F156" s="244"/>
      <c r="G156" s="244"/>
      <c r="H156" s="244"/>
      <c r="I156" s="244"/>
    </row>
    <row r="157" spans="1:9">
      <c r="A157" s="91"/>
      <c r="B157" s="831"/>
      <c r="C157" s="832"/>
      <c r="D157" s="93"/>
      <c r="E157" s="244"/>
      <c r="F157" s="244"/>
      <c r="G157" s="244"/>
      <c r="H157" s="244"/>
      <c r="I157" s="244"/>
    </row>
    <row r="158" spans="1:9">
      <c r="A158" s="91"/>
      <c r="B158" s="831"/>
      <c r="C158" s="832"/>
      <c r="D158" s="93"/>
      <c r="E158" s="244"/>
      <c r="F158" s="244"/>
      <c r="G158" s="244"/>
      <c r="H158" s="244"/>
      <c r="I158" s="244"/>
    </row>
    <row r="159" spans="1:9" ht="12" customHeight="1">
      <c r="A159" s="91"/>
      <c r="B159" s="835"/>
      <c r="C159" s="836"/>
      <c r="D159" s="93"/>
      <c r="E159" s="244"/>
      <c r="F159" s="244"/>
      <c r="G159" s="244"/>
      <c r="H159" s="244"/>
      <c r="I159" s="244"/>
    </row>
    <row r="160" spans="1:9">
      <c r="A160" s="91"/>
      <c r="B160" s="93"/>
      <c r="C160" s="93"/>
      <c r="D160" s="93"/>
      <c r="E160" s="93"/>
    </row>
    <row r="161" spans="1:9">
      <c r="A161" s="91"/>
      <c r="B161" s="93"/>
      <c r="C161" s="93"/>
      <c r="D161" s="93"/>
      <c r="E161" s="93"/>
    </row>
    <row r="162" spans="1:9">
      <c r="A162" s="91"/>
      <c r="B162" s="819" t="s">
        <v>86</v>
      </c>
      <c r="C162" s="820"/>
      <c r="D162" s="93"/>
      <c r="E162" s="819" t="s">
        <v>28</v>
      </c>
      <c r="F162" s="819"/>
      <c r="G162" s="819"/>
      <c r="H162" s="820"/>
      <c r="I162" s="38"/>
    </row>
    <row r="163" spans="1:9" ht="13.5" customHeight="1">
      <c r="A163" s="91"/>
      <c r="B163" s="833" t="s">
        <v>104</v>
      </c>
      <c r="C163" s="834"/>
      <c r="E163" s="829" t="s">
        <v>105</v>
      </c>
      <c r="F163" s="838"/>
      <c r="G163" s="838"/>
      <c r="H163" s="839"/>
      <c r="I163" s="244"/>
    </row>
    <row r="164" spans="1:9" ht="12.75" customHeight="1">
      <c r="A164" s="91"/>
      <c r="B164" s="831" t="s">
        <v>106</v>
      </c>
      <c r="C164" s="832"/>
      <c r="E164" s="840"/>
      <c r="F164" s="840"/>
      <c r="G164" s="840"/>
      <c r="H164" s="841"/>
      <c r="I164" s="244"/>
    </row>
    <row r="165" spans="1:9" ht="13.5" customHeight="1">
      <c r="A165" s="91"/>
      <c r="B165" s="831" t="s">
        <v>107</v>
      </c>
      <c r="C165" s="832"/>
      <c r="E165" s="804"/>
      <c r="F165" s="804"/>
      <c r="G165" s="804"/>
      <c r="H165" s="805"/>
      <c r="I165" s="244"/>
    </row>
    <row r="166" spans="1:9" ht="12.75" customHeight="1">
      <c r="A166" s="91"/>
      <c r="B166" s="831" t="s">
        <v>108</v>
      </c>
      <c r="C166" s="832"/>
      <c r="E166" s="804"/>
      <c r="F166" s="804"/>
      <c r="G166" s="804"/>
      <c r="H166" s="805"/>
      <c r="I166" s="244"/>
    </row>
    <row r="167" spans="1:9" ht="13.5" customHeight="1">
      <c r="A167" s="91"/>
      <c r="B167" s="831" t="s">
        <v>109</v>
      </c>
      <c r="C167" s="832"/>
      <c r="E167" s="804"/>
      <c r="F167" s="804"/>
      <c r="G167" s="804"/>
      <c r="H167" s="805"/>
      <c r="I167" s="244"/>
    </row>
    <row r="168" spans="1:9" ht="13.5" customHeight="1">
      <c r="A168" s="91"/>
      <c r="B168" s="831" t="s">
        <v>110</v>
      </c>
      <c r="C168" s="832"/>
      <c r="E168" s="804"/>
      <c r="F168" s="804"/>
      <c r="G168" s="804"/>
      <c r="H168" s="805"/>
      <c r="I168" s="244"/>
    </row>
    <row r="169" spans="1:9">
      <c r="A169" s="91"/>
      <c r="B169" s="835"/>
      <c r="C169" s="836"/>
      <c r="D169" s="93"/>
      <c r="E169" s="837"/>
      <c r="F169" s="837"/>
      <c r="G169" s="244"/>
      <c r="H169" s="244"/>
      <c r="I169" s="244"/>
    </row>
    <row r="170" spans="1:9" ht="12.75" customHeight="1">
      <c r="A170" s="91"/>
      <c r="B170" s="91"/>
      <c r="C170" s="91"/>
      <c r="D170" s="93"/>
      <c r="E170" s="244"/>
      <c r="F170" s="244"/>
      <c r="G170" s="244"/>
      <c r="H170" s="244"/>
      <c r="I170" s="244"/>
    </row>
    <row r="171" spans="1:9" ht="12.75" customHeight="1">
      <c r="A171" s="91"/>
      <c r="B171" s="91"/>
      <c r="C171" s="91"/>
      <c r="D171" s="93"/>
      <c r="E171" s="244"/>
      <c r="F171" s="244"/>
      <c r="G171" s="244"/>
      <c r="H171" s="244"/>
      <c r="I171" s="244"/>
    </row>
    <row r="172" spans="1:9" ht="12.75" customHeight="1">
      <c r="A172" s="91"/>
      <c r="B172" s="819" t="s">
        <v>87</v>
      </c>
      <c r="C172" s="820"/>
      <c r="D172" s="93"/>
      <c r="E172" s="819" t="s">
        <v>45</v>
      </c>
      <c r="F172" s="819"/>
      <c r="G172" s="819"/>
      <c r="H172" s="820"/>
      <c r="I172" s="346"/>
    </row>
    <row r="173" spans="1:9" ht="12.75" customHeight="1">
      <c r="A173" s="91"/>
      <c r="B173" s="817" t="s">
        <v>104</v>
      </c>
      <c r="C173" s="818"/>
      <c r="E173" s="804" t="s">
        <v>104</v>
      </c>
      <c r="F173" s="804"/>
      <c r="G173" s="804"/>
      <c r="H173" s="805"/>
      <c r="I173" s="244"/>
    </row>
    <row r="174" spans="1:9" ht="12.75" customHeight="1">
      <c r="A174" s="91"/>
      <c r="B174" s="804" t="s">
        <v>106</v>
      </c>
      <c r="C174" s="805"/>
      <c r="E174" s="804" t="s">
        <v>106</v>
      </c>
      <c r="F174" s="804"/>
      <c r="G174" s="804"/>
      <c r="H174" s="805"/>
      <c r="I174" s="244"/>
    </row>
    <row r="175" spans="1:9" ht="12.75" customHeight="1">
      <c r="A175" s="91"/>
      <c r="B175" s="804" t="s">
        <v>107</v>
      </c>
      <c r="C175" s="805"/>
      <c r="E175" s="804" t="s">
        <v>107</v>
      </c>
      <c r="F175" s="804"/>
      <c r="G175" s="804"/>
      <c r="H175" s="805"/>
      <c r="I175" s="244"/>
    </row>
    <row r="176" spans="1:9" ht="12.75" customHeight="1">
      <c r="A176" s="91"/>
      <c r="B176" s="804" t="s">
        <v>108</v>
      </c>
      <c r="C176" s="805"/>
      <c r="E176" s="804" t="s">
        <v>108</v>
      </c>
      <c r="F176" s="804"/>
      <c r="G176" s="804"/>
      <c r="H176" s="805"/>
      <c r="I176" s="244"/>
    </row>
    <row r="177" spans="1:13" ht="12.75" customHeight="1">
      <c r="A177" s="91"/>
      <c r="B177" s="804" t="s">
        <v>109</v>
      </c>
      <c r="C177" s="805"/>
      <c r="E177" s="804" t="s">
        <v>109</v>
      </c>
      <c r="F177" s="804"/>
      <c r="G177" s="804"/>
      <c r="H177" s="805"/>
      <c r="I177" s="244"/>
    </row>
    <row r="178" spans="1:13" ht="12.75" customHeight="1">
      <c r="A178" s="91"/>
      <c r="B178" s="804" t="s">
        <v>110</v>
      </c>
      <c r="C178" s="805"/>
      <c r="E178" s="804" t="s">
        <v>110</v>
      </c>
      <c r="F178" s="804"/>
      <c r="G178" s="804"/>
      <c r="H178" s="805"/>
      <c r="I178" s="244"/>
    </row>
    <row r="179" spans="1:13">
      <c r="A179" s="91"/>
      <c r="B179" s="806"/>
      <c r="C179" s="807"/>
      <c r="D179" s="93"/>
      <c r="E179" s="806"/>
      <c r="F179" s="806"/>
      <c r="G179" s="806"/>
      <c r="H179" s="807"/>
      <c r="I179" s="244"/>
    </row>
    <row r="180" spans="1:13" ht="12.4" customHeight="1">
      <c r="A180" s="91"/>
      <c r="D180" s="93"/>
      <c r="E180" s="93"/>
    </row>
    <row r="181" spans="1:13" ht="12.4" customHeight="1">
      <c r="A181" s="91"/>
      <c r="B181" s="167" t="s">
        <v>111</v>
      </c>
      <c r="C181" s="168"/>
      <c r="D181" s="168"/>
      <c r="E181" s="168"/>
      <c r="F181" s="166"/>
      <c r="G181" s="166"/>
      <c r="H181" s="166"/>
      <c r="I181" s="166"/>
      <c r="J181" s="166"/>
      <c r="K181" s="166"/>
      <c r="L181" s="166"/>
      <c r="M181" s="166"/>
    </row>
    <row r="182" spans="1:13" ht="12.4" customHeight="1">
      <c r="A182" s="91"/>
      <c r="B182" s="245"/>
      <c r="C182" s="246"/>
      <c r="D182" s="246"/>
      <c r="E182" s="246"/>
      <c r="F182" s="247"/>
      <c r="G182" s="247"/>
      <c r="H182" s="247"/>
      <c r="I182" s="247"/>
    </row>
    <row r="183" spans="1:13" ht="12.4" customHeight="1">
      <c r="A183" s="91"/>
      <c r="B183" s="570" t="s">
        <v>112</v>
      </c>
      <c r="C183" s="93"/>
      <c r="D183" s="93"/>
      <c r="E183" s="778" t="b">
        <f>OR((LEFT('RFPR cover'!$C$8,2)=Data!F183),'RFPR cover'!$C$7=Data!F183)</f>
        <v>0</v>
      </c>
      <c r="F183" s="779" t="str">
        <f>B194</f>
        <v>ED</v>
      </c>
    </row>
    <row r="184" spans="1:13" ht="19.5" customHeight="1">
      <c r="A184" s="91"/>
      <c r="B184" s="250" t="str">
        <f>CHOOSE(MATCH(TRUE,$E$183:$E$191,0),B195,B206,B217,E217,B228,E228,B239,E239,B250)&amp;""</f>
        <v xml:space="preserve">RIIO-2 network innovation allowance </v>
      </c>
      <c r="C184" s="93"/>
      <c r="D184" s="93"/>
      <c r="E184" s="640" t="b">
        <f>OR((LEFT('RFPR cover'!$C$8,2)=Data!F184),'RFPR cover'!$C$7=Data!F184)</f>
        <v>1</v>
      </c>
      <c r="F184" s="642" t="str">
        <f>B205</f>
        <v>GD</v>
      </c>
    </row>
    <row r="185" spans="1:13" ht="22.5" customHeight="1">
      <c r="A185" s="91"/>
      <c r="B185" s="250" t="str">
        <f t="shared" ref="B185:B191" si="22">CHOOSE(MATCH(TRUE,$E$183:$E$191,0),B196,B207,B218,E218,B229,E229,B240,E240,B251)&amp;""</f>
        <v xml:space="preserve">Carry-over Network Innovation Allowance </v>
      </c>
      <c r="C185" s="93"/>
      <c r="D185" s="93"/>
      <c r="E185" s="640" t="b">
        <f>OR((LEFT('RFPR cover'!$C$8,2)=Data!F185),'RFPR cover'!$C$7=Data!F185)</f>
        <v>0</v>
      </c>
      <c r="F185" s="643" t="str">
        <f>B216</f>
        <v>NGGT (TO)</v>
      </c>
    </row>
    <row r="186" spans="1:13" ht="19.5" customHeight="1">
      <c r="A186" s="91"/>
      <c r="B186" s="250" t="str">
        <f t="shared" si="22"/>
        <v/>
      </c>
      <c r="C186" s="93"/>
      <c r="D186" s="93"/>
      <c r="E186" s="640" t="b">
        <f>OR((LEFT('RFPR cover'!$C$8,2)=Data!F186),'RFPR cover'!$C$7=Data!F186)</f>
        <v>0</v>
      </c>
      <c r="F186" s="643" t="str">
        <f>E216</f>
        <v>NGGT (SO)</v>
      </c>
    </row>
    <row r="187" spans="1:13" ht="19.5" customHeight="1">
      <c r="A187" s="91"/>
      <c r="B187" s="250" t="str">
        <f t="shared" si="22"/>
        <v/>
      </c>
      <c r="C187" s="93"/>
      <c r="D187" s="93"/>
      <c r="E187" s="640" t="b">
        <f>OR((LEFT('RFPR cover'!$C$8,2)=Data!F187),'RFPR cover'!$C$7=Data!F187)</f>
        <v>0</v>
      </c>
      <c r="F187" s="643" t="str">
        <f>B227</f>
        <v>NGGT (TO+SO)</v>
      </c>
    </row>
    <row r="188" spans="1:13" ht="19.5" customHeight="1">
      <c r="A188" s="91"/>
      <c r="B188" s="250" t="str">
        <f t="shared" si="22"/>
        <v/>
      </c>
      <c r="C188" s="93"/>
      <c r="D188" s="93"/>
      <c r="E188" s="640" t="b">
        <f>OR((LEFT('RFPR cover'!$C$8,2)=Data!F188),'RFPR cover'!$C$7=Data!F188)</f>
        <v>0</v>
      </c>
      <c r="F188" s="643" t="str">
        <f>E227</f>
        <v>NGET (TO)</v>
      </c>
    </row>
    <row r="189" spans="1:13" ht="19.5" customHeight="1">
      <c r="A189" s="91"/>
      <c r="B189" s="250" t="str">
        <f t="shared" si="22"/>
        <v/>
      </c>
      <c r="C189" s="93"/>
      <c r="D189" s="93"/>
      <c r="E189" s="640" t="b">
        <f>OR((LEFT('RFPR cover'!$C$8,2)=Data!F189),'RFPR cover'!$C$7=Data!F189)</f>
        <v>0</v>
      </c>
      <c r="F189" s="643" t="str">
        <f>B238</f>
        <v>ESO</v>
      </c>
    </row>
    <row r="190" spans="1:13" ht="19.5" customHeight="1">
      <c r="A190" s="91"/>
      <c r="B190" s="250" t="str">
        <f t="shared" si="22"/>
        <v/>
      </c>
      <c r="C190" s="93"/>
      <c r="D190" s="93"/>
      <c r="E190" s="640" t="b">
        <f>OR((LEFT('RFPR cover'!$C$8,2)=Data!F190),'RFPR cover'!$C$7=Data!F190)</f>
        <v>0</v>
      </c>
      <c r="F190" s="643" t="str">
        <f>E238</f>
        <v>SPT</v>
      </c>
    </row>
    <row r="191" spans="1:13" ht="19.5" customHeight="1">
      <c r="A191" s="91"/>
      <c r="B191" s="250" t="str">
        <f t="shared" si="22"/>
        <v/>
      </c>
      <c r="C191" s="93"/>
      <c r="D191" s="93"/>
      <c r="E191" s="644" t="b">
        <f>OR((LEFT('RFPR cover'!$C$8,2)=Data!F191),'RFPR cover'!$C$7=Data!F191)</f>
        <v>0</v>
      </c>
      <c r="F191" s="646" t="str">
        <f>B249</f>
        <v>SHET</v>
      </c>
      <c r="G191" s="93"/>
      <c r="H191" s="93"/>
      <c r="I191" s="93"/>
    </row>
    <row r="192" spans="1:13" ht="12.75" customHeight="1">
      <c r="A192" s="91"/>
      <c r="B192" s="93"/>
      <c r="C192" s="93"/>
      <c r="D192" s="93"/>
      <c r="E192" s="32"/>
      <c r="F192" s="248"/>
    </row>
    <row r="193" spans="1:6" ht="12.75" customHeight="1">
      <c r="A193" s="91"/>
      <c r="B193" s="344"/>
      <c r="C193" s="344"/>
      <c r="D193" s="93"/>
      <c r="E193" s="32"/>
      <c r="F193" s="248"/>
    </row>
    <row r="194" spans="1:6" ht="12.75" customHeight="1">
      <c r="A194" s="91"/>
      <c r="B194" s="827" t="s">
        <v>19</v>
      </c>
      <c r="C194" s="828"/>
      <c r="D194" s="93"/>
      <c r="E194" s="93"/>
    </row>
    <row r="195" spans="1:6" ht="12.75" customHeight="1">
      <c r="A195" s="91"/>
      <c r="B195" s="817"/>
      <c r="C195" s="818"/>
      <c r="D195" s="93"/>
      <c r="E195" s="93"/>
    </row>
    <row r="196" spans="1:6" ht="12.75" customHeight="1">
      <c r="A196" s="91"/>
      <c r="B196" s="804"/>
      <c r="C196" s="805"/>
      <c r="D196" s="93"/>
      <c r="E196" s="93"/>
    </row>
    <row r="197" spans="1:6" ht="12.75" customHeight="1">
      <c r="A197" s="91"/>
      <c r="B197" s="804"/>
      <c r="C197" s="805"/>
      <c r="D197" s="93"/>
      <c r="E197" s="93"/>
    </row>
    <row r="198" spans="1:6" ht="12.75" customHeight="1">
      <c r="A198" s="91"/>
      <c r="B198" s="804"/>
      <c r="C198" s="805"/>
      <c r="D198" s="93"/>
      <c r="E198" s="93"/>
    </row>
    <row r="199" spans="1:6" ht="12.75" customHeight="1">
      <c r="A199" s="91"/>
      <c r="B199" s="804"/>
      <c r="C199" s="805"/>
      <c r="D199" s="93"/>
      <c r="E199" s="93"/>
    </row>
    <row r="200" spans="1:6" ht="12.75" customHeight="1">
      <c r="A200" s="91"/>
      <c r="B200" s="804"/>
      <c r="C200" s="805"/>
      <c r="D200" s="93"/>
      <c r="E200" s="93"/>
    </row>
    <row r="201" spans="1:6">
      <c r="A201" s="91"/>
      <c r="B201" s="804"/>
      <c r="C201" s="805"/>
      <c r="D201" s="93"/>
      <c r="E201" s="93"/>
    </row>
    <row r="202" spans="1:6" ht="12.75" customHeight="1">
      <c r="A202" s="91"/>
      <c r="B202" s="806"/>
      <c r="C202" s="807"/>
      <c r="D202" s="93"/>
      <c r="E202" s="93"/>
    </row>
    <row r="203" spans="1:6" ht="12.75" customHeight="1">
      <c r="A203" s="91"/>
      <c r="B203" s="93"/>
      <c r="C203" s="93"/>
      <c r="D203" s="93"/>
      <c r="E203" s="93"/>
    </row>
    <row r="204" spans="1:6" ht="12.75" customHeight="1">
      <c r="A204" s="91"/>
      <c r="B204" s="93"/>
      <c r="C204" s="93"/>
      <c r="D204" s="93"/>
      <c r="E204" s="93"/>
    </row>
    <row r="205" spans="1:6" ht="12.75" customHeight="1">
      <c r="A205" s="91"/>
      <c r="B205" s="829" t="s">
        <v>25</v>
      </c>
      <c r="C205" s="830"/>
      <c r="D205" s="93"/>
      <c r="E205" s="93"/>
    </row>
    <row r="206" spans="1:6" ht="12.75" customHeight="1">
      <c r="A206" s="91"/>
      <c r="B206" s="817" t="s">
        <v>113</v>
      </c>
      <c r="C206" s="818"/>
      <c r="E206" s="93"/>
    </row>
    <row r="207" spans="1:6" ht="12.75" customHeight="1">
      <c r="A207" s="91"/>
      <c r="B207" s="804" t="s">
        <v>114</v>
      </c>
      <c r="C207" s="805"/>
      <c r="D207" s="93"/>
      <c r="E207" s="93"/>
    </row>
    <row r="208" spans="1:6" ht="12.75" customHeight="1">
      <c r="A208" s="91"/>
      <c r="B208" s="804"/>
      <c r="C208" s="805"/>
      <c r="D208" s="93"/>
      <c r="E208" s="93"/>
    </row>
    <row r="209" spans="1:9" ht="12.75" customHeight="1">
      <c r="A209" s="91"/>
      <c r="B209" s="804"/>
      <c r="C209" s="805"/>
      <c r="D209" s="93"/>
      <c r="E209" s="93"/>
    </row>
    <row r="210" spans="1:9">
      <c r="A210" s="91"/>
      <c r="B210" s="804"/>
      <c r="C210" s="805"/>
      <c r="D210" s="93"/>
      <c r="E210" s="93"/>
    </row>
    <row r="211" spans="1:9">
      <c r="A211" s="91"/>
      <c r="B211" s="804"/>
      <c r="C211" s="805"/>
      <c r="D211" s="93"/>
      <c r="E211" s="93"/>
    </row>
    <row r="212" spans="1:9" ht="12.75" customHeight="1">
      <c r="A212" s="91"/>
      <c r="B212" s="804"/>
      <c r="C212" s="805"/>
      <c r="D212" s="93"/>
      <c r="E212" s="93"/>
    </row>
    <row r="213" spans="1:9">
      <c r="A213" s="91"/>
      <c r="B213" s="806"/>
      <c r="C213" s="807"/>
      <c r="D213" s="93"/>
      <c r="E213" s="93"/>
    </row>
    <row r="214" spans="1:9">
      <c r="A214" s="91"/>
      <c r="B214" s="93"/>
      <c r="C214" s="93"/>
      <c r="D214" s="93"/>
      <c r="E214" s="93"/>
    </row>
    <row r="215" spans="1:9">
      <c r="A215" s="91"/>
      <c r="B215" s="93"/>
      <c r="C215" s="93"/>
      <c r="D215" s="93"/>
      <c r="E215" s="93"/>
    </row>
    <row r="216" spans="1:9">
      <c r="A216" s="91"/>
      <c r="B216" s="463" t="str">
        <f>B77</f>
        <v>NGGT (TO)</v>
      </c>
      <c r="C216" s="421"/>
      <c r="D216" s="93"/>
      <c r="E216" s="819" t="str">
        <f>B78</f>
        <v>NGGT (SO)</v>
      </c>
      <c r="F216" s="819"/>
      <c r="G216" s="819"/>
      <c r="H216" s="819"/>
      <c r="I216" s="820"/>
    </row>
    <row r="217" spans="1:9">
      <c r="A217" s="91"/>
      <c r="B217" s="817" t="s">
        <v>115</v>
      </c>
      <c r="C217" s="818"/>
      <c r="E217" s="821"/>
      <c r="F217" s="822"/>
      <c r="G217" s="822"/>
      <c r="H217" s="822"/>
      <c r="I217" s="823"/>
    </row>
    <row r="218" spans="1:9" ht="25.5" customHeight="1">
      <c r="A218" s="91"/>
      <c r="B218" s="804" t="s">
        <v>116</v>
      </c>
      <c r="C218" s="805"/>
      <c r="E218" s="821"/>
      <c r="F218" s="822"/>
      <c r="G218" s="822"/>
      <c r="H218" s="822"/>
      <c r="I218" s="823"/>
    </row>
    <row r="219" spans="1:9" ht="13.5" customHeight="1">
      <c r="A219" s="91"/>
      <c r="B219" s="804" t="s">
        <v>117</v>
      </c>
      <c r="C219" s="805"/>
      <c r="D219" s="93"/>
      <c r="E219" s="821"/>
      <c r="F219" s="822"/>
      <c r="G219" s="822"/>
      <c r="H219" s="822"/>
      <c r="I219" s="823"/>
    </row>
    <row r="220" spans="1:9" ht="13.5" customHeight="1">
      <c r="A220" s="91"/>
      <c r="B220" s="804"/>
      <c r="C220" s="805"/>
      <c r="D220" s="93"/>
      <c r="E220" s="808" t="s">
        <v>118</v>
      </c>
      <c r="F220" s="809"/>
      <c r="G220" s="809"/>
      <c r="H220" s="809"/>
      <c r="I220" s="810"/>
    </row>
    <row r="221" spans="1:9" ht="13.5" customHeight="1">
      <c r="A221" s="91"/>
      <c r="B221" s="464"/>
      <c r="C221" s="422"/>
      <c r="D221" s="93"/>
      <c r="E221" s="808" t="s">
        <v>119</v>
      </c>
      <c r="F221" s="809"/>
      <c r="G221" s="809"/>
      <c r="H221" s="809"/>
      <c r="I221" s="810"/>
    </row>
    <row r="222" spans="1:9" ht="13.5" customHeight="1">
      <c r="A222" s="91"/>
      <c r="B222" s="804"/>
      <c r="C222" s="805"/>
      <c r="D222" s="93"/>
      <c r="E222" s="808" t="s">
        <v>120</v>
      </c>
      <c r="F222" s="809"/>
      <c r="G222" s="809"/>
      <c r="H222" s="809"/>
      <c r="I222" s="810"/>
    </row>
    <row r="223" spans="1:9" ht="13.5" customHeight="1">
      <c r="A223" s="91"/>
      <c r="B223" s="804"/>
      <c r="C223" s="805"/>
      <c r="D223" s="93"/>
      <c r="E223" s="811" t="s">
        <v>121</v>
      </c>
      <c r="F223" s="812"/>
      <c r="G223" s="812"/>
      <c r="H223" s="812"/>
      <c r="I223" s="813"/>
    </row>
    <row r="224" spans="1:9" ht="12.75" customHeight="1">
      <c r="A224" s="91"/>
      <c r="B224" s="806"/>
      <c r="C224" s="807"/>
      <c r="D224" s="93"/>
      <c r="E224" s="814" t="s">
        <v>122</v>
      </c>
      <c r="F224" s="815"/>
      <c r="G224" s="815"/>
      <c r="H224" s="815"/>
      <c r="I224" s="816"/>
    </row>
    <row r="225" spans="1:9">
      <c r="A225" s="91"/>
      <c r="B225" s="93"/>
      <c r="C225" s="93"/>
      <c r="D225" s="93"/>
      <c r="E225" s="93"/>
    </row>
    <row r="226" spans="1:9" ht="12.75" customHeight="1">
      <c r="A226" s="91"/>
      <c r="B226" s="93"/>
      <c r="C226" s="93"/>
      <c r="D226" s="93"/>
      <c r="E226" s="93"/>
    </row>
    <row r="227" spans="1:9">
      <c r="A227" s="91"/>
      <c r="B227" s="819" t="s">
        <v>85</v>
      </c>
      <c r="C227" s="820"/>
      <c r="D227" s="93"/>
      <c r="E227" s="819" t="s">
        <v>86</v>
      </c>
      <c r="F227" s="819"/>
      <c r="G227" s="819"/>
      <c r="H227" s="819"/>
      <c r="I227" s="820"/>
    </row>
    <row r="228" spans="1:9" ht="12.75" customHeight="1">
      <c r="A228" s="91"/>
      <c r="B228" s="817" t="s">
        <v>115</v>
      </c>
      <c r="C228" s="818"/>
      <c r="E228" s="817" t="s">
        <v>115</v>
      </c>
      <c r="F228" s="817"/>
      <c r="G228" s="817"/>
      <c r="H228" s="817"/>
      <c r="I228" s="818"/>
    </row>
    <row r="229" spans="1:9" ht="12.75" customHeight="1">
      <c r="A229" s="91"/>
      <c r="B229" s="804" t="s">
        <v>116</v>
      </c>
      <c r="C229" s="805"/>
      <c r="E229" s="804" t="s">
        <v>116</v>
      </c>
      <c r="F229" s="804"/>
      <c r="G229" s="804"/>
      <c r="H229" s="804"/>
      <c r="I229" s="805"/>
    </row>
    <row r="230" spans="1:9" ht="12.75" customHeight="1">
      <c r="A230" s="91"/>
      <c r="B230" s="804" t="s">
        <v>117</v>
      </c>
      <c r="C230" s="805"/>
      <c r="E230" s="804" t="s">
        <v>117</v>
      </c>
      <c r="F230" s="804"/>
      <c r="G230" s="804"/>
      <c r="H230" s="804"/>
      <c r="I230" s="805"/>
    </row>
    <row r="231" spans="1:9" ht="24" customHeight="1">
      <c r="A231" s="91"/>
      <c r="B231" s="804" t="s">
        <v>118</v>
      </c>
      <c r="C231" s="805"/>
      <c r="E231" s="804"/>
      <c r="F231" s="804"/>
      <c r="G231" s="804"/>
      <c r="H231" s="804"/>
      <c r="I231" s="805"/>
    </row>
    <row r="232" spans="1:9">
      <c r="A232" s="91"/>
      <c r="B232" s="804" t="s">
        <v>119</v>
      </c>
      <c r="C232" s="805"/>
      <c r="E232" s="804"/>
      <c r="F232" s="804"/>
      <c r="G232" s="804"/>
      <c r="H232" s="804"/>
      <c r="I232" s="805"/>
    </row>
    <row r="233" spans="1:9">
      <c r="A233" s="91"/>
      <c r="B233" s="804" t="s">
        <v>120</v>
      </c>
      <c r="C233" s="805"/>
      <c r="E233" s="804"/>
      <c r="F233" s="804"/>
      <c r="G233" s="804"/>
      <c r="H233" s="804"/>
      <c r="I233" s="805"/>
    </row>
    <row r="234" spans="1:9" ht="12.75" customHeight="1">
      <c r="A234" s="91"/>
      <c r="B234" s="804" t="s">
        <v>121</v>
      </c>
      <c r="C234" s="805"/>
      <c r="E234" s="804"/>
      <c r="F234" s="804"/>
      <c r="G234" s="804"/>
      <c r="H234" s="804"/>
      <c r="I234" s="805"/>
    </row>
    <row r="235" spans="1:9" ht="12.75" customHeight="1">
      <c r="A235" s="91"/>
      <c r="B235" s="806" t="s">
        <v>122</v>
      </c>
      <c r="C235" s="807"/>
      <c r="D235" s="93"/>
      <c r="E235" s="806"/>
      <c r="F235" s="806"/>
      <c r="G235" s="806"/>
      <c r="H235" s="806"/>
      <c r="I235" s="807"/>
    </row>
    <row r="236" spans="1:9" ht="12.75" customHeight="1">
      <c r="A236" s="91"/>
      <c r="B236" s="91"/>
      <c r="C236" s="91"/>
      <c r="D236" s="93"/>
      <c r="E236" s="244"/>
      <c r="F236" s="244"/>
      <c r="G236" s="244"/>
      <c r="H236" s="244"/>
      <c r="I236" s="244"/>
    </row>
    <row r="237" spans="1:9" ht="12.75" customHeight="1">
      <c r="A237" s="91"/>
      <c r="B237" s="91"/>
      <c r="C237" s="91"/>
      <c r="D237" s="93"/>
      <c r="E237" s="244"/>
      <c r="F237" s="244"/>
      <c r="G237" s="244"/>
      <c r="H237" s="244"/>
      <c r="I237" s="244"/>
    </row>
    <row r="238" spans="1:9" ht="12.75" customHeight="1">
      <c r="A238" s="91"/>
      <c r="B238" s="819" t="s">
        <v>28</v>
      </c>
      <c r="C238" s="820"/>
      <c r="D238" s="93"/>
      <c r="E238" s="819" t="s">
        <v>87</v>
      </c>
      <c r="F238" s="819"/>
      <c r="G238" s="819"/>
      <c r="H238" s="819"/>
      <c r="I238" s="820"/>
    </row>
    <row r="239" spans="1:9" ht="12.75" customHeight="1">
      <c r="A239" s="91"/>
      <c r="B239" s="817" t="s">
        <v>113</v>
      </c>
      <c r="C239" s="818"/>
      <c r="E239" s="817" t="s">
        <v>113</v>
      </c>
      <c r="F239" s="817"/>
      <c r="G239" s="817"/>
      <c r="H239" s="817"/>
      <c r="I239" s="818"/>
    </row>
    <row r="240" spans="1:9" ht="25.5" customHeight="1">
      <c r="A240" s="91"/>
      <c r="B240" s="804" t="s">
        <v>114</v>
      </c>
      <c r="C240" s="805"/>
      <c r="E240" s="804" t="s">
        <v>114</v>
      </c>
      <c r="F240" s="804"/>
      <c r="G240" s="804"/>
      <c r="H240" s="804"/>
      <c r="I240" s="805"/>
    </row>
    <row r="241" spans="1:9" ht="25.5" customHeight="1">
      <c r="A241" s="91"/>
      <c r="B241" s="804"/>
      <c r="C241" s="805"/>
      <c r="E241" s="804"/>
      <c r="F241" s="804"/>
      <c r="G241" s="804"/>
      <c r="H241" s="804"/>
      <c r="I241" s="805"/>
    </row>
    <row r="242" spans="1:9" ht="25.5" customHeight="1">
      <c r="A242" s="91"/>
      <c r="B242" s="804"/>
      <c r="C242" s="805"/>
      <c r="E242" s="804"/>
      <c r="F242" s="804"/>
      <c r="G242" s="804"/>
      <c r="H242" s="804"/>
      <c r="I242" s="805"/>
    </row>
    <row r="243" spans="1:9" ht="25.5" customHeight="1">
      <c r="A243" s="91"/>
      <c r="B243" s="804"/>
      <c r="C243" s="805"/>
      <c r="E243" s="804"/>
      <c r="F243" s="804"/>
      <c r="G243" s="804"/>
      <c r="H243" s="804"/>
      <c r="I243" s="805"/>
    </row>
    <row r="244" spans="1:9" ht="25.5" customHeight="1">
      <c r="A244" s="91"/>
      <c r="B244" s="804"/>
      <c r="C244" s="805"/>
      <c r="E244" s="804"/>
      <c r="F244" s="804"/>
      <c r="G244" s="804"/>
      <c r="H244" s="804"/>
      <c r="I244" s="805"/>
    </row>
    <row r="245" spans="1:9">
      <c r="A245" s="91"/>
      <c r="B245" s="804"/>
      <c r="C245" s="805"/>
      <c r="E245" s="804"/>
      <c r="F245" s="804"/>
      <c r="G245" s="804"/>
      <c r="H245" s="804"/>
      <c r="I245" s="805"/>
    </row>
    <row r="246" spans="1:9">
      <c r="A246" s="91"/>
      <c r="B246" s="806"/>
      <c r="C246" s="807"/>
      <c r="D246" s="93"/>
      <c r="E246" s="806"/>
      <c r="F246" s="806"/>
      <c r="G246" s="806"/>
      <c r="H246" s="806"/>
      <c r="I246" s="807"/>
    </row>
    <row r="247" spans="1:9">
      <c r="A247" s="91"/>
      <c r="D247" s="93"/>
      <c r="E247" s="93"/>
    </row>
    <row r="248" spans="1:9">
      <c r="A248" s="91"/>
      <c r="D248" s="93"/>
      <c r="E248" s="93"/>
    </row>
    <row r="249" spans="1:9">
      <c r="A249" s="91"/>
      <c r="B249" s="819" t="s">
        <v>45</v>
      </c>
      <c r="C249" s="820"/>
      <c r="D249" s="93"/>
      <c r="E249" s="93"/>
    </row>
    <row r="250" spans="1:9">
      <c r="A250" s="91"/>
      <c r="B250" s="804" t="s">
        <v>113</v>
      </c>
      <c r="C250" s="805"/>
      <c r="D250" s="842"/>
      <c r="E250" s="842"/>
    </row>
    <row r="251" spans="1:9">
      <c r="A251" s="91"/>
      <c r="B251" s="804" t="s">
        <v>114</v>
      </c>
      <c r="C251" s="805"/>
      <c r="D251" s="842"/>
      <c r="E251" s="842"/>
    </row>
    <row r="252" spans="1:9">
      <c r="A252" s="91"/>
      <c r="B252" s="804"/>
      <c r="C252" s="805"/>
      <c r="D252" s="93"/>
      <c r="E252" s="93"/>
    </row>
    <row r="253" spans="1:9">
      <c r="A253" s="91"/>
      <c r="B253" s="804"/>
      <c r="C253" s="805"/>
      <c r="D253" s="93"/>
      <c r="E253" s="93"/>
    </row>
    <row r="254" spans="1:9">
      <c r="A254" s="91"/>
      <c r="B254" s="804"/>
      <c r="C254" s="805"/>
      <c r="D254" s="93"/>
      <c r="E254" s="93"/>
    </row>
    <row r="255" spans="1:9">
      <c r="A255" s="91"/>
      <c r="B255" s="804"/>
      <c r="C255" s="805"/>
      <c r="D255" s="93"/>
      <c r="E255" s="93"/>
    </row>
    <row r="256" spans="1:9">
      <c r="A256" s="91"/>
      <c r="B256" s="804"/>
      <c r="C256" s="805"/>
      <c r="D256" s="93"/>
      <c r="E256" s="93"/>
    </row>
    <row r="257" spans="1:14">
      <c r="A257" s="91"/>
      <c r="B257" s="806"/>
      <c r="C257" s="807"/>
      <c r="D257" s="93"/>
      <c r="E257" s="93"/>
    </row>
    <row r="258" spans="1:14">
      <c r="A258" s="91"/>
      <c r="D258" s="93"/>
      <c r="E258" s="93"/>
    </row>
    <row r="259" spans="1:14">
      <c r="A259" s="91"/>
      <c r="D259" s="93"/>
      <c r="E259" s="93"/>
    </row>
    <row r="260" spans="1:14">
      <c r="A260" s="91"/>
      <c r="D260" s="93"/>
      <c r="E260" s="93"/>
    </row>
    <row r="261" spans="1:14">
      <c r="A261" s="91"/>
      <c r="D261" s="93"/>
      <c r="E261" s="93"/>
    </row>
    <row r="262" spans="1:14">
      <c r="A262" s="91"/>
      <c r="D262" s="93"/>
      <c r="E262" s="93"/>
    </row>
    <row r="263" spans="1:14">
      <c r="A263" s="91"/>
      <c r="D263" s="93"/>
      <c r="E263" s="93"/>
    </row>
    <row r="264" spans="1:14">
      <c r="A264" s="91"/>
      <c r="B264" s="803" t="s">
        <v>123</v>
      </c>
      <c r="C264" s="803"/>
      <c r="D264" s="803"/>
      <c r="E264" s="803"/>
      <c r="F264" s="803"/>
      <c r="G264" s="803"/>
      <c r="H264" s="803"/>
      <c r="I264" s="98"/>
      <c r="J264" s="98"/>
      <c r="K264" s="98"/>
      <c r="L264" s="98"/>
      <c r="M264" s="98"/>
      <c r="N264" s="98"/>
    </row>
    <row r="265" spans="1:14">
      <c r="A265" s="91"/>
      <c r="B265" s="93"/>
      <c r="C265" s="93"/>
      <c r="D265" s="93"/>
      <c r="E265" s="93"/>
    </row>
    <row r="266" spans="1:14">
      <c r="B266" s="33"/>
    </row>
    <row r="267" spans="1:14">
      <c r="B267" s="571" t="s">
        <v>124</v>
      </c>
    </row>
    <row r="268" spans="1:14">
      <c r="B268" s="354" t="s">
        <v>125</v>
      </c>
    </row>
    <row r="269" spans="1:14">
      <c r="B269" s="355" t="s">
        <v>126</v>
      </c>
    </row>
    <row r="270" spans="1:14">
      <c r="B270" s="356" t="s">
        <v>127</v>
      </c>
    </row>
    <row r="271" spans="1:14">
      <c r="B271" s="357"/>
    </row>
    <row r="272" spans="1:14">
      <c r="B272" s="88"/>
    </row>
    <row r="273" spans="2:2">
      <c r="B273" s="571" t="s">
        <v>128</v>
      </c>
    </row>
    <row r="274" spans="2:2" ht="12.75" customHeight="1">
      <c r="B274" s="358" t="s">
        <v>129</v>
      </c>
    </row>
    <row r="275" spans="2:2" ht="13.5" customHeight="1">
      <c r="B275" s="355" t="s">
        <v>130</v>
      </c>
    </row>
    <row r="276" spans="2:2" ht="13.5" customHeight="1">
      <c r="B276" s="355" t="s">
        <v>131</v>
      </c>
    </row>
    <row r="277" spans="2:2">
      <c r="B277" s="355" t="s">
        <v>132</v>
      </c>
    </row>
    <row r="278" spans="2:2" ht="13.5" customHeight="1">
      <c r="B278" s="355" t="s">
        <v>133</v>
      </c>
    </row>
    <row r="279" spans="2:2">
      <c r="B279" s="355" t="s">
        <v>134</v>
      </c>
    </row>
    <row r="280" spans="2:2">
      <c r="B280" s="355" t="s">
        <v>135</v>
      </c>
    </row>
    <row r="281" spans="2:2">
      <c r="B281" s="355"/>
    </row>
    <row r="282" spans="2:2">
      <c r="B282" s="357"/>
    </row>
    <row r="283" spans="2:2" ht="13.5" customHeight="1">
      <c r="B283" s="88"/>
    </row>
    <row r="284" spans="2:2" ht="13.5" customHeight="1">
      <c r="B284" s="571" t="s">
        <v>136</v>
      </c>
    </row>
    <row r="285" spans="2:2" ht="13.5" customHeight="1">
      <c r="B285" s="358" t="s">
        <v>137</v>
      </c>
    </row>
    <row r="286" spans="2:2">
      <c r="B286" s="355" t="s">
        <v>138</v>
      </c>
    </row>
    <row r="287" spans="2:2">
      <c r="B287" s="355" t="s">
        <v>139</v>
      </c>
    </row>
    <row r="288" spans="2:2">
      <c r="B288" s="355" t="s">
        <v>140</v>
      </c>
    </row>
    <row r="289" spans="2:2">
      <c r="B289" s="355" t="s">
        <v>141</v>
      </c>
    </row>
    <row r="290" spans="2:2">
      <c r="B290" s="357"/>
    </row>
    <row r="291" spans="2:2">
      <c r="B291" s="88"/>
    </row>
    <row r="292" spans="2:2">
      <c r="B292" s="571" t="s">
        <v>142</v>
      </c>
    </row>
    <row r="293" spans="2:2" ht="12.75" customHeight="1">
      <c r="B293" s="358" t="s">
        <v>143</v>
      </c>
    </row>
    <row r="294" spans="2:2" ht="12.75" customHeight="1">
      <c r="B294" s="355" t="s">
        <v>144</v>
      </c>
    </row>
    <row r="295" spans="2:2" ht="12.75" customHeight="1">
      <c r="B295" s="357"/>
    </row>
    <row r="296" spans="2:2" ht="12.75" customHeight="1">
      <c r="B296" s="88"/>
    </row>
    <row r="297" spans="2:2">
      <c r="B297" s="571" t="s">
        <v>145</v>
      </c>
    </row>
    <row r="298" spans="2:2">
      <c r="B298" s="358" t="s">
        <v>146</v>
      </c>
    </row>
    <row r="299" spans="2:2">
      <c r="B299" s="355" t="s">
        <v>147</v>
      </c>
    </row>
    <row r="300" spans="2:2">
      <c r="B300" s="357" t="s">
        <v>148</v>
      </c>
    </row>
    <row r="301" spans="2:2">
      <c r="B301" s="88"/>
    </row>
    <row r="302" spans="2:2">
      <c r="B302" s="571" t="s">
        <v>149</v>
      </c>
    </row>
    <row r="303" spans="2:2" ht="12.75" customHeight="1">
      <c r="B303" s="358" t="s">
        <v>150</v>
      </c>
    </row>
    <row r="304" spans="2:2" ht="13.5" customHeight="1">
      <c r="B304" s="355" t="s">
        <v>151</v>
      </c>
    </row>
    <row r="305" spans="2:2" ht="12.75" customHeight="1">
      <c r="B305" s="355"/>
    </row>
    <row r="306" spans="2:2" ht="12.75" customHeight="1">
      <c r="B306" s="357"/>
    </row>
    <row r="307" spans="2:2" ht="12.75" customHeight="1">
      <c r="B307" s="88"/>
    </row>
    <row r="308" spans="2:2">
      <c r="B308" s="571" t="s">
        <v>152</v>
      </c>
    </row>
    <row r="309" spans="2:2">
      <c r="B309" s="358" t="s">
        <v>153</v>
      </c>
    </row>
    <row r="310" spans="2:2">
      <c r="B310" s="355" t="s">
        <v>154</v>
      </c>
    </row>
    <row r="311" spans="2:2">
      <c r="B311" s="355"/>
    </row>
    <row r="312" spans="2:2">
      <c r="B312" s="357"/>
    </row>
    <row r="313" spans="2:2">
      <c r="B313" s="88"/>
    </row>
    <row r="314" spans="2:2">
      <c r="B314" s="571" t="s">
        <v>155</v>
      </c>
    </row>
    <row r="315" spans="2:2">
      <c r="B315" s="358" t="s">
        <v>125</v>
      </c>
    </row>
    <row r="316" spans="2:2">
      <c r="B316" s="355" t="s">
        <v>126</v>
      </c>
    </row>
    <row r="317" spans="2:2" ht="12.75" customHeight="1">
      <c r="B317" s="357"/>
    </row>
  </sheetData>
  <mergeCells count="140">
    <mergeCell ref="B198:C198"/>
    <mergeCell ref="B209:C209"/>
    <mergeCell ref="B244:C244"/>
    <mergeCell ref="E244:I244"/>
    <mergeCell ref="B254:C254"/>
    <mergeCell ref="B249:C249"/>
    <mergeCell ref="B250:C250"/>
    <mergeCell ref="B251:C251"/>
    <mergeCell ref="B252:C252"/>
    <mergeCell ref="B253:C253"/>
    <mergeCell ref="B202:C202"/>
    <mergeCell ref="E221:I221"/>
    <mergeCell ref="B212:C212"/>
    <mergeCell ref="B213:C213"/>
    <mergeCell ref="B211:C211"/>
    <mergeCell ref="B205:C205"/>
    <mergeCell ref="B233:C233"/>
    <mergeCell ref="E233:I233"/>
    <mergeCell ref="E245:I245"/>
    <mergeCell ref="B220:C220"/>
    <mergeCell ref="B222:C222"/>
    <mergeCell ref="B207:C207"/>
    <mergeCell ref="B208:C208"/>
    <mergeCell ref="B228:C228"/>
    <mergeCell ref="B255:C255"/>
    <mergeCell ref="B256:C256"/>
    <mergeCell ref="B257:C257"/>
    <mergeCell ref="D250:E250"/>
    <mergeCell ref="D251:E251"/>
    <mergeCell ref="E174:H174"/>
    <mergeCell ref="E175:H175"/>
    <mergeCell ref="E176:H176"/>
    <mergeCell ref="E177:H177"/>
    <mergeCell ref="E178:H178"/>
    <mergeCell ref="E179:H179"/>
    <mergeCell ref="B199:C199"/>
    <mergeCell ref="B200:C200"/>
    <mergeCell ref="E241:I241"/>
    <mergeCell ref="E242:I242"/>
    <mergeCell ref="E243:I243"/>
    <mergeCell ref="B230:C230"/>
    <mergeCell ref="B231:C231"/>
    <mergeCell ref="B234:C234"/>
    <mergeCell ref="B235:C235"/>
    <mergeCell ref="B227:C227"/>
    <mergeCell ref="E227:I227"/>
    <mergeCell ref="B232:C232"/>
    <mergeCell ref="B201:C201"/>
    <mergeCell ref="B174:C174"/>
    <mergeCell ref="B175:C175"/>
    <mergeCell ref="B176:C176"/>
    <mergeCell ref="B178:C178"/>
    <mergeCell ref="B179:C179"/>
    <mergeCell ref="E169:F169"/>
    <mergeCell ref="E163:H163"/>
    <mergeCell ref="E164:H164"/>
    <mergeCell ref="E165:H165"/>
    <mergeCell ref="E166:H166"/>
    <mergeCell ref="E167:H167"/>
    <mergeCell ref="E168:H168"/>
    <mergeCell ref="E162:H162"/>
    <mergeCell ref="E173:H173"/>
    <mergeCell ref="E172:H172"/>
    <mergeCell ref="B157:C157"/>
    <mergeCell ref="B158:C158"/>
    <mergeCell ref="B159:C159"/>
    <mergeCell ref="B169:C169"/>
    <mergeCell ref="B149:C149"/>
    <mergeCell ref="B139:C139"/>
    <mergeCell ref="B172:C172"/>
    <mergeCell ref="B162:C162"/>
    <mergeCell ref="B165:C165"/>
    <mergeCell ref="B166:C166"/>
    <mergeCell ref="B167:C167"/>
    <mergeCell ref="B168:C168"/>
    <mergeCell ref="B154:C154"/>
    <mergeCell ref="B142:C142"/>
    <mergeCell ref="B153:C153"/>
    <mergeCell ref="B155:C155"/>
    <mergeCell ref="B156:C156"/>
    <mergeCell ref="B173:C173"/>
    <mergeCell ref="O53:U53"/>
    <mergeCell ref="H53:N53"/>
    <mergeCell ref="B177:C177"/>
    <mergeCell ref="B195:C195"/>
    <mergeCell ref="B196:C196"/>
    <mergeCell ref="B197:C197"/>
    <mergeCell ref="B194:C194"/>
    <mergeCell ref="B206:C206"/>
    <mergeCell ref="B132:C132"/>
    <mergeCell ref="B164:C164"/>
    <mergeCell ref="B163:C163"/>
    <mergeCell ref="B143:C143"/>
    <mergeCell ref="B144:C144"/>
    <mergeCell ref="B145:C145"/>
    <mergeCell ref="B146:C146"/>
    <mergeCell ref="B147:C147"/>
    <mergeCell ref="B148:C148"/>
    <mergeCell ref="B133:C133"/>
    <mergeCell ref="B134:C134"/>
    <mergeCell ref="B135:C135"/>
    <mergeCell ref="B136:C136"/>
    <mergeCell ref="B137:C137"/>
    <mergeCell ref="B138:C138"/>
    <mergeCell ref="B152:C152"/>
    <mergeCell ref="B210:C210"/>
    <mergeCell ref="E238:I238"/>
    <mergeCell ref="E235:I235"/>
    <mergeCell ref="B229:C229"/>
    <mergeCell ref="E217:I217"/>
    <mergeCell ref="E218:I218"/>
    <mergeCell ref="E219:I219"/>
    <mergeCell ref="E216:I216"/>
    <mergeCell ref="B217:C217"/>
    <mergeCell ref="B218:C218"/>
    <mergeCell ref="B219:C219"/>
    <mergeCell ref="B264:H264"/>
    <mergeCell ref="B223:C223"/>
    <mergeCell ref="B224:C224"/>
    <mergeCell ref="E220:I220"/>
    <mergeCell ref="E222:I222"/>
    <mergeCell ref="E223:I223"/>
    <mergeCell ref="E224:I224"/>
    <mergeCell ref="E234:I234"/>
    <mergeCell ref="E228:I228"/>
    <mergeCell ref="E229:I229"/>
    <mergeCell ref="E230:I230"/>
    <mergeCell ref="E231:I231"/>
    <mergeCell ref="E232:I232"/>
    <mergeCell ref="E246:I246"/>
    <mergeCell ref="B238:C238"/>
    <mergeCell ref="B239:C239"/>
    <mergeCell ref="B240:C240"/>
    <mergeCell ref="B241:C241"/>
    <mergeCell ref="B242:C242"/>
    <mergeCell ref="B243:C243"/>
    <mergeCell ref="B245:C245"/>
    <mergeCell ref="B246:C246"/>
    <mergeCell ref="E239:I239"/>
    <mergeCell ref="E240:I240"/>
  </mergeCells>
  <conditionalFormatting sqref="H53">
    <cfRule type="expression" dxfId="105" priority="15">
      <formula>AND(#REF!="Actuals",#REF!="Forecast")</formula>
    </cfRule>
  </conditionalFormatting>
  <conditionalFormatting sqref="H54:N54">
    <cfRule type="expression" dxfId="104" priority="14">
      <formula>AND(#REF!="Actuals",#REF!="Forecast")</formula>
    </cfRule>
  </conditionalFormatting>
  <conditionalFormatting sqref="C89:I89">
    <cfRule type="expression" dxfId="103" priority="10">
      <formula>AND(#REF!="Actuals",#REF!="Forecast")</formula>
    </cfRule>
  </conditionalFormatting>
  <conditionalFormatting sqref="O53">
    <cfRule type="expression" dxfId="102" priority="4">
      <formula>AND(#REF!="Actuals",#REF!="Forecast")</formula>
    </cfRule>
  </conditionalFormatting>
  <conditionalFormatting sqref="O54:U54">
    <cfRule type="expression" dxfId="101" priority="3">
      <formula>AND(#REF!="Actuals",#REF!="Forecast")</formula>
    </cfRule>
  </conditionalFormatting>
  <pageMargins left="0.7" right="0.7" top="0.75" bottom="0.75" header="0.3" footer="0.3"/>
  <pageSetup paperSize="9" orientation="portrait" r:id="rId1"/>
  <customProperties>
    <customPr name="_pios_id" r:id="rId2"/>
  </customProperties>
  <extLst>
    <ext xmlns:x14="http://schemas.microsoft.com/office/spreadsheetml/2009/9/main" uri="{78C0D931-6437-407d-A8EE-F0AAD7539E65}">
      <x14:conditionalFormattings>
        <x14:conditionalFormatting xmlns:xm="http://schemas.microsoft.com/office/excel/2006/main">
          <x14:cfRule type="expression" priority="18" id="{FAB975EA-77B5-47ED-B7AC-B8CAF74E8714}">
            <xm:f>AND('RFPR cover'!A$7="Actuals",'RFPR cover'!B$7="Forecast")</xm:f>
            <x14:dxf>
              <border>
                <right style="thin">
                  <color auto="1"/>
                </right>
                <vertical/>
                <horizontal/>
              </border>
            </x14:dxf>
          </x14:cfRule>
          <xm:sqref>C35:J35 C46:J46 D25:K25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showGridLines="0" zoomScale="80" zoomScaleNormal="80" workbookViewId="0">
      <pane ySplit="3" topLeftCell="A4" activePane="bottomLeft" state="frozen"/>
      <selection activeCell="B26" sqref="B26"/>
      <selection pane="bottomLeft" activeCell="B3" sqref="B3"/>
    </sheetView>
  </sheetViews>
  <sheetFormatPr defaultRowHeight="12.4"/>
  <cols>
    <col min="1" max="1" width="8.3515625" customWidth="1"/>
    <col min="2" max="2" width="23.76171875" customWidth="1"/>
    <col min="3" max="3" width="25.76171875" customWidth="1"/>
    <col min="4" max="4" width="9.76171875" customWidth="1"/>
  </cols>
  <sheetData>
    <row r="1" spans="1:13" ht="20.65">
      <c r="A1" s="288" t="s">
        <v>156</v>
      </c>
      <c r="B1" s="288"/>
      <c r="C1" s="288"/>
      <c r="D1" s="288"/>
      <c r="E1" s="288"/>
      <c r="F1" s="288"/>
      <c r="G1" s="288"/>
      <c r="H1" s="288"/>
      <c r="I1" s="18" t="s">
        <v>157</v>
      </c>
      <c r="J1" s="19"/>
      <c r="K1" s="19"/>
      <c r="L1" s="19"/>
      <c r="M1" s="19"/>
    </row>
    <row r="2" spans="1:13" ht="20.65">
      <c r="A2" s="293" t="str">
        <f>Licensee</f>
        <v>Cadent-WM</v>
      </c>
      <c r="B2" s="288"/>
      <c r="C2" s="288"/>
      <c r="D2" s="288"/>
      <c r="E2" s="288"/>
      <c r="F2" s="288"/>
      <c r="G2" s="288"/>
      <c r="H2" s="288"/>
      <c r="I2" s="19"/>
      <c r="J2" s="19"/>
      <c r="K2" s="19"/>
      <c r="L2" s="19"/>
      <c r="M2" s="19"/>
    </row>
    <row r="3" spans="1:13" ht="20.65">
      <c r="A3" s="288">
        <f>Reporting_Year</f>
        <v>2022</v>
      </c>
      <c r="B3" s="288"/>
      <c r="C3" s="288"/>
      <c r="D3" s="288"/>
      <c r="E3" s="288"/>
      <c r="F3" s="288"/>
      <c r="G3" s="288"/>
      <c r="H3" s="288"/>
      <c r="I3" s="19"/>
      <c r="J3" s="19"/>
      <c r="K3" s="19"/>
      <c r="L3" s="19"/>
      <c r="M3" s="19"/>
    </row>
    <row r="4" spans="1:13">
      <c r="A4" s="13"/>
      <c r="B4" s="13"/>
      <c r="C4" s="13"/>
      <c r="D4" s="13"/>
      <c r="E4" s="13"/>
      <c r="F4" s="13"/>
      <c r="G4" s="13"/>
      <c r="H4" s="13"/>
      <c r="I4" s="13"/>
      <c r="J4" s="13"/>
      <c r="K4" s="13"/>
      <c r="L4" s="13"/>
      <c r="M4" s="13"/>
    </row>
    <row r="5" spans="1:13">
      <c r="A5" s="13"/>
      <c r="B5" s="13"/>
      <c r="C5" s="13"/>
      <c r="D5" s="13"/>
      <c r="E5" s="13"/>
      <c r="F5" s="13"/>
      <c r="G5" s="13"/>
      <c r="H5" s="13"/>
      <c r="I5" s="13"/>
      <c r="J5" s="13"/>
      <c r="K5" s="13"/>
      <c r="L5" s="13"/>
      <c r="M5" s="13"/>
    </row>
    <row r="6" spans="1:13">
      <c r="A6" s="13"/>
      <c r="B6" s="14" t="s">
        <v>158</v>
      </c>
      <c r="C6" s="13"/>
      <c r="D6" s="13"/>
      <c r="E6" s="13"/>
      <c r="F6" s="13"/>
      <c r="G6" s="13"/>
      <c r="H6" s="13"/>
      <c r="I6" s="13"/>
      <c r="J6" s="13"/>
      <c r="K6" s="13"/>
      <c r="L6" s="13"/>
      <c r="M6" s="13"/>
    </row>
    <row r="7" spans="1:13">
      <c r="A7" s="13"/>
      <c r="B7" s="13"/>
      <c r="C7" s="13"/>
      <c r="D7" s="13"/>
      <c r="E7" s="13"/>
      <c r="F7" s="13"/>
      <c r="G7" s="13"/>
      <c r="H7" s="13"/>
      <c r="I7" s="13"/>
      <c r="J7" s="13"/>
      <c r="K7" s="13"/>
      <c r="L7" s="13"/>
      <c r="M7" s="13"/>
    </row>
    <row r="8" spans="1:13">
      <c r="A8" s="13"/>
      <c r="B8" s="572" t="s">
        <v>159</v>
      </c>
      <c r="C8" s="572" t="s">
        <v>160</v>
      </c>
      <c r="D8" s="845" t="s">
        <v>161</v>
      </c>
      <c r="E8" s="846"/>
      <c r="F8" s="846"/>
      <c r="G8" s="846"/>
      <c r="H8" s="846"/>
      <c r="I8" s="13"/>
      <c r="J8" s="13"/>
      <c r="K8" s="13"/>
      <c r="L8" s="13"/>
      <c r="M8" s="13"/>
    </row>
    <row r="9" spans="1:13">
      <c r="A9" s="13"/>
      <c r="B9" s="573" t="s">
        <v>162</v>
      </c>
      <c r="C9" s="574" t="s">
        <v>163</v>
      </c>
      <c r="D9" s="843"/>
      <c r="E9" s="844"/>
      <c r="F9" s="844"/>
      <c r="G9" s="844"/>
      <c r="H9" s="844"/>
      <c r="I9" s="13"/>
      <c r="J9" s="13"/>
      <c r="K9" s="13"/>
      <c r="L9" s="13"/>
      <c r="M9" s="13"/>
    </row>
    <row r="10" spans="1:13">
      <c r="A10" s="13"/>
      <c r="B10" s="573" t="s">
        <v>164</v>
      </c>
      <c r="C10" s="574"/>
      <c r="D10" s="843"/>
      <c r="E10" s="844"/>
      <c r="F10" s="844"/>
      <c r="G10" s="844"/>
      <c r="H10" s="844"/>
      <c r="I10" s="13"/>
      <c r="J10" s="13"/>
      <c r="K10" s="13"/>
      <c r="L10" s="13"/>
      <c r="M10" s="13"/>
    </row>
    <row r="11" spans="1:13">
      <c r="A11" s="13"/>
      <c r="B11" s="573" t="s">
        <v>165</v>
      </c>
      <c r="C11" s="574"/>
      <c r="D11" s="843"/>
      <c r="E11" s="844"/>
      <c r="F11" s="844"/>
      <c r="G11" s="844"/>
      <c r="H11" s="844"/>
      <c r="I11" s="13"/>
      <c r="J11" s="13"/>
      <c r="K11" s="13"/>
      <c r="L11" s="13"/>
      <c r="M11" s="13"/>
    </row>
    <row r="12" spans="1:13">
      <c r="A12" s="13"/>
      <c r="B12" s="573" t="s">
        <v>166</v>
      </c>
      <c r="C12" s="574"/>
      <c r="D12" s="843"/>
      <c r="E12" s="844"/>
      <c r="F12" s="844"/>
      <c r="G12" s="844"/>
      <c r="H12" s="844"/>
      <c r="I12" s="13"/>
      <c r="J12" s="13"/>
      <c r="K12" s="13"/>
      <c r="L12" s="13"/>
      <c r="M12" s="13"/>
    </row>
    <row r="13" spans="1:13">
      <c r="A13" s="13"/>
      <c r="B13" s="573" t="s">
        <v>167</v>
      </c>
      <c r="C13" s="574"/>
      <c r="D13" s="843"/>
      <c r="E13" s="844"/>
      <c r="F13" s="844"/>
      <c r="G13" s="844"/>
      <c r="H13" s="844"/>
      <c r="I13" s="13"/>
      <c r="J13" s="13"/>
      <c r="K13" s="13"/>
      <c r="L13" s="13"/>
      <c r="M13" s="13"/>
    </row>
    <row r="14" spans="1:13">
      <c r="A14" s="13"/>
      <c r="B14" s="573" t="s">
        <v>168</v>
      </c>
      <c r="C14" s="574"/>
      <c r="D14" s="843"/>
      <c r="E14" s="844"/>
      <c r="F14" s="844"/>
      <c r="G14" s="844"/>
      <c r="H14" s="844"/>
      <c r="I14" s="13"/>
      <c r="J14" s="13"/>
      <c r="K14" s="13"/>
      <c r="L14" s="13"/>
      <c r="M14" s="13"/>
    </row>
    <row r="15" spans="1:13">
      <c r="A15" s="13"/>
      <c r="B15" s="573" t="s">
        <v>169</v>
      </c>
      <c r="C15" s="574"/>
      <c r="D15" s="843"/>
      <c r="E15" s="844"/>
      <c r="F15" s="844"/>
      <c r="G15" s="844"/>
      <c r="H15" s="844"/>
      <c r="I15" s="13"/>
      <c r="J15" s="13"/>
      <c r="K15" s="13"/>
      <c r="L15" s="13"/>
      <c r="M15" s="13"/>
    </row>
    <row r="16" spans="1:13">
      <c r="A16" s="13"/>
      <c r="B16" s="573" t="s">
        <v>170</v>
      </c>
      <c r="C16" s="574"/>
      <c r="D16" s="843"/>
      <c r="E16" s="844"/>
      <c r="F16" s="844"/>
      <c r="G16" s="844"/>
      <c r="H16" s="844"/>
      <c r="I16" s="13"/>
      <c r="J16" s="13"/>
      <c r="K16" s="13"/>
      <c r="L16" s="13"/>
      <c r="M16" s="13"/>
    </row>
    <row r="17" spans="1:13">
      <c r="A17" s="13"/>
      <c r="B17" s="573" t="s">
        <v>171</v>
      </c>
      <c r="C17" s="574"/>
      <c r="D17" s="843"/>
      <c r="E17" s="844"/>
      <c r="F17" s="844"/>
      <c r="G17" s="844"/>
      <c r="H17" s="844"/>
      <c r="I17" s="13"/>
      <c r="J17" s="13"/>
      <c r="K17" s="13"/>
      <c r="L17" s="13"/>
      <c r="M17" s="13"/>
    </row>
    <row r="18" spans="1:13">
      <c r="A18" s="13"/>
      <c r="B18" s="573" t="s">
        <v>172</v>
      </c>
      <c r="C18" s="574"/>
      <c r="D18" s="843"/>
      <c r="E18" s="844"/>
      <c r="F18" s="844"/>
      <c r="G18" s="844"/>
      <c r="H18" s="844"/>
      <c r="I18" s="13"/>
      <c r="J18" s="13"/>
      <c r="K18" s="13"/>
      <c r="L18" s="13"/>
      <c r="M18" s="13"/>
    </row>
    <row r="19" spans="1:13">
      <c r="A19" s="13"/>
      <c r="B19" s="13"/>
      <c r="C19" s="13"/>
      <c r="D19" s="13"/>
      <c r="E19" s="13"/>
      <c r="F19" s="13"/>
      <c r="G19" s="13"/>
      <c r="H19" s="13"/>
      <c r="I19" s="13"/>
      <c r="J19" s="13"/>
      <c r="K19" s="13"/>
      <c r="L19" s="13"/>
      <c r="M19" s="13"/>
    </row>
    <row r="20" spans="1:13">
      <c r="A20" s="13"/>
      <c r="B20" s="88"/>
      <c r="C20" s="13"/>
      <c r="D20" s="13"/>
      <c r="E20" s="13"/>
      <c r="F20" s="13"/>
      <c r="G20" s="13"/>
      <c r="H20" s="13"/>
      <c r="I20" s="13"/>
      <c r="J20" s="13"/>
      <c r="K20" s="13"/>
      <c r="L20" s="13"/>
    </row>
    <row r="21" spans="1:13">
      <c r="A21" s="13"/>
      <c r="B21" s="125" t="s">
        <v>173</v>
      </c>
      <c r="C21" s="13"/>
      <c r="D21" s="13"/>
      <c r="E21" s="13"/>
      <c r="F21" s="13"/>
      <c r="G21" s="13"/>
      <c r="H21" s="13"/>
      <c r="I21" s="13"/>
      <c r="J21" s="13"/>
      <c r="K21" s="13"/>
      <c r="L21" s="13"/>
    </row>
    <row r="22" spans="1:13">
      <c r="A22" s="13"/>
      <c r="B22" s="125" t="s">
        <v>174</v>
      </c>
      <c r="C22" s="13"/>
      <c r="D22" s="13"/>
      <c r="E22" s="13"/>
      <c r="F22" s="13"/>
      <c r="G22" s="13"/>
      <c r="H22" s="13"/>
      <c r="I22" s="13"/>
      <c r="J22" s="13"/>
      <c r="K22" s="13"/>
      <c r="L22" s="13"/>
    </row>
    <row r="23" spans="1:13">
      <c r="A23" s="13"/>
      <c r="B23" s="125" t="s">
        <v>175</v>
      </c>
      <c r="C23" s="13"/>
      <c r="D23" s="13"/>
      <c r="E23" s="13"/>
      <c r="F23" s="13"/>
      <c r="G23" s="13"/>
      <c r="H23" s="13"/>
      <c r="I23" s="13"/>
      <c r="J23" s="13"/>
      <c r="K23" s="13"/>
      <c r="L23" s="13"/>
    </row>
    <row r="24" spans="1:13">
      <c r="B24" s="125" t="s">
        <v>176</v>
      </c>
    </row>
    <row r="25" spans="1:13">
      <c r="B25" s="125" t="s">
        <v>177</v>
      </c>
    </row>
    <row r="26" spans="1:13">
      <c r="B26" s="125" t="s">
        <v>178</v>
      </c>
    </row>
    <row r="27" spans="1:13">
      <c r="B27" s="125" t="s">
        <v>179</v>
      </c>
    </row>
    <row r="28" spans="1:13">
      <c r="B28" s="125" t="s">
        <v>180</v>
      </c>
    </row>
    <row r="29" spans="1:13">
      <c r="B29" s="125" t="s">
        <v>181</v>
      </c>
    </row>
    <row r="30" spans="1:13">
      <c r="B30" s="125" t="s">
        <v>182</v>
      </c>
    </row>
    <row r="31" spans="1:13">
      <c r="B31" s="525" t="s">
        <v>183</v>
      </c>
    </row>
    <row r="32" spans="1:13">
      <c r="B32" s="125" t="s">
        <v>184</v>
      </c>
    </row>
    <row r="33" spans="2:5">
      <c r="B33" s="125" t="s">
        <v>185</v>
      </c>
    </row>
    <row r="35" spans="2:5">
      <c r="E35" s="125"/>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c to Revenue and Profit'!A1" display="R2 - Rec to Revenue and Profit" xr:uid="{00000000-0004-0000-0200-000001000000}"/>
    <hyperlink ref="B23" location="'R3 - Totex - Reconciliation'!A1" display="R3 - Totex - Reconciliation" xr:uid="{00000000-0004-0000-0200-000002000000}"/>
    <hyperlink ref="B24" location="'R4 - Incentives and Other Rev'!A1" display="R4 - Incentives and Other Rev" xr:uid="{00000000-0004-0000-0200-000003000000}"/>
    <hyperlink ref="B25" location="'R5 - Financing'!A1" display="R5 - Financing" xr:uid="{00000000-0004-0000-0200-000004000000}"/>
    <hyperlink ref="B27" location="'R6 - Net Debt'!A1" display="R6 - Net Debt" xr:uid="{00000000-0004-0000-0200-000005000000}"/>
    <hyperlink ref="B29" location="'R7 - RAV'!A1" display="R7 - RAV" xr:uid="{00000000-0004-0000-0200-000006000000}"/>
    <hyperlink ref="B30" location="'R8 - Tax'!A1" display="R8 - Tax" xr:uid="{00000000-0004-0000-0200-000007000000}"/>
    <hyperlink ref="B26" location="'R5a - Financing input'!A1" display="R5a - Financing input" xr:uid="{00000000-0004-0000-0200-000008000000}"/>
    <hyperlink ref="B28" location="'R6a - Net Debt input'!A1" display="R6a - Net Debt input" xr:uid="{00000000-0004-0000-0200-000009000000}"/>
    <hyperlink ref="B32" location="'R9 - Corporate Governance'!A1" display="R9 - Corporate Governance" xr:uid="{00000000-0004-0000-0200-00000A000000}"/>
    <hyperlink ref="B33" location="'R10 - Pensions &amp; Oth Activities'!A1" display="R10 - Pensions &amp; other Activities" xr:uid="{00000000-0004-0000-0200-00000B000000}"/>
    <hyperlink ref="B31" location="'R8a - Tax Reconciliation'!A1" display="R8a - Tax Reconciliation" xr:uid="{6D0E9797-CD83-4C8E-A7B6-E14DABE203E5}"/>
  </hyperlinks>
  <pageMargins left="0.70866141732283472" right="0.70866141732283472" top="0.74803149606299213" bottom="0.74803149606299213" header="0.31496062992125984" footer="0.31496062992125984"/>
  <pageSetup scale="77"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6" activePane="bottomLeft" state="frozen"/>
      <selection activeCell="D15" sqref="D15"/>
      <selection pane="bottomLeft" activeCell="A6" sqref="A6:C7"/>
    </sheetView>
  </sheetViews>
  <sheetFormatPr defaultRowHeight="12.4"/>
  <cols>
    <col min="1" max="1" width="19.1171875" bestFit="1" customWidth="1"/>
    <col min="2" max="2" width="12.1171875" bestFit="1" customWidth="1"/>
    <col min="3" max="3" width="104.1171875" customWidth="1"/>
    <col min="4" max="4" width="35.46875" customWidth="1"/>
  </cols>
  <sheetData>
    <row r="1" spans="1:4" ht="20.65">
      <c r="A1" s="16" t="s">
        <v>186</v>
      </c>
      <c r="B1" s="16"/>
      <c r="C1" s="16"/>
      <c r="D1" s="16"/>
    </row>
    <row r="2" spans="1:4" ht="20.65">
      <c r="A2" s="293" t="str">
        <f>Licensee</f>
        <v>Cadent-WM</v>
      </c>
      <c r="B2" s="16"/>
      <c r="C2" s="16"/>
      <c r="D2" s="16"/>
    </row>
    <row r="3" spans="1:4" ht="20.65">
      <c r="A3" s="288">
        <f>Reporting_Year</f>
        <v>2022</v>
      </c>
      <c r="B3" s="16"/>
      <c r="C3" s="16"/>
      <c r="D3" s="16"/>
    </row>
    <row r="4" spans="1:4" ht="20.65">
      <c r="A4" s="264"/>
      <c r="B4" s="264"/>
      <c r="C4" s="264"/>
      <c r="D4" s="264"/>
    </row>
    <row r="5" spans="1:4" ht="27.75">
      <c r="A5" s="261" t="s">
        <v>187</v>
      </c>
      <c r="B5" s="262" t="s">
        <v>188</v>
      </c>
      <c r="C5" s="263" t="s">
        <v>189</v>
      </c>
    </row>
    <row r="6" spans="1:4">
      <c r="A6" s="132">
        <v>1.1000000000000001</v>
      </c>
      <c r="B6" s="267" t="s">
        <v>707</v>
      </c>
      <c r="C6" s="269" t="s">
        <v>708</v>
      </c>
    </row>
    <row r="7" spans="1:4" ht="24.75">
      <c r="A7" s="132">
        <v>1.2</v>
      </c>
      <c r="B7" s="267" t="s">
        <v>709</v>
      </c>
      <c r="C7" s="269" t="s">
        <v>710</v>
      </c>
    </row>
    <row r="8" spans="1:4">
      <c r="A8" s="132"/>
      <c r="B8" s="267"/>
      <c r="C8" s="269"/>
    </row>
    <row r="9" spans="1:4">
      <c r="A9" s="132"/>
      <c r="B9" s="267"/>
      <c r="C9" s="269"/>
    </row>
    <row r="10" spans="1:4" ht="34.15" customHeight="1">
      <c r="A10" s="132"/>
      <c r="B10" s="267"/>
      <c r="C10" s="269"/>
    </row>
    <row r="11" spans="1:4">
      <c r="A11" s="132"/>
      <c r="B11" s="267"/>
      <c r="C11" s="269"/>
    </row>
    <row r="12" spans="1:4">
      <c r="A12" s="132"/>
      <c r="B12" s="267"/>
      <c r="C12" s="269"/>
    </row>
    <row r="13" spans="1:4">
      <c r="A13" s="132"/>
      <c r="B13" s="267"/>
      <c r="C13" s="269"/>
    </row>
    <row r="14" spans="1:4">
      <c r="A14" s="132"/>
      <c r="B14" s="267"/>
      <c r="C14" s="269"/>
    </row>
    <row r="15" spans="1:4">
      <c r="A15" s="132"/>
      <c r="B15" s="267"/>
      <c r="C15" s="269"/>
    </row>
    <row r="16" spans="1:4">
      <c r="A16" s="132"/>
      <c r="B16" s="267"/>
      <c r="C16" s="269"/>
    </row>
    <row r="17" spans="1:3">
      <c r="A17" s="132"/>
      <c r="B17" s="267"/>
      <c r="C17" s="269"/>
    </row>
    <row r="18" spans="1:3">
      <c r="A18" s="132"/>
      <c r="B18" s="267"/>
      <c r="C18" s="269"/>
    </row>
    <row r="19" spans="1:3">
      <c r="A19" s="132"/>
      <c r="B19" s="267"/>
      <c r="C19" s="269"/>
    </row>
    <row r="20" spans="1:3">
      <c r="A20" s="132"/>
      <c r="B20" s="267"/>
      <c r="C20" s="269"/>
    </row>
    <row r="21" spans="1:3">
      <c r="A21" s="133"/>
      <c r="B21" s="265"/>
      <c r="C21" s="126"/>
    </row>
    <row r="22" spans="1:3">
      <c r="A22" s="133"/>
      <c r="B22" s="265"/>
      <c r="C22" s="126"/>
    </row>
    <row r="23" spans="1:3">
      <c r="A23" s="133"/>
      <c r="B23" s="133"/>
      <c r="C23" s="126"/>
    </row>
    <row r="24" spans="1:3">
      <c r="A24" s="133"/>
      <c r="B24" s="265"/>
      <c r="C24" s="126"/>
    </row>
    <row r="25" spans="1:3">
      <c r="A25" s="133"/>
      <c r="B25" s="265"/>
      <c r="C25" s="126"/>
    </row>
    <row r="26" spans="1:3" ht="12.75" thickBot="1">
      <c r="A26" s="301"/>
      <c r="B26" s="302"/>
      <c r="C26" s="303"/>
    </row>
    <row r="27" spans="1:3">
      <c r="A27" s="298"/>
      <c r="B27" s="299"/>
      <c r="C27" s="300"/>
    </row>
    <row r="28" spans="1:3">
      <c r="A28" s="298"/>
      <c r="B28" s="265"/>
      <c r="C28" s="126"/>
    </row>
    <row r="29" spans="1:3">
      <c r="A29" s="133"/>
      <c r="B29" s="265"/>
      <c r="C29" s="126"/>
    </row>
    <row r="30" spans="1:3">
      <c r="A30" s="133"/>
      <c r="B30" s="265"/>
      <c r="C30" s="126"/>
    </row>
    <row r="31" spans="1:3">
      <c r="A31" s="133"/>
      <c r="B31" s="265"/>
      <c r="C31" s="126"/>
    </row>
    <row r="32" spans="1:3">
      <c r="A32" s="133"/>
      <c r="B32" s="265"/>
      <c r="C32" s="273"/>
    </row>
    <row r="33" spans="1:3">
      <c r="A33" s="133"/>
      <c r="B33" s="265"/>
      <c r="C33" s="126"/>
    </row>
    <row r="34" spans="1:3">
      <c r="A34" s="133"/>
      <c r="B34" s="265"/>
      <c r="C34" s="126"/>
    </row>
    <row r="35" spans="1:3">
      <c r="A35" s="134"/>
      <c r="B35" s="265"/>
      <c r="C35" s="126"/>
    </row>
    <row r="36" spans="1:3">
      <c r="A36" s="134"/>
      <c r="B36" s="274"/>
      <c r="C36" s="126"/>
    </row>
    <row r="37" spans="1:3">
      <c r="A37" s="134"/>
      <c r="B37" s="274"/>
      <c r="C37" s="126"/>
    </row>
    <row r="38" spans="1:3">
      <c r="A38" s="134"/>
      <c r="B38" s="274"/>
      <c r="C38" s="126"/>
    </row>
    <row r="39" spans="1:3">
      <c r="A39" s="134"/>
      <c r="B39" s="274"/>
      <c r="C39" s="126"/>
    </row>
    <row r="40" spans="1:3">
      <c r="A40" s="133"/>
      <c r="B40" s="274"/>
      <c r="C40" s="126"/>
    </row>
    <row r="41" spans="1:3">
      <c r="A41" s="134"/>
      <c r="B41" s="274"/>
      <c r="C41" s="126"/>
    </row>
    <row r="42" spans="1:3">
      <c r="A42" s="134"/>
      <c r="B42" s="274"/>
      <c r="C42" s="126"/>
    </row>
    <row r="43" spans="1:3">
      <c r="A43" s="134"/>
      <c r="B43" s="274"/>
      <c r="C43" s="126"/>
    </row>
    <row r="44" spans="1:3">
      <c r="A44" s="134"/>
      <c r="B44" s="265"/>
      <c r="C44" s="126"/>
    </row>
    <row r="45" spans="1:3">
      <c r="A45" s="134"/>
      <c r="B45" s="265"/>
      <c r="C45" s="126"/>
    </row>
    <row r="46" spans="1:3">
      <c r="A46" s="134"/>
      <c r="B46" s="265"/>
      <c r="C46" s="126"/>
    </row>
    <row r="47" spans="1:3">
      <c r="A47" s="134"/>
      <c r="B47" s="265"/>
      <c r="C47" s="126"/>
    </row>
    <row r="48" spans="1:3">
      <c r="A48" s="134"/>
      <c r="B48" s="265"/>
      <c r="C48" s="126"/>
    </row>
    <row r="49" spans="1:3">
      <c r="A49" s="134"/>
      <c r="B49" s="265"/>
      <c r="C49" s="126"/>
    </row>
    <row r="50" spans="1:3">
      <c r="A50" s="134"/>
      <c r="B50" s="265"/>
      <c r="C50" s="126"/>
    </row>
    <row r="51" spans="1:3">
      <c r="A51" s="134"/>
      <c r="B51" s="265"/>
      <c r="C51" s="126"/>
    </row>
    <row r="52" spans="1:3">
      <c r="A52" s="134"/>
      <c r="B52" s="265"/>
      <c r="C52" s="126"/>
    </row>
    <row r="53" spans="1:3">
      <c r="A53" s="134"/>
      <c r="B53" s="265"/>
      <c r="C53" s="126"/>
    </row>
    <row r="54" spans="1:3">
      <c r="A54" s="134"/>
      <c r="B54" s="278"/>
      <c r="C54" s="279"/>
    </row>
    <row r="55" spans="1:3">
      <c r="A55" s="134"/>
      <c r="B55" s="265"/>
      <c r="C55" s="126"/>
    </row>
    <row r="56" spans="1:3">
      <c r="A56" s="134"/>
      <c r="B56" s="265"/>
      <c r="C56" s="126"/>
    </row>
    <row r="57" spans="1:3">
      <c r="A57" s="134"/>
      <c r="B57" s="265"/>
      <c r="C57" s="126"/>
    </row>
    <row r="58" spans="1:3">
      <c r="A58" s="134"/>
      <c r="B58" s="265"/>
      <c r="C58" s="126"/>
    </row>
    <row r="59" spans="1:3">
      <c r="A59" s="134"/>
      <c r="B59" s="265"/>
      <c r="C59" s="273"/>
    </row>
    <row r="60" spans="1:3">
      <c r="A60" s="135"/>
      <c r="B60" s="266"/>
      <c r="C60" s="127"/>
    </row>
    <row r="61" spans="1:3">
      <c r="A61" s="135"/>
      <c r="B61" s="266"/>
      <c r="C61" s="127"/>
    </row>
    <row r="62" spans="1:3">
      <c r="A62" s="135"/>
      <c r="B62" s="266"/>
      <c r="C62" s="127"/>
    </row>
    <row r="63" spans="1:3">
      <c r="A63" s="135"/>
      <c r="B63" s="266"/>
      <c r="C63" s="127"/>
    </row>
    <row r="64" spans="1:3">
      <c r="A64" s="135"/>
      <c r="B64" s="266"/>
      <c r="C64" s="127"/>
    </row>
    <row r="65" spans="1:3">
      <c r="A65" s="135"/>
      <c r="B65" s="266"/>
      <c r="C65" s="127"/>
    </row>
    <row r="66" spans="1:3">
      <c r="A66" s="135"/>
      <c r="B66" s="266"/>
      <c r="C66" s="127"/>
    </row>
    <row r="67" spans="1:3">
      <c r="A67" s="135"/>
      <c r="B67" s="266"/>
      <c r="C67" s="127"/>
    </row>
  </sheetData>
  <phoneticPr fontId="251" type="noConversion"/>
  <pageMargins left="0.70866141732283472" right="0.70866141732283472" top="0.74803149606299213" bottom="0.74803149606299213" header="0.31496062992125984" footer="0.31496062992125984"/>
  <pageSetup paperSize="8" scale="84"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T94"/>
  <sheetViews>
    <sheetView showGridLines="0" zoomScale="77" zoomScaleNormal="100" workbookViewId="0">
      <pane ySplit="7" topLeftCell="A8" activePane="bottomLeft" state="frozen"/>
      <selection pane="bottomLeft" activeCell="N57" sqref="N57"/>
    </sheetView>
  </sheetViews>
  <sheetFormatPr defaultRowHeight="12.4"/>
  <cols>
    <col min="1" max="1" width="8.3515625" customWidth="1"/>
    <col min="2" max="2" width="63.3515625" style="88" customWidth="1"/>
    <col min="3" max="3" width="13.3515625" customWidth="1"/>
    <col min="4" max="4" width="10.64453125" bestFit="1" customWidth="1"/>
    <col min="5" max="5" width="10.87890625" bestFit="1" customWidth="1"/>
    <col min="6" max="8" width="9.1171875" customWidth="1"/>
    <col min="9" max="9" width="2.64453125" customWidth="1"/>
    <col min="10" max="11" width="13.76171875" customWidth="1"/>
    <col min="12" max="12" width="5.1171875" customWidth="1"/>
    <col min="16" max="16" width="10.46875" bestFit="1" customWidth="1"/>
  </cols>
  <sheetData>
    <row r="1" spans="1:20" ht="20.65">
      <c r="A1" s="776" t="s">
        <v>190</v>
      </c>
      <c r="B1" s="394"/>
      <c r="C1" s="395"/>
      <c r="D1" s="395"/>
      <c r="E1" s="395"/>
      <c r="F1" s="395"/>
      <c r="G1" s="396"/>
      <c r="H1" s="396"/>
      <c r="I1" s="397"/>
      <c r="J1" s="397"/>
      <c r="K1" s="397"/>
      <c r="L1" s="780" t="s">
        <v>157</v>
      </c>
    </row>
    <row r="2" spans="1:20" ht="20.65">
      <c r="A2" s="293" t="str">
        <f>Licensee</f>
        <v>Cadent-WM</v>
      </c>
      <c r="B2" s="296"/>
      <c r="C2" s="288"/>
      <c r="D2" s="288"/>
      <c r="E2" s="288"/>
      <c r="F2" s="288"/>
      <c r="G2" s="16"/>
      <c r="H2" s="16"/>
      <c r="I2" s="15"/>
      <c r="J2" s="15"/>
      <c r="K2" s="15"/>
      <c r="L2" s="65"/>
    </row>
    <row r="3" spans="1:20" ht="20.65">
      <c r="A3" s="288">
        <f>Reporting_Year</f>
        <v>2022</v>
      </c>
      <c r="B3" s="16" t="str">
        <f>IF(Licensee=Data!$B$78,"Only required to be completed to show Operational Performance",IF(Licensee=Data!$B$81,"not required to be completed",""))</f>
        <v/>
      </c>
      <c r="C3" s="16"/>
      <c r="D3" s="16"/>
      <c r="E3" s="16"/>
      <c r="F3" s="16"/>
      <c r="G3" s="16"/>
      <c r="H3" s="575"/>
      <c r="I3" s="576"/>
      <c r="J3" s="576"/>
      <c r="K3" s="576"/>
      <c r="L3" s="119"/>
    </row>
    <row r="4" spans="1:20" ht="12.75" customHeight="1"/>
    <row r="5" spans="1:20">
      <c r="D5" s="151" t="str">
        <f t="shared" ref="D5:H5" si="0">IF(D6&lt;=Reporting_Year,"Actuals","Forecast")</f>
        <v>Actuals</v>
      </c>
      <c r="E5" s="151" t="str">
        <f t="shared" si="0"/>
        <v>Forecast</v>
      </c>
      <c r="F5" s="151" t="str">
        <f t="shared" si="0"/>
        <v>Forecast</v>
      </c>
      <c r="G5" s="151" t="str">
        <f t="shared" si="0"/>
        <v>Forecast</v>
      </c>
      <c r="H5" s="151" t="str">
        <f t="shared" si="0"/>
        <v>Forecast</v>
      </c>
      <c r="I5" s="2"/>
      <c r="J5" s="2"/>
    </row>
    <row r="6" spans="1:20" ht="31.5" customHeight="1">
      <c r="C6" s="79"/>
      <c r="D6" s="318">
        <f>RIIO_2_start_date</f>
        <v>2022</v>
      </c>
      <c r="E6" s="318">
        <f>D6+1</f>
        <v>2023</v>
      </c>
      <c r="F6" s="318">
        <f>E6+1</f>
        <v>2024</v>
      </c>
      <c r="G6" s="318">
        <f t="shared" ref="G6:H6" si="1">F6+1</f>
        <v>2025</v>
      </c>
      <c r="H6" s="318">
        <f t="shared" si="1"/>
        <v>2026</v>
      </c>
      <c r="I6" s="27"/>
      <c r="J6" s="49" t="str">
        <f>"Cumulative to "&amp;'RFPR cover'!$C$9</f>
        <v>Cumulative to 2022</v>
      </c>
      <c r="K6" s="86" t="s">
        <v>191</v>
      </c>
    </row>
    <row r="7" spans="1:20">
      <c r="C7" s="7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c r="I7" s="79"/>
      <c r="J7" s="79"/>
      <c r="K7" s="79"/>
      <c r="L7" s="79"/>
    </row>
    <row r="8" spans="1:20">
      <c r="C8" s="88"/>
      <c r="D8" s="88"/>
      <c r="E8" s="88"/>
      <c r="F8" s="88"/>
      <c r="G8" s="88"/>
      <c r="H8" s="88"/>
      <c r="I8" s="88"/>
      <c r="J8" s="88"/>
      <c r="K8" s="88"/>
      <c r="L8" s="88"/>
      <c r="M8" s="88"/>
      <c r="N8" s="88"/>
      <c r="O8" s="88"/>
      <c r="P8" s="88"/>
      <c r="Q8" s="88"/>
      <c r="R8" s="88"/>
      <c r="S8" s="88"/>
      <c r="T8" s="88"/>
    </row>
    <row r="9" spans="1:20">
      <c r="B9" s="187" t="s">
        <v>192</v>
      </c>
      <c r="C9" s="98"/>
      <c r="D9" s="98"/>
      <c r="E9" s="98"/>
      <c r="F9" s="98"/>
      <c r="G9" s="98"/>
      <c r="H9" s="98"/>
      <c r="I9" s="188"/>
      <c r="J9" s="98"/>
      <c r="K9" s="98"/>
      <c r="L9" s="98"/>
    </row>
    <row r="10" spans="1:20">
      <c r="B10" s="89"/>
      <c r="I10" s="27"/>
    </row>
    <row r="11" spans="1:20">
      <c r="B11" s="454" t="s">
        <v>193</v>
      </c>
      <c r="C11" s="453" t="s">
        <v>194</v>
      </c>
      <c r="D11" s="177">
        <f>IFERROR(Equity_Return_on_the_RAV/NPV_neutral_equity_element_of_RAV,0)</f>
        <v>4.5181881000000007E-2</v>
      </c>
      <c r="E11" s="177">
        <f>IFERROR(Equity_Return_on_the_RAV/NPV_neutral_equity_element_of_RAV,0)</f>
        <v>4.5568105000000005E-2</v>
      </c>
      <c r="F11" s="177">
        <f>IFERROR(Equity_Return_on_the_RAV/NPV_neutral_equity_element_of_RAV,0)</f>
        <v>4.5399131999999995E-2</v>
      </c>
      <c r="G11" s="177">
        <f>IFERROR(Equity_Return_on_the_RAV/NPV_neutral_equity_element_of_RAV,0)</f>
        <v>4.5640522000000017E-2</v>
      </c>
      <c r="H11" s="177">
        <f>IFERROR(Equity_Return_on_the_RAV/NPV_neutral_equity_element_of_RAV,0)</f>
        <v>4.5833633999999998E-2</v>
      </c>
      <c r="I11" s="80"/>
      <c r="J11" s="178">
        <f>IFERROR(AVERAGE(D65:INDEX(D65:H65,0,MATCH('RFPR cover'!$C$9,$D$6:$H$6,0)))/AVERAGE($D$90:INDEX($D$90:$H$90,0,MATCH('RFPR cover'!$C$9,$D$6:$H$6,0))),0)</f>
        <v>4.5181881000000007E-2</v>
      </c>
      <c r="K11" s="178">
        <f t="shared" ref="K11:K21" si="2">IFERROR(AVERAGE(D65:H65)/AVERAGE($D$90:$H$90),0)</f>
        <v>4.5526383662813724E-2</v>
      </c>
    </row>
    <row r="12" spans="1:20">
      <c r="B12" s="454" t="str">
        <f t="shared" ref="B12:B18" si="3">B66</f>
        <v>Totex outperformance</v>
      </c>
      <c r="C12" s="453" t="s">
        <v>194</v>
      </c>
      <c r="D12" s="328">
        <f>IFERROR(Totex_outperformance/NPV_neutral_equity_element_of_RAV,0)</f>
        <v>1.6079308455834673E-2</v>
      </c>
      <c r="E12" s="328">
        <f>IFERROR(Totex_outperformance/NPV_neutral_equity_element_of_RAV,0)</f>
        <v>1.3607481107589012E-2</v>
      </c>
      <c r="F12" s="328">
        <f>IFERROR(Totex_outperformance/NPV_neutral_equity_element_of_RAV,0)</f>
        <v>8.8050771822446739E-3</v>
      </c>
      <c r="G12" s="328">
        <f>IFERROR(Totex_outperformance/NPV_neutral_equity_element_of_RAV,0)</f>
        <v>2.7201590839676304E-3</v>
      </c>
      <c r="H12" s="328">
        <f>IFERROR(Totex_outperformance/NPV_neutral_equity_element_of_RAV,0)</f>
        <v>6.2034302013668201E-3</v>
      </c>
      <c r="I12" s="80"/>
      <c r="J12" s="178">
        <f>IFERROR(AVERAGE(D66:INDEX(D66:H66,0,MATCH('RFPR cover'!$C$9,$D$6:$H$6,0)))/AVERAGE($D$90:INDEX($D$90:$H$90,0,MATCH('RFPR cover'!$C$9,$D$6:$H$6,0))),0)</f>
        <v>1.6079308455834673E-2</v>
      </c>
      <c r="K12" s="178">
        <f t="shared" si="2"/>
        <v>9.4416187483783425E-3</v>
      </c>
      <c r="M12" s="80"/>
    </row>
    <row r="13" spans="1:20">
      <c r="A13" s="78" t="s">
        <v>195</v>
      </c>
      <c r="B13" s="454" t="str">
        <f t="shared" si="3"/>
        <v>Business Plan Incentive</v>
      </c>
      <c r="C13" s="453" t="s">
        <v>194</v>
      </c>
      <c r="D13" s="328">
        <f>IFERROR(Business_Plan_Incentive/NPV_neutral_equity_element_of_RAV,0)</f>
        <v>-1.0236930387648588E-5</v>
      </c>
      <c r="E13" s="328">
        <f>IFERROR(Business_Plan_Incentive/NPV_neutral_equity_element_of_RAV,0)</f>
        <v>-1.0136393712494553E-5</v>
      </c>
      <c r="F13" s="328">
        <f>IFERROR(Business_Plan_Incentive/NPV_neutral_equity_element_of_RAV,0)</f>
        <v>-1.0056974446273023E-5</v>
      </c>
      <c r="G13" s="328">
        <f>IFERROR(Business_Plan_Incentive/NPV_neutral_equity_element_of_RAV,0)</f>
        <v>-1.0007441891438682E-5</v>
      </c>
      <c r="H13" s="328">
        <f>IFERROR(Business_Plan_Incentive/NPV_neutral_equity_element_of_RAV,0)</f>
        <v>-9.9806304749430501E-6</v>
      </c>
      <c r="I13" s="80"/>
      <c r="J13" s="178">
        <f>IFERROR(AVERAGE(D67:INDEX(D67:H67,0,MATCH('RFPR cover'!$C$9,$D$6:$H$6,0)))/AVERAGE($D$90:INDEX($D$90:$H$90,0,MATCH('RFPR cover'!$C$9,$D$6:$H$6,0))),0)</f>
        <v>-1.0236930387648588E-5</v>
      </c>
      <c r="K13" s="178">
        <f t="shared" si="2"/>
        <v>-1.0082817449449649E-5</v>
      </c>
    </row>
    <row r="14" spans="1:20">
      <c r="A14" s="78" t="s">
        <v>196</v>
      </c>
      <c r="B14" s="454" t="str">
        <f t="shared" si="3"/>
        <v>Customer Satisfaction Survey ODI</v>
      </c>
      <c r="C14" s="453" t="s">
        <v>194</v>
      </c>
      <c r="D14" s="328">
        <f>IFERROR(ODI_1/NPV_neutral_equity_element_of_RAV,0)</f>
        <v>7.4266113550894189E-4</v>
      </c>
      <c r="E14" s="328">
        <f>IFERROR(ODI_1/NPV_neutral_equity_element_of_RAV,0)</f>
        <v>1.3059665195609773E-3</v>
      </c>
      <c r="F14" s="328">
        <f>IFERROR(ODI_1/NPV_neutral_equity_element_of_RAV,0)</f>
        <v>1.5529215077630433E-3</v>
      </c>
      <c r="G14" s="328">
        <f>IFERROR(ODI_1/NPV_neutral_equity_element_of_RAV,0)</f>
        <v>1.9203186402876804E-3</v>
      </c>
      <c r="H14" s="328">
        <f>IFERROR(ODI_1/NPV_neutral_equity_element_of_RAV,0)</f>
        <v>2.0455259677199149E-3</v>
      </c>
      <c r="I14" s="80"/>
      <c r="J14" s="178">
        <f>IFERROR(AVERAGE(D68:INDEX(D68:H68,0,MATCH('RFPR cover'!$C$9,$D$6:$H$6,0)))/AVERAGE($D$90:INDEX($D$90:$H$90,0,MATCH('RFPR cover'!$C$9,$D$6:$H$6,0))),0)</f>
        <v>7.4266113550894189E-4</v>
      </c>
      <c r="K14" s="178">
        <f t="shared" si="2"/>
        <v>1.5177415943196167E-3</v>
      </c>
    </row>
    <row r="15" spans="1:20">
      <c r="A15" s="78" t="s">
        <v>197</v>
      </c>
      <c r="B15" s="454" t="str">
        <f t="shared" si="3"/>
        <v>Complaints metric ODI</v>
      </c>
      <c r="C15" s="453" t="s">
        <v>194</v>
      </c>
      <c r="D15" s="328">
        <f>IFERROR(ODI_2/NPV_neutral_equity_element_of_RAV,0)</f>
        <v>0</v>
      </c>
      <c r="E15" s="328">
        <f>IFERROR(ODI_2/NPV_neutral_equity_element_of_RAV,0)</f>
        <v>0</v>
      </c>
      <c r="F15" s="328">
        <f>IFERROR(ODI_2/NPV_neutral_equity_element_of_RAV,0)</f>
        <v>0</v>
      </c>
      <c r="G15" s="328">
        <f>IFERROR(ODI_2/NPV_neutral_equity_element_of_RAV,0)</f>
        <v>0</v>
      </c>
      <c r="H15" s="328">
        <f>IFERROR(ODI_2/NPV_neutral_equity_element_of_RAV,0)</f>
        <v>0</v>
      </c>
      <c r="I15" s="80"/>
      <c r="J15" s="178">
        <f>IFERROR(AVERAGE(D69:INDEX(D69:H69,0,MATCH('RFPR cover'!$C$9,$D$6:$H$6,0)))/AVERAGE($D$90:INDEX($D$90:$H$90,0,MATCH('RFPR cover'!$C$9,$D$6:$H$6,0))),0)</f>
        <v>0</v>
      </c>
      <c r="K15" s="178">
        <f t="shared" si="2"/>
        <v>0</v>
      </c>
    </row>
    <row r="16" spans="1:20">
      <c r="A16" s="78" t="s">
        <v>198</v>
      </c>
      <c r="B16" s="454" t="str">
        <f t="shared" si="3"/>
        <v>Unplanned Interruption Mean Duration ODI [NGN, SGN and WWU]</v>
      </c>
      <c r="C16" s="453" t="s">
        <v>194</v>
      </c>
      <c r="D16" s="328">
        <f>IFERROR(ODI_3/NPV_neutral_equity_element_of_RAV,0)</f>
        <v>0</v>
      </c>
      <c r="E16" s="328">
        <f>IFERROR(ODI_3/NPV_neutral_equity_element_of_RAV,0)</f>
        <v>0</v>
      </c>
      <c r="F16" s="328">
        <f>IFERROR(ODI_3/NPV_neutral_equity_element_of_RAV,0)</f>
        <v>0</v>
      </c>
      <c r="G16" s="328">
        <f>IFERROR(ODI_3/NPV_neutral_equity_element_of_RAV,0)</f>
        <v>0</v>
      </c>
      <c r="H16" s="328">
        <f>IFERROR(ODI_3/NPV_neutral_equity_element_of_RAV,0)</f>
        <v>0</v>
      </c>
      <c r="I16" s="80"/>
      <c r="J16" s="178">
        <f>IFERROR(AVERAGE(D70:INDEX(D70:H70,0,MATCH('RFPR cover'!$C$9,$D$6:$H$6,0)))/AVERAGE($D$90:INDEX($D$90:$H$90,0,MATCH('RFPR cover'!$C$9,$D$6:$H$6,0))),0)</f>
        <v>0</v>
      </c>
      <c r="K16" s="178">
        <f t="shared" si="2"/>
        <v>0</v>
      </c>
    </row>
    <row r="17" spans="1:11">
      <c r="A17" s="78" t="s">
        <v>199</v>
      </c>
      <c r="B17" s="454" t="str">
        <f t="shared" si="3"/>
        <v>Unplanned Interruption Mean Duration ODI [Cadent only]</v>
      </c>
      <c r="C17" s="453" t="s">
        <v>194</v>
      </c>
      <c r="D17" s="328">
        <f>IFERROR(ODI_4/NPV_neutral_equity_element_of_RAV,0)</f>
        <v>0</v>
      </c>
      <c r="E17" s="328">
        <f>IFERROR(ODI_4/NPV_neutral_equity_element_of_RAV,0)</f>
        <v>0</v>
      </c>
      <c r="F17" s="328">
        <f>IFERROR(ODI_4/NPV_neutral_equity_element_of_RAV,0)</f>
        <v>0</v>
      </c>
      <c r="G17" s="328">
        <f>IFERROR(ODI_4/NPV_neutral_equity_element_of_RAV,0)</f>
        <v>0</v>
      </c>
      <c r="H17" s="328">
        <f>IFERROR(ODI_4/NPV_neutral_equity_element_of_RAV,0)</f>
        <v>0</v>
      </c>
      <c r="I17" s="80"/>
      <c r="J17" s="178">
        <f>IFERROR(AVERAGE(D71:INDEX(D71:H71,0,MATCH('RFPR cover'!$C$9,$D$6:$H$6,0)))/AVERAGE($D$90:INDEX($D$90:$H$90,0,MATCH('RFPR cover'!$C$9,$D$6:$H$6,0))),0)</f>
        <v>0</v>
      </c>
      <c r="K17" s="178">
        <f t="shared" si="2"/>
        <v>0</v>
      </c>
    </row>
    <row r="18" spans="1:11">
      <c r="A18" s="78" t="s">
        <v>200</v>
      </c>
      <c r="B18" s="454" t="str">
        <f t="shared" si="3"/>
        <v>Shrinkage Management ODI</v>
      </c>
      <c r="C18" s="453" t="s">
        <v>194</v>
      </c>
      <c r="D18" s="328">
        <f>IFERROR(ODI_5/NPV_neutral_equity_element_of_RAV,0)</f>
        <v>-6.7459911406184254E-6</v>
      </c>
      <c r="E18" s="328">
        <f>IFERROR(ODI_5/NPV_neutral_equity_element_of_RAV,0)</f>
        <v>0</v>
      </c>
      <c r="F18" s="328">
        <f>IFERROR(ODI_5/NPV_neutral_equity_element_of_RAV,0)</f>
        <v>0</v>
      </c>
      <c r="G18" s="328">
        <f>IFERROR(ODI_5/NPV_neutral_equity_element_of_RAV,0)</f>
        <v>0</v>
      </c>
      <c r="H18" s="328">
        <f>IFERROR(ODI_5/NPV_neutral_equity_element_of_RAV,0)</f>
        <v>0</v>
      </c>
      <c r="I18" s="80"/>
      <c r="J18" s="178">
        <f>IFERROR(AVERAGE(D72:INDEX(D72:H72,0,MATCH('RFPR cover'!$C$9,$D$6:$H$6,0)))/AVERAGE($D$90:INDEX($D$90:$H$90,0,MATCH('RFPR cover'!$C$9,$D$6:$H$6,0))),0)</f>
        <v>-6.7459911406184254E-6</v>
      </c>
      <c r="K18" s="178">
        <f t="shared" si="2"/>
        <v>-1.3288865824178764E-6</v>
      </c>
    </row>
    <row r="19" spans="1:11">
      <c r="A19" s="78" t="s">
        <v>201</v>
      </c>
      <c r="B19" s="454" t="str">
        <f>B73</f>
        <v>Collaborative streetworks ODI [Cadent Lon &amp; EoE, SGN So only]</v>
      </c>
      <c r="C19" s="453" t="s">
        <v>194</v>
      </c>
      <c r="D19" s="328">
        <f>IFERROR(ODI_6/NPV_neutral_equity_element_of_RAV,0)</f>
        <v>0</v>
      </c>
      <c r="E19" s="328">
        <f>IFERROR(ODI_6/NPV_neutral_equity_element_of_RAV,0)</f>
        <v>0</v>
      </c>
      <c r="F19" s="328">
        <f>IFERROR(ODI_6/NPV_neutral_equity_element_of_RAV,0)</f>
        <v>0</v>
      </c>
      <c r="G19" s="328">
        <f>IFERROR(ODI_6/NPV_neutral_equity_element_of_RAV,0)</f>
        <v>0</v>
      </c>
      <c r="H19" s="328">
        <f>IFERROR(ODI_6/NPV_neutral_equity_element_of_RAV,0)</f>
        <v>0</v>
      </c>
      <c r="I19" s="80"/>
      <c r="J19" s="178">
        <f>IFERROR(AVERAGE(D73:INDEX(D73:H73,0,MATCH('RFPR cover'!$C$9,$D$6:$H$6,0)))/AVERAGE($D$90:INDEX($D$90:$H$90,0,MATCH('RFPR cover'!$C$9,$D$6:$H$6,0))),0)</f>
        <v>0</v>
      </c>
      <c r="K19" s="178">
        <f t="shared" si="2"/>
        <v>0</v>
      </c>
    </row>
    <row r="20" spans="1:11">
      <c r="A20" s="78" t="s">
        <v>202</v>
      </c>
      <c r="B20" s="454" t="str">
        <f t="shared" ref="B20" si="4">B74</f>
        <v>Network innovation input for RORE</v>
      </c>
      <c r="C20" s="453" t="s">
        <v>194</v>
      </c>
      <c r="D20" s="328">
        <f>IFERROR(ORA_1/NPV_neutral_equity_element_of_RAV,0)</f>
        <v>-4.5753209094710818E-5</v>
      </c>
      <c r="E20" s="328">
        <f>IFERROR(ORA_1/NPV_neutral_equity_element_of_RAV,0)</f>
        <v>-2.0190625569532528E-4</v>
      </c>
      <c r="F20" s="328">
        <f>IFERROR(ORA_1/NPV_neutral_equity_element_of_RAV,0)</f>
        <v>-2.3297168521507083E-4</v>
      </c>
      <c r="G20" s="328">
        <f>IFERROR(ORA_1/NPV_neutral_equity_element_of_RAV,0)</f>
        <v>-2.3182425436154604E-4</v>
      </c>
      <c r="H20" s="328">
        <f>IFERROR(ORA_1/NPV_neutral_equity_element_of_RAV,0)</f>
        <v>-2.3120316290731592E-4</v>
      </c>
      <c r="I20" s="80"/>
      <c r="J20" s="178">
        <f>IFERROR(AVERAGE(D74:INDEX(D74:H74,0,MATCH('RFPR cover'!$C$9,$D$6:$H$6,0)))/AVERAGE($D$90:INDEX($D$90:$H$90,0,MATCH('RFPR cover'!$C$9,$D$6:$H$6,0))),0)</f>
        <v>-4.5753209094710818E-5</v>
      </c>
      <c r="K20" s="178">
        <f t="shared" si="2"/>
        <v>-1.8932290306780293E-4</v>
      </c>
    </row>
    <row r="21" spans="1:11">
      <c r="A21" s="78" t="s">
        <v>203</v>
      </c>
      <c r="B21" s="454" t="str">
        <f t="shared" ref="B21" si="5">B75</f>
        <v>Carry-over Network innovation input for RORE</v>
      </c>
      <c r="C21" s="453" t="s">
        <v>194</v>
      </c>
      <c r="D21" s="328">
        <f>IFERROR(ORA_2/NPV_neutral_equity_element_of_RAV,0)</f>
        <v>-8.0769773509108787E-5</v>
      </c>
      <c r="E21" s="328">
        <f>IFERROR(ORA_2/NPV_neutral_equity_element_of_RAV,0)</f>
        <v>0</v>
      </c>
      <c r="F21" s="328">
        <f>IFERROR(ORA_2/NPV_neutral_equity_element_of_RAV,0)</f>
        <v>0</v>
      </c>
      <c r="G21" s="328">
        <f>IFERROR(ORA_2/NPV_neutral_equity_element_of_RAV,0)</f>
        <v>0</v>
      </c>
      <c r="H21" s="328">
        <f>IFERROR(ORA_2/NPV_neutral_equity_element_of_RAV,0)</f>
        <v>0</v>
      </c>
      <c r="I21" s="80"/>
      <c r="J21" s="178">
        <f>IFERROR(AVERAGE(D75:INDEX(D75:H75,0,MATCH('RFPR cover'!$C$9,$D$6:$H$6,0)))/AVERAGE($D$90:INDEX($D$90:$H$90,0,MATCH('RFPR cover'!$C$9,$D$6:$H$6,0))),0)</f>
        <v>-8.0769773509108787E-5</v>
      </c>
      <c r="K21" s="178">
        <f t="shared" si="2"/>
        <v>-1.5910763302802958E-5</v>
      </c>
    </row>
    <row r="22" spans="1:11">
      <c r="A22" s="78" t="s">
        <v>204</v>
      </c>
      <c r="B22" s="454" t="str">
        <f t="shared" ref="B22:B27" si="6">B76</f>
        <v>Strategic innovation input for RORE</v>
      </c>
      <c r="C22" s="453" t="s">
        <v>194</v>
      </c>
      <c r="D22" s="328">
        <f>IFERROR(ORA_3/NPV_neutral_equity_element_of_RAV,0)</f>
        <v>0</v>
      </c>
      <c r="E22" s="328">
        <f>IFERROR(ORA_3/NPV_neutral_equity_element_of_RAV,0)</f>
        <v>0</v>
      </c>
      <c r="F22" s="328">
        <f>IFERROR(ORA_3/NPV_neutral_equity_element_of_RAV,0)</f>
        <v>0</v>
      </c>
      <c r="G22" s="328">
        <f>IFERROR(ORA_3/NPV_neutral_equity_element_of_RAV,0)</f>
        <v>0</v>
      </c>
      <c r="H22" s="328">
        <f>IFERROR(ORA_3/NPV_neutral_equity_element_of_RAV,0)</f>
        <v>0</v>
      </c>
      <c r="I22" s="80"/>
      <c r="J22" s="178">
        <f>IFERROR(AVERAGE(D76:INDEX(D76:H76,0,MATCH('RFPR cover'!$C$9,$D$6:$H$6,0)))/AVERAGE($D$90:INDEX($D$90:$H$90,0,MATCH('RFPR cover'!$C$9,$D$6:$H$6,0))),0)</f>
        <v>0</v>
      </c>
      <c r="K22" s="178">
        <f t="shared" ref="K22:K27" si="7">IFERROR(AVERAGE(D76:H76)/AVERAGE($D$90:$H$90),0)</f>
        <v>0</v>
      </c>
    </row>
    <row r="23" spans="1:11">
      <c r="A23" s="78" t="s">
        <v>205</v>
      </c>
      <c r="B23" s="454" t="str">
        <f t="shared" si="6"/>
        <v/>
      </c>
      <c r="C23" s="453" t="s">
        <v>194</v>
      </c>
      <c r="D23" s="328">
        <f>IFERROR(ORA_4/NPV_neutral_equity_element_of_RAV,0)</f>
        <v>0</v>
      </c>
      <c r="E23" s="328">
        <f>IFERROR(ORA_4/NPV_neutral_equity_element_of_RAV,0)</f>
        <v>0</v>
      </c>
      <c r="F23" s="328">
        <f>IFERROR(ORA_4/NPV_neutral_equity_element_of_RAV,0)</f>
        <v>0</v>
      </c>
      <c r="G23" s="328">
        <f>IFERROR(ORA_4/NPV_neutral_equity_element_of_RAV,0)</f>
        <v>0</v>
      </c>
      <c r="H23" s="328">
        <f>IFERROR(ORA_4/NPV_neutral_equity_element_of_RAV,0)</f>
        <v>0</v>
      </c>
      <c r="I23" s="80"/>
      <c r="J23" s="178">
        <f>IFERROR(AVERAGE(D77:INDEX(D77:H77,0,MATCH('RFPR cover'!$C$9,$D$6:$H$6,0)))/AVERAGE($D$90:INDEX($D$90:$H$90,0,MATCH('RFPR cover'!$C$9,$D$6:$H$6,0))),0)</f>
        <v>0</v>
      </c>
      <c r="K23" s="178">
        <f t="shared" si="7"/>
        <v>0</v>
      </c>
    </row>
    <row r="24" spans="1:11">
      <c r="A24" s="78" t="s">
        <v>206</v>
      </c>
      <c r="B24" s="454" t="str">
        <f t="shared" si="6"/>
        <v/>
      </c>
      <c r="C24" s="453" t="s">
        <v>194</v>
      </c>
      <c r="D24" s="328">
        <f>IFERROR(ORA_5/NPV_neutral_equity_element_of_RAV,0)</f>
        <v>0</v>
      </c>
      <c r="E24" s="328">
        <f>IFERROR(ORA_5/NPV_neutral_equity_element_of_RAV,0)</f>
        <v>0</v>
      </c>
      <c r="F24" s="328">
        <f>IFERROR(ORA_5/NPV_neutral_equity_element_of_RAV,0)</f>
        <v>0</v>
      </c>
      <c r="G24" s="328">
        <f>IFERROR(ORA_5/NPV_neutral_equity_element_of_RAV,0)</f>
        <v>0</v>
      </c>
      <c r="H24" s="328">
        <f>IFERROR(ORA_5/NPV_neutral_equity_element_of_RAV,0)</f>
        <v>0</v>
      </c>
      <c r="I24" s="80"/>
      <c r="J24" s="178">
        <f>IFERROR(AVERAGE(D78:INDEX(D78:H78,0,MATCH('RFPR cover'!$C$9,$D$6:$H$6,0)))/AVERAGE($D$90:INDEX($D$90:$H$90,0,MATCH('RFPR cover'!$C$9,$D$6:$H$6,0))),0)</f>
        <v>0</v>
      </c>
      <c r="K24" s="178">
        <f t="shared" si="7"/>
        <v>0</v>
      </c>
    </row>
    <row r="25" spans="1:11">
      <c r="A25" s="78" t="s">
        <v>207</v>
      </c>
      <c r="B25" s="454" t="str">
        <f t="shared" si="6"/>
        <v/>
      </c>
      <c r="C25" s="453" t="s">
        <v>194</v>
      </c>
      <c r="D25" s="328">
        <f>IFERROR(ORA_6/NPV_neutral_equity_element_of_RAV,0)</f>
        <v>0</v>
      </c>
      <c r="E25" s="328">
        <f>IFERROR(ORA_6/NPV_neutral_equity_element_of_RAV,0)</f>
        <v>0</v>
      </c>
      <c r="F25" s="328">
        <f>IFERROR(ORA_6/NPV_neutral_equity_element_of_RAV,0)</f>
        <v>0</v>
      </c>
      <c r="G25" s="328">
        <f>IFERROR(ORA_6/NPV_neutral_equity_element_of_RAV,0)</f>
        <v>0</v>
      </c>
      <c r="H25" s="328">
        <f>IFERROR(ORA_6/NPV_neutral_equity_element_of_RAV,0)</f>
        <v>0</v>
      </c>
      <c r="I25" s="80"/>
      <c r="J25" s="178">
        <f>IFERROR(AVERAGE(D79:INDEX(D79:H79,0,MATCH('RFPR cover'!$C$9,$D$6:$H$6,0)))/AVERAGE($D$90:INDEX($D$90:$H$90,0,MATCH('RFPR cover'!$C$9,$D$6:$H$6,0))),0)</f>
        <v>0</v>
      </c>
      <c r="K25" s="178">
        <f t="shared" si="7"/>
        <v>0</v>
      </c>
    </row>
    <row r="26" spans="1:11">
      <c r="A26" s="78" t="s">
        <v>208</v>
      </c>
      <c r="B26" s="454" t="str">
        <f t="shared" si="6"/>
        <v/>
      </c>
      <c r="C26" s="453" t="s">
        <v>194</v>
      </c>
      <c r="D26" s="328">
        <f>IFERROR(ORA_7/NPV_neutral_equity_element_of_RAV,0)</f>
        <v>0</v>
      </c>
      <c r="E26" s="328">
        <f>IFERROR(ORA_7/NPV_neutral_equity_element_of_RAV,0)</f>
        <v>0</v>
      </c>
      <c r="F26" s="328">
        <f>IFERROR(ORA_7/NPV_neutral_equity_element_of_RAV,0)</f>
        <v>0</v>
      </c>
      <c r="G26" s="328">
        <f>IFERROR(ORA_7/NPV_neutral_equity_element_of_RAV,0)</f>
        <v>0</v>
      </c>
      <c r="H26" s="328">
        <f>IFERROR(ORA_7/NPV_neutral_equity_element_of_RAV,0)</f>
        <v>0</v>
      </c>
      <c r="I26" s="80"/>
      <c r="J26" s="178">
        <f>IFERROR(AVERAGE(D80:INDEX(D80:H80,0,MATCH('RFPR cover'!$C$9,$D$6:$H$6,0)))/AVERAGE($D$90:INDEX($D$90:$H$90,0,MATCH('RFPR cover'!$C$9,$D$6:$H$6,0))),0)</f>
        <v>0</v>
      </c>
      <c r="K26" s="178">
        <f t="shared" si="7"/>
        <v>0</v>
      </c>
    </row>
    <row r="27" spans="1:11">
      <c r="A27" s="78" t="s">
        <v>209</v>
      </c>
      <c r="B27" s="454" t="str">
        <f t="shared" si="6"/>
        <v/>
      </c>
      <c r="C27" s="453" t="s">
        <v>194</v>
      </c>
      <c r="D27" s="328">
        <f>IFERROR(ORA_8/NPV_neutral_equity_element_of_RAV,0)</f>
        <v>0</v>
      </c>
      <c r="E27" s="328">
        <f>IFERROR(ORA_8/NPV_neutral_equity_element_of_RAV,0)</f>
        <v>0</v>
      </c>
      <c r="F27" s="328">
        <f>IFERROR(ORA_8/NPV_neutral_equity_element_of_RAV,0)</f>
        <v>0</v>
      </c>
      <c r="G27" s="328">
        <f>IFERROR(ORA_8/NPV_neutral_equity_element_of_RAV,0)</f>
        <v>0</v>
      </c>
      <c r="H27" s="328">
        <f>IFERROR(ORA_8/NPV_neutral_equity_element_of_RAV,0)</f>
        <v>0</v>
      </c>
      <c r="I27" s="80"/>
      <c r="J27" s="178">
        <f>IFERROR(AVERAGE(D81:INDEX(D81:H81,0,MATCH('RFPR cover'!$C$9,$D$6:$H$6,0)))/AVERAGE($D$90:INDEX($D$90:$H$90,0,MATCH('RFPR cover'!$C$9,$D$6:$H$6,0))),0)</f>
        <v>0</v>
      </c>
      <c r="K27" s="178">
        <f t="shared" si="7"/>
        <v>0</v>
      </c>
    </row>
    <row r="28" spans="1:11" ht="12.75" thickBot="1">
      <c r="B28" s="454" t="str">
        <f t="shared" ref="B28:B30" si="8">B82</f>
        <v>Penalties and fines (Other Activities)</v>
      </c>
      <c r="C28" s="453" t="s">
        <v>194</v>
      </c>
      <c r="D28" s="436">
        <f>IFERROR(Penalties_and_fines/NPV_neutral_equity_element_of_RAV,0)</f>
        <v>-1.2413859979496771E-3</v>
      </c>
      <c r="E28" s="436">
        <f>IFERROR(Penalties_and_fines/NPV_neutral_equity_element_of_RAV,0)</f>
        <v>-1.0568626169535388E-3</v>
      </c>
      <c r="F28" s="436">
        <f>IFERROR(Penalties_and_fines/NPV_neutral_equity_element_of_RAV,0)</f>
        <v>-1.0148381216708807E-3</v>
      </c>
      <c r="G28" s="436">
        <f>IFERROR(Penalties_and_fines/NPV_neutral_equity_element_of_RAV,0)</f>
        <v>-9.9301414606381725E-4</v>
      </c>
      <c r="H28" s="436">
        <f>IFERROR(Penalties_and_fines/NPV_neutral_equity_element_of_RAV,0)</f>
        <v>-9.7178791150942241E-4</v>
      </c>
      <c r="I28" s="80"/>
      <c r="J28" s="441">
        <f>IFERROR(AVERAGE(D82:INDEX(D82:H82,0,MATCH('RFPR cover'!$C$9,$D$6:$H$6,0)))/AVERAGE($D$90:INDEX($D$90:$H$90,0,MATCH('RFPR cover'!$C$9,$D$6:$H$6,0))),0)</f>
        <v>-1.2413859979496771E-3</v>
      </c>
      <c r="K28" s="441">
        <f>IFERROR(AVERAGE(D82:H82)/AVERAGE($D$90:$H$90),0)</f>
        <v>-1.054730187120478E-3</v>
      </c>
    </row>
    <row r="29" spans="1:11" ht="12.75" thickBot="1">
      <c r="B29" s="455" t="str">
        <f t="shared" si="8"/>
        <v>RoRE - Operational performance</v>
      </c>
      <c r="C29" s="170" t="s">
        <v>194</v>
      </c>
      <c r="D29" s="438">
        <f>SUM(D11:D28)</f>
        <v>6.061895868926187E-2</v>
      </c>
      <c r="E29" s="439">
        <f t="shared" ref="E29:H29" si="9">SUM(E11:E28)</f>
        <v>5.9212647360788635E-2</v>
      </c>
      <c r="F29" s="439">
        <f t="shared" si="9"/>
        <v>5.4499263908675488E-2</v>
      </c>
      <c r="G29" s="439">
        <f t="shared" si="9"/>
        <v>4.9046153881938531E-2</v>
      </c>
      <c r="H29" s="440">
        <f t="shared" si="9"/>
        <v>5.2869618464195051E-2</v>
      </c>
      <c r="I29" s="81"/>
      <c r="J29" s="443">
        <f>SUM(J11:J28)</f>
        <v>6.061895868926187E-2</v>
      </c>
      <c r="K29" s="440">
        <f>SUM(K11:K28)</f>
        <v>5.5214368447988736E-2</v>
      </c>
    </row>
    <row r="30" spans="1:11">
      <c r="B30" s="454" t="str">
        <f t="shared" si="8"/>
        <v>Debt performance - at notional gearing</v>
      </c>
      <c r="C30" s="453" t="s">
        <v>194</v>
      </c>
      <c r="D30" s="437">
        <f>IFERROR(Debt_performance___at_notional_gearing/NPV_neutral_equity_element_of_RAV,0)</f>
        <v>2.1366243589137371E-2</v>
      </c>
      <c r="E30" s="437">
        <f>IFERROR(Debt_performance___at_notional_gearing/NPV_neutral_equity_element_of_RAV,0)</f>
        <v>6.4810388515433942E-2</v>
      </c>
      <c r="F30" s="437">
        <f>IFERROR(Debt_performance___at_notional_gearing/NPV_neutral_equity_element_of_RAV,0)</f>
        <v>1.6538655462101478E-2</v>
      </c>
      <c r="G30" s="437">
        <f>IFERROR(Debt_performance___at_notional_gearing/NPV_neutral_equity_element_of_RAV,0)</f>
        <v>6.5485094442218512E-3</v>
      </c>
      <c r="H30" s="437">
        <f>IFERROR(Debt_performance___at_notional_gearing/NPV_neutral_equity_element_of_RAV,0)</f>
        <v>9.3472001876317642E-3</v>
      </c>
      <c r="I30" s="80"/>
      <c r="J30" s="442">
        <f>IFERROR(AVERAGE(D84:INDEX(D84:H84,0,MATCH('RFPR cover'!$C$9,$D$6:$H$6,0)))/AVERAGE($D$90:INDEX($D$90:$H$90,0,MATCH('RFPR cover'!$C$9,$D$6:$H$6,0))),0)</f>
        <v>2.1366243589137371E-2</v>
      </c>
      <c r="K30" s="442">
        <f>IFERROR(AVERAGE(D84:H84)/AVERAGE($D$90:$H$90),0)</f>
        <v>2.3626860525537009E-2</v>
      </c>
    </row>
    <row r="31" spans="1:11" ht="12.75" thickBot="1">
      <c r="B31" s="454" t="str">
        <f>B86</f>
        <v>Tax performance - at notional gearing</v>
      </c>
      <c r="C31" s="453" t="s">
        <v>194</v>
      </c>
      <c r="D31" s="436">
        <f>IFERROR(Tax_performance___at_notional_gearing/NPV_neutral_equity_element_of_RAV,0)</f>
        <v>-2.519074598706698E-3</v>
      </c>
      <c r="E31" s="436">
        <f>IFERROR(Tax_performance___at_notional_gearing/NPV_neutral_equity_element_of_RAV,0)</f>
        <v>-1.9593016777092083E-2</v>
      </c>
      <c r="F31" s="436">
        <f>IFERROR(Tax_performance___at_notional_gearing/NPV_neutral_equity_element_of_RAV,0)</f>
        <v>5.9985854187454219E-3</v>
      </c>
      <c r="G31" s="436">
        <f>IFERROR(Tax_performance___at_notional_gearing/NPV_neutral_equity_element_of_RAV,0)</f>
        <v>4.2837572033460414E-3</v>
      </c>
      <c r="H31" s="436">
        <f>IFERROR(Tax_performance___at_notional_gearing/NPV_neutral_equity_element_of_RAV,0)</f>
        <v>2.6356072695409983E-3</v>
      </c>
      <c r="I31" s="80"/>
      <c r="J31" s="85">
        <f>IFERROR(AVERAGE(D86:INDEX(D86:H86,0,MATCH('RFPR cover'!$C$9,$D$6:$H$6,0)))/AVERAGE($D$90:INDEX($D$90:$H$90,0,MATCH('RFPR cover'!$C$9,$D$6:$H$6,0))),0)</f>
        <v>-2.519074598706698E-3</v>
      </c>
      <c r="K31" s="85">
        <f>IFERROR(AVERAGE(D86:H86)/AVERAGE($D$90:$H$90),0)</f>
        <v>-1.7955988249513024E-3</v>
      </c>
    </row>
    <row r="32" spans="1:11" ht="12.75" thickBot="1">
      <c r="B32" s="455" t="str">
        <f>B88</f>
        <v>RoRE - including financing and tax</v>
      </c>
      <c r="C32" s="170" t="s">
        <v>194</v>
      </c>
      <c r="D32" s="438">
        <f>SUM(D29:D31)</f>
        <v>7.946612767969255E-2</v>
      </c>
      <c r="E32" s="439">
        <f t="shared" ref="E32:H32" si="10">SUM(E29:E31)</f>
        <v>0.10443001909913049</v>
      </c>
      <c r="F32" s="439">
        <f t="shared" si="10"/>
        <v>7.7036504789522398E-2</v>
      </c>
      <c r="G32" s="439">
        <f t="shared" si="10"/>
        <v>5.987842052950642E-2</v>
      </c>
      <c r="H32" s="440">
        <f t="shared" si="10"/>
        <v>6.4852425921367807E-2</v>
      </c>
      <c r="I32" s="81"/>
      <c r="J32" s="443">
        <f>SUM(J29:J31)</f>
        <v>7.946612767969255E-2</v>
      </c>
      <c r="K32" s="440">
        <f>SUM(K29:K31)</f>
        <v>7.7045630148574448E-2</v>
      </c>
    </row>
    <row r="36" spans="1:13">
      <c r="B36" s="187" t="s">
        <v>210</v>
      </c>
      <c r="C36" s="98"/>
      <c r="D36" s="98"/>
      <c r="E36" s="98"/>
      <c r="F36" s="98"/>
      <c r="G36" s="98"/>
      <c r="H36" s="98"/>
      <c r="I36" s="188"/>
      <c r="J36" s="98"/>
      <c r="K36" s="98"/>
      <c r="L36" s="98"/>
    </row>
    <row r="37" spans="1:13">
      <c r="B37" s="89"/>
      <c r="I37" s="27"/>
    </row>
    <row r="38" spans="1:13">
      <c r="B38" s="454" t="s">
        <v>193</v>
      </c>
      <c r="C38" s="453" t="s">
        <v>194</v>
      </c>
      <c r="D38" s="328">
        <f>IFERROR(Equity_Return_on_the_RAV/Equity_RAV_based_on_actual_gearing,0)</f>
        <v>4.0077044085673738E-2</v>
      </c>
      <c r="E38" s="328">
        <f>IFERROR(Equity_Return_on_the_RAV/Equity_RAV_based_on_actual_gearing,0)</f>
        <v>4.8949862134805601E-2</v>
      </c>
      <c r="F38" s="328">
        <f>IFERROR(Equity_Return_on_the_RAV/Equity_RAV_based_on_actual_gearing,0)</f>
        <v>4.9730149939023881E-2</v>
      </c>
      <c r="G38" s="328">
        <f>IFERROR(Equity_Return_on_the_RAV/Equity_RAV_based_on_actual_gearing,0)</f>
        <v>4.7530854945374512E-2</v>
      </c>
      <c r="H38" s="328">
        <f>IFERROR(Equity_Return_on_the_RAV/Equity_RAV_based_on_actual_gearing,0)</f>
        <v>4.5962673737151537E-2</v>
      </c>
      <c r="I38" s="80"/>
      <c r="J38" s="82">
        <f>IFERROR(AVERAGE(D65:INDEX(D65:H65,0,MATCH('RFPR cover'!$C$9,$D$6:$H$6,0)))/AVERAGE($D$91:INDEX($D$91:$H$91,0,MATCH('RFPR cover'!$C$9,$D$6:$H$6,0))),0)</f>
        <v>4.0077044085673738E-2</v>
      </c>
      <c r="K38" s="178">
        <f t="shared" ref="K38:K47" si="11">IFERROR(AVERAGE(D65:H65)/AVERAGE($D$91:$H$91),0)</f>
        <v>4.6205452273429024E-2</v>
      </c>
      <c r="M38" s="130"/>
    </row>
    <row r="39" spans="1:13">
      <c r="B39" s="454" t="str">
        <f t="shared" ref="B39:B46" si="12">B66</f>
        <v>Totex outperformance</v>
      </c>
      <c r="C39" s="453" t="s">
        <v>194</v>
      </c>
      <c r="D39" s="328">
        <f>IFERROR(Totex_outperformance/Equity_RAV_based_on_actual_gearing,0)</f>
        <v>1.4262601281510008E-2</v>
      </c>
      <c r="E39" s="328">
        <f>IFERROR(Totex_outperformance/Equity_RAV_based_on_actual_gearing,0)</f>
        <v>1.4617336494867492E-2</v>
      </c>
      <c r="F39" s="328">
        <f>IFERROR(Totex_outperformance/Equity_RAV_based_on_actual_gearing,0)</f>
        <v>9.6450700532711847E-3</v>
      </c>
      <c r="G39" s="328">
        <f>IFERROR(Totex_outperformance/Equity_RAV_based_on_actual_gearing,0)</f>
        <v>2.8328222636982156E-3</v>
      </c>
      <c r="H39" s="328">
        <f>IFERROR(Totex_outperformance/Equity_RAV_based_on_actual_gearing,0)</f>
        <v>6.220895301398432E-3</v>
      </c>
      <c r="I39" s="80"/>
      <c r="J39" s="82">
        <f>IFERROR(AVERAGE(D66:INDEX(D66:H66,0,MATCH('RFPR cover'!$C$9,$D$6:$H$6,0)))/AVERAGE($D$91:INDEX($D$91:$H$91,0,MATCH('RFPR cover'!$C$9,$D$6:$H$6,0))),0)</f>
        <v>1.4262601281510008E-2</v>
      </c>
      <c r="K39" s="178">
        <f t="shared" si="11"/>
        <v>9.5824493263769548E-3</v>
      </c>
    </row>
    <row r="40" spans="1:13">
      <c r="A40" s="78" t="s">
        <v>195</v>
      </c>
      <c r="B40" s="454" t="str">
        <f t="shared" si="12"/>
        <v>Business Plan Incentive</v>
      </c>
      <c r="C40" s="453" t="s">
        <v>194</v>
      </c>
      <c r="D40" s="328">
        <f>IFERROR(Business_Plan_Incentive/Equity_RAV_based_on_actual_gearing,0)</f>
        <v>-9.0803193972328316E-6</v>
      </c>
      <c r="E40" s="328">
        <f>IFERROR(Business_Plan_Incentive/Equity_RAV_based_on_actual_gearing,0)</f>
        <v>-1.0888648425707381E-5</v>
      </c>
      <c r="F40" s="328">
        <f>IFERROR(Business_Plan_Incentive/Equity_RAV_based_on_actual_gearing,0)</f>
        <v>-1.1016396682343821E-5</v>
      </c>
      <c r="G40" s="328">
        <f>IFERROR(Business_Plan_Incentive/Equity_RAV_based_on_actual_gearing,0)</f>
        <v>-1.0421928761380868E-5</v>
      </c>
      <c r="H40" s="328">
        <f>IFERROR(Business_Plan_Incentive/Equity_RAV_based_on_actual_gearing,0)</f>
        <v>-1.0008729881878431E-5</v>
      </c>
      <c r="I40" s="80"/>
      <c r="J40" s="82">
        <f>IFERROR(AVERAGE(D67:INDEX(D67:H67,0,MATCH('RFPR cover'!$C$9,$D$6:$H$6,0)))/AVERAGE($D$91:INDEX($D$91:$H$91,0,MATCH('RFPR cover'!$C$9,$D$6:$H$6,0))),0)</f>
        <v>-9.0803193972328316E-6</v>
      </c>
      <c r="K40" s="178">
        <f t="shared" si="11"/>
        <v>-1.0233212106033763E-5</v>
      </c>
    </row>
    <row r="41" spans="1:13">
      <c r="A41" s="78" t="s">
        <v>196</v>
      </c>
      <c r="B41" s="454" t="str">
        <f t="shared" si="12"/>
        <v>Customer Satisfaction Survey ODI</v>
      </c>
      <c r="C41" s="453" t="s">
        <v>194</v>
      </c>
      <c r="D41" s="328">
        <f>IFERROR(ODI_1/Equity_RAV_based_on_actual_gearing,0)</f>
        <v>6.5875219025317636E-4</v>
      </c>
      <c r="E41" s="328">
        <f>IFERROR(ODI_1/Equity_RAV_based_on_actual_gearing,0)</f>
        <v>1.4028865384062325E-3</v>
      </c>
      <c r="F41" s="328">
        <f>IFERROR(ODI_1/Equity_RAV_based_on_actual_gearing,0)</f>
        <v>1.70106819277054E-3</v>
      </c>
      <c r="G41" s="328">
        <f>IFERROR(ODI_1/Equity_RAV_based_on_actual_gearing,0)</f>
        <v>1.9998541370848592E-3</v>
      </c>
      <c r="H41" s="328">
        <f>IFERROR(ODI_1/Equity_RAV_based_on_actual_gearing,0)</f>
        <v>2.0512849292111906E-3</v>
      </c>
      <c r="I41" s="80"/>
      <c r="J41" s="82">
        <f>IFERROR(AVERAGE(D68:INDEX(D68:H68,0,MATCH('RFPR cover'!$C$9,$D$6:$H$6,0)))/AVERAGE($D$91:INDEX($D$91:$H$91,0,MATCH('RFPR cover'!$C$9,$D$6:$H$6,0))),0)</f>
        <v>6.5875219025317636E-4</v>
      </c>
      <c r="K41" s="178">
        <f t="shared" si="11"/>
        <v>1.5403801303246084E-3</v>
      </c>
    </row>
    <row r="42" spans="1:13">
      <c r="A42" s="78" t="s">
        <v>197</v>
      </c>
      <c r="B42" s="454" t="str">
        <f t="shared" si="12"/>
        <v>Complaints metric ODI</v>
      </c>
      <c r="C42" s="453" t="s">
        <v>194</v>
      </c>
      <c r="D42" s="328">
        <f>IFERROR(ODI_2/Equity_RAV_based_on_actual_gearing,0)</f>
        <v>0</v>
      </c>
      <c r="E42" s="328">
        <f>IFERROR(ODI_2/Equity_RAV_based_on_actual_gearing,0)</f>
        <v>0</v>
      </c>
      <c r="F42" s="328">
        <f>IFERROR(ODI_2/Equity_RAV_based_on_actual_gearing,0)</f>
        <v>0</v>
      </c>
      <c r="G42" s="328">
        <f>IFERROR(ODI_2/Equity_RAV_based_on_actual_gearing,0)</f>
        <v>0</v>
      </c>
      <c r="H42" s="328">
        <f>IFERROR(ODI_2/Equity_RAV_based_on_actual_gearing,0)</f>
        <v>0</v>
      </c>
      <c r="I42" s="80"/>
      <c r="J42" s="82">
        <f>IFERROR(AVERAGE(D69:INDEX(D69:H69,0,MATCH('RFPR cover'!$C$9,$D$6:$H$6,0)))/AVERAGE($D$91:INDEX($D$91:$H$91,0,MATCH('RFPR cover'!$C$9,$D$6:$H$6,0))),0)</f>
        <v>0</v>
      </c>
      <c r="K42" s="178">
        <f t="shared" si="11"/>
        <v>0</v>
      </c>
    </row>
    <row r="43" spans="1:13">
      <c r="A43" s="78" t="s">
        <v>198</v>
      </c>
      <c r="B43" s="454" t="str">
        <f t="shared" si="12"/>
        <v>Unplanned Interruption Mean Duration ODI [NGN, SGN and WWU]</v>
      </c>
      <c r="C43" s="453" t="s">
        <v>194</v>
      </c>
      <c r="D43" s="328">
        <f>IFERROR(ODI_3/Equity_RAV_based_on_actual_gearing,0)</f>
        <v>0</v>
      </c>
      <c r="E43" s="328">
        <f>IFERROR(ODI_3/Equity_RAV_based_on_actual_gearing,0)</f>
        <v>0</v>
      </c>
      <c r="F43" s="328">
        <f>IFERROR(ODI_3/Equity_RAV_based_on_actual_gearing,0)</f>
        <v>0</v>
      </c>
      <c r="G43" s="328">
        <f>IFERROR(ODI_3/Equity_RAV_based_on_actual_gearing,0)</f>
        <v>0</v>
      </c>
      <c r="H43" s="328">
        <f>IFERROR(ODI_3/Equity_RAV_based_on_actual_gearing,0)</f>
        <v>0</v>
      </c>
      <c r="I43" s="80"/>
      <c r="J43" s="82">
        <f>IFERROR(AVERAGE(D70:INDEX(D70:H70,0,MATCH('RFPR cover'!$C$9,$D$6:$H$6,0)))/AVERAGE($D$91:INDEX($D$91:$H$91,0,MATCH('RFPR cover'!$C$9,$D$6:$H$6,0))),0)</f>
        <v>0</v>
      </c>
      <c r="K43" s="178">
        <f t="shared" si="11"/>
        <v>0</v>
      </c>
    </row>
    <row r="44" spans="1:13">
      <c r="A44" s="78" t="s">
        <v>199</v>
      </c>
      <c r="B44" s="454" t="str">
        <f t="shared" si="12"/>
        <v>Unplanned Interruption Mean Duration ODI [Cadent only]</v>
      </c>
      <c r="C44" s="453" t="s">
        <v>194</v>
      </c>
      <c r="D44" s="328">
        <f>IFERROR(ODI_4/Equity_RAV_based_on_actual_gearing,0)</f>
        <v>0</v>
      </c>
      <c r="E44" s="328">
        <f>IFERROR(ODI_4/Equity_RAV_based_on_actual_gearing,0)</f>
        <v>0</v>
      </c>
      <c r="F44" s="328">
        <f>IFERROR(ODI_4/Equity_RAV_based_on_actual_gearing,0)</f>
        <v>0</v>
      </c>
      <c r="G44" s="328">
        <f>IFERROR(ODI_4/Equity_RAV_based_on_actual_gearing,0)</f>
        <v>0</v>
      </c>
      <c r="H44" s="328">
        <f>IFERROR(ODI_4/Equity_RAV_based_on_actual_gearing,0)</f>
        <v>0</v>
      </c>
      <c r="I44" s="80"/>
      <c r="J44" s="82">
        <f>IFERROR(AVERAGE(D71:INDEX(D71:H71,0,MATCH('RFPR cover'!$C$9,$D$6:$H$6,0)))/AVERAGE($D$91:INDEX($D$91:$H$91,0,MATCH('RFPR cover'!$C$9,$D$6:$H$6,0))),0)</f>
        <v>0</v>
      </c>
      <c r="K44" s="178">
        <f t="shared" si="11"/>
        <v>0</v>
      </c>
    </row>
    <row r="45" spans="1:13">
      <c r="A45" s="78" t="s">
        <v>200</v>
      </c>
      <c r="B45" s="454" t="str">
        <f t="shared" si="12"/>
        <v>Shrinkage Management ODI</v>
      </c>
      <c r="C45" s="453" t="s">
        <v>194</v>
      </c>
      <c r="D45" s="328">
        <f>IFERROR(ODI_5/Equity_RAV_based_on_actual_gearing,0)</f>
        <v>-5.9838009919093247E-6</v>
      </c>
      <c r="E45" s="328">
        <f>IFERROR(ODI_5/Equity_RAV_based_on_actual_gearing,0)</f>
        <v>0</v>
      </c>
      <c r="F45" s="328">
        <f>IFERROR(ODI_5/Equity_RAV_based_on_actual_gearing,0)</f>
        <v>0</v>
      </c>
      <c r="G45" s="328">
        <f>IFERROR(ODI_5/Equity_RAV_based_on_actual_gearing,0)</f>
        <v>0</v>
      </c>
      <c r="H45" s="328">
        <f>IFERROR(ODI_5/Equity_RAV_based_on_actual_gearing,0)</f>
        <v>0</v>
      </c>
      <c r="I45" s="80"/>
      <c r="J45" s="82">
        <f>IFERROR(AVERAGE(D72:INDEX(D72:H72,0,MATCH('RFPR cover'!$C$9,$D$6:$H$6,0)))/AVERAGE($D$91:INDEX($D$91:$H$91,0,MATCH('RFPR cover'!$C$9,$D$6:$H$6,0))),0)</f>
        <v>-5.9838009919093247E-6</v>
      </c>
      <c r="K45" s="178">
        <f t="shared" si="11"/>
        <v>-1.3487081692118417E-6</v>
      </c>
    </row>
    <row r="46" spans="1:13">
      <c r="A46" s="78" t="s">
        <v>201</v>
      </c>
      <c r="B46" s="454" t="str">
        <f t="shared" si="12"/>
        <v>Collaborative streetworks ODI [Cadent Lon &amp; EoE, SGN So only]</v>
      </c>
      <c r="C46" s="453" t="s">
        <v>194</v>
      </c>
      <c r="D46" s="328">
        <f>IFERROR(ODI_6/Equity_RAV_based_on_actual_gearing,0)</f>
        <v>0</v>
      </c>
      <c r="E46" s="328">
        <f>IFERROR(ODI_6/Equity_RAV_based_on_actual_gearing,0)</f>
        <v>0</v>
      </c>
      <c r="F46" s="328">
        <f>IFERROR(ODI_6/Equity_RAV_based_on_actual_gearing,0)</f>
        <v>0</v>
      </c>
      <c r="G46" s="328">
        <f>IFERROR(ODI_6/Equity_RAV_based_on_actual_gearing,0)</f>
        <v>0</v>
      </c>
      <c r="H46" s="328">
        <f>IFERROR(ODI_6/Equity_RAV_based_on_actual_gearing,0)</f>
        <v>0</v>
      </c>
      <c r="I46" s="80"/>
      <c r="J46" s="82">
        <f>IFERROR(AVERAGE(D73:INDEX(D73:H73,0,MATCH('RFPR cover'!$C$9,$D$6:$H$6,0)))/AVERAGE($D$91:INDEX($D$91:$H$91,0,MATCH('RFPR cover'!$C$9,$D$6:$H$6,0))),0)</f>
        <v>0</v>
      </c>
      <c r="K46" s="178">
        <f t="shared" si="11"/>
        <v>0</v>
      </c>
    </row>
    <row r="47" spans="1:13">
      <c r="A47" s="78" t="s">
        <v>202</v>
      </c>
      <c r="B47" s="454" t="str">
        <f t="shared" ref="B47" si="13">B74</f>
        <v>Network innovation input for RORE</v>
      </c>
      <c r="C47" s="453" t="s">
        <v>194</v>
      </c>
      <c r="D47" s="328">
        <f>IFERROR(ORA_1/Equity_RAV_based_on_actual_gearing,0)</f>
        <v>-4.0583821154984092E-5</v>
      </c>
      <c r="E47" s="328">
        <f>IFERROR(ORA_1/Equity_RAV_based_on_actual_gearing,0)</f>
        <v>-2.1689037497699278E-4</v>
      </c>
      <c r="F47" s="328">
        <f>IFERROR(ORA_1/Equity_RAV_based_on_actual_gearing,0)</f>
        <v>-2.5519687991595402E-4</v>
      </c>
      <c r="G47" s="328">
        <f>IFERROR(ORA_1/Equity_RAV_based_on_actual_gearing,0)</f>
        <v>-2.414259198630166E-4</v>
      </c>
      <c r="H47" s="328">
        <f>IFERROR(ORA_1/Equity_RAV_based_on_actual_gearing,0)</f>
        <v>-2.3185409089985007E-4</v>
      </c>
      <c r="I47" s="80"/>
      <c r="J47" s="82">
        <f>IFERROR(AVERAGE(D74:INDEX(D74:H74,0,MATCH('RFPR cover'!$C$9,$D$6:$H$6,0)))/AVERAGE($D$91:INDEX($D$91:$H$91,0,MATCH('RFPR cover'!$C$9,$D$6:$H$6,0))),0)</f>
        <v>-4.0583821154984092E-5</v>
      </c>
      <c r="K47" s="178">
        <f t="shared" si="11"/>
        <v>-1.9214683131336924E-4</v>
      </c>
    </row>
    <row r="48" spans="1:13">
      <c r="A48" s="78" t="s">
        <v>203</v>
      </c>
      <c r="B48" s="454" t="str">
        <f t="shared" ref="B48" si="14">B75</f>
        <v>Carry-over Network innovation input for RORE</v>
      </c>
      <c r="C48" s="453" t="s">
        <v>194</v>
      </c>
      <c r="D48" s="328">
        <f>IFERROR(ORA_2/Equity_RAV_based_on_actual_gearing,0)</f>
        <v>-7.1644068420135829E-5</v>
      </c>
      <c r="E48" s="328">
        <f>IFERROR(ORA_2/Equity_RAV_based_on_actual_gearing,0)</f>
        <v>0</v>
      </c>
      <c r="F48" s="328">
        <f>IFERROR(ORA_2/Equity_RAV_based_on_actual_gearing,0)</f>
        <v>0</v>
      </c>
      <c r="G48" s="328">
        <f>IFERROR(ORA_2/Equity_RAV_based_on_actual_gearing,0)</f>
        <v>0</v>
      </c>
      <c r="H48" s="328">
        <f>IFERROR(ORA_2/Equity_RAV_based_on_actual_gearing,0)</f>
        <v>0</v>
      </c>
      <c r="I48" s="80"/>
      <c r="J48" s="82">
        <f>IFERROR(AVERAGE(D75:INDEX(D75:H75,0,MATCH('RFPR cover'!$C$9,$D$6:$H$6,0)))/AVERAGE($D$91:INDEX($D$91:$H$91,0,MATCH('RFPR cover'!$C$9,$D$6:$H$6,0))),0)</f>
        <v>-7.1644068420135829E-5</v>
      </c>
      <c r="K48" s="178">
        <f t="shared" ref="K48:K54" si="15">IFERROR(AVERAGE(D75:H75)/AVERAGE($D$91:$H$91),0)</f>
        <v>-1.6148087224902406E-5</v>
      </c>
    </row>
    <row r="49" spans="1:12">
      <c r="A49" s="78" t="s">
        <v>204</v>
      </c>
      <c r="B49" s="722" t="str">
        <f>B76</f>
        <v>Strategic innovation input for RORE</v>
      </c>
      <c r="C49" s="453" t="s">
        <v>194</v>
      </c>
      <c r="D49" s="328">
        <f>IFERROR(ORA_3/Equity_RAV_based_on_actual_gearing,0)</f>
        <v>0</v>
      </c>
      <c r="E49" s="328">
        <f>IFERROR(ORA_3/Equity_RAV_based_on_actual_gearing,0)</f>
        <v>0</v>
      </c>
      <c r="F49" s="328">
        <f>IFERROR(ORA_3/Equity_RAV_based_on_actual_gearing,0)</f>
        <v>0</v>
      </c>
      <c r="G49" s="328">
        <f>IFERROR(ORA_3/Equity_RAV_based_on_actual_gearing,0)</f>
        <v>0</v>
      </c>
      <c r="H49" s="328">
        <f>IFERROR(ORA_3/Equity_RAV_based_on_actual_gearing,0)</f>
        <v>0</v>
      </c>
      <c r="I49" s="80"/>
      <c r="J49" s="82">
        <f>IFERROR(AVERAGE(D76:INDEX(D76:H76,0,MATCH('RFPR cover'!$C$9,$D$6:$H$6,0)))/AVERAGE($D$91:INDEX($D$91:$H$91,0,MATCH('RFPR cover'!$C$9,$D$6:$H$6,0))),0)</f>
        <v>0</v>
      </c>
      <c r="K49" s="178">
        <f t="shared" si="15"/>
        <v>0</v>
      </c>
    </row>
    <row r="50" spans="1:12">
      <c r="A50" s="78" t="s">
        <v>205</v>
      </c>
      <c r="B50" s="454" t="str">
        <f t="shared" ref="B50:B54" si="16">B77</f>
        <v/>
      </c>
      <c r="C50" s="453" t="s">
        <v>194</v>
      </c>
      <c r="D50" s="328">
        <f>IFERROR(ORA_4/Equity_RAV_based_on_actual_gearing,0)</f>
        <v>0</v>
      </c>
      <c r="E50" s="328">
        <f>IFERROR(ORA_4/Equity_RAV_based_on_actual_gearing,0)</f>
        <v>0</v>
      </c>
      <c r="F50" s="328">
        <f>IFERROR(ORA_4/Equity_RAV_based_on_actual_gearing,0)</f>
        <v>0</v>
      </c>
      <c r="G50" s="328">
        <f>IFERROR(ORA_4/Equity_RAV_based_on_actual_gearing,0)</f>
        <v>0</v>
      </c>
      <c r="H50" s="328">
        <f>IFERROR(ORA_4/Equity_RAV_based_on_actual_gearing,0)</f>
        <v>0</v>
      </c>
      <c r="I50" s="80"/>
      <c r="J50" s="82">
        <f>IFERROR(AVERAGE(D77:INDEX(D77:H77,0,MATCH('RFPR cover'!$C$9,$D$6:$H$6,0)))/AVERAGE($D$91:INDEX($D$91:$H$91,0,MATCH('RFPR cover'!$C$9,$D$6:$H$6,0))),0)</f>
        <v>0</v>
      </c>
      <c r="K50" s="178">
        <f t="shared" si="15"/>
        <v>0</v>
      </c>
    </row>
    <row r="51" spans="1:12">
      <c r="A51" s="78" t="s">
        <v>206</v>
      </c>
      <c r="B51" s="454" t="str">
        <f t="shared" si="16"/>
        <v/>
      </c>
      <c r="C51" s="453" t="s">
        <v>194</v>
      </c>
      <c r="D51" s="328">
        <f>IFERROR(ORA_5/Equity_RAV_based_on_actual_gearing,0)</f>
        <v>0</v>
      </c>
      <c r="E51" s="328">
        <f>IFERROR(ORA_5/Equity_RAV_based_on_actual_gearing,0)</f>
        <v>0</v>
      </c>
      <c r="F51" s="328">
        <f>IFERROR(ORA_5/Equity_RAV_based_on_actual_gearing,0)</f>
        <v>0</v>
      </c>
      <c r="G51" s="328">
        <f>IFERROR(ORA_5/Equity_RAV_based_on_actual_gearing,0)</f>
        <v>0</v>
      </c>
      <c r="H51" s="328">
        <f>IFERROR(ORA_5/Equity_RAV_based_on_actual_gearing,0)</f>
        <v>0</v>
      </c>
      <c r="I51" s="80"/>
      <c r="J51" s="82">
        <f>IFERROR(AVERAGE(D78:INDEX(D78:H78,0,MATCH('RFPR cover'!$C$9,$D$6:$H$6,0)))/AVERAGE($D$91:INDEX($D$91:$H$91,0,MATCH('RFPR cover'!$C$9,$D$6:$H$6,0))),0)</f>
        <v>0</v>
      </c>
      <c r="K51" s="178">
        <f t="shared" si="15"/>
        <v>0</v>
      </c>
    </row>
    <row r="52" spans="1:12">
      <c r="A52" s="78" t="s">
        <v>207</v>
      </c>
      <c r="B52" s="454" t="str">
        <f t="shared" si="16"/>
        <v/>
      </c>
      <c r="C52" s="453" t="s">
        <v>194</v>
      </c>
      <c r="D52" s="328">
        <f>IFERROR(ORA_6/Equity_RAV_based_on_actual_gearing,0)</f>
        <v>0</v>
      </c>
      <c r="E52" s="328">
        <f>IFERROR(ORA_6/Equity_RAV_based_on_actual_gearing,0)</f>
        <v>0</v>
      </c>
      <c r="F52" s="328">
        <f>IFERROR(ORA_6/Equity_RAV_based_on_actual_gearing,0)</f>
        <v>0</v>
      </c>
      <c r="G52" s="328">
        <f>IFERROR(ORA_6/Equity_RAV_based_on_actual_gearing,0)</f>
        <v>0</v>
      </c>
      <c r="H52" s="328">
        <f>IFERROR(ORA_6/Equity_RAV_based_on_actual_gearing,0)</f>
        <v>0</v>
      </c>
      <c r="I52" s="80"/>
      <c r="J52" s="82">
        <f>IFERROR(AVERAGE(D79:INDEX(D79:H79,0,MATCH('RFPR cover'!$C$9,$D$6:$H$6,0)))/AVERAGE($D$91:INDEX($D$91:$H$91,0,MATCH('RFPR cover'!$C$9,$D$6:$H$6,0))),0)</f>
        <v>0</v>
      </c>
      <c r="K52" s="178">
        <f t="shared" si="15"/>
        <v>0</v>
      </c>
    </row>
    <row r="53" spans="1:12">
      <c r="A53" s="78" t="s">
        <v>208</v>
      </c>
      <c r="B53" s="454" t="str">
        <f t="shared" si="16"/>
        <v/>
      </c>
      <c r="C53" s="453" t="s">
        <v>194</v>
      </c>
      <c r="D53" s="328">
        <f>IFERROR(ORA_7/Equity_RAV_based_on_actual_gearing,0)</f>
        <v>0</v>
      </c>
      <c r="E53" s="328">
        <f>IFERROR(ORA_7/Equity_RAV_based_on_actual_gearing,0)</f>
        <v>0</v>
      </c>
      <c r="F53" s="328">
        <f>IFERROR(ORA_7/Equity_RAV_based_on_actual_gearing,0)</f>
        <v>0</v>
      </c>
      <c r="G53" s="328">
        <f>IFERROR(ORA_7/Equity_RAV_based_on_actual_gearing,0)</f>
        <v>0</v>
      </c>
      <c r="H53" s="328">
        <f>IFERROR(ORA_7/Equity_RAV_based_on_actual_gearing,0)</f>
        <v>0</v>
      </c>
      <c r="I53" s="80"/>
      <c r="J53" s="82">
        <f>IFERROR(AVERAGE(D80:INDEX(D80:H80,0,MATCH('RFPR cover'!$C$9,$D$6:$H$6,0)))/AVERAGE($D$91:INDEX($D$91:$H$91,0,MATCH('RFPR cover'!$C$9,$D$6:$H$6,0))),0)</f>
        <v>0</v>
      </c>
      <c r="K53" s="178">
        <f t="shared" si="15"/>
        <v>0</v>
      </c>
    </row>
    <row r="54" spans="1:12">
      <c r="A54" s="78" t="s">
        <v>209</v>
      </c>
      <c r="B54" s="454" t="str">
        <f t="shared" si="16"/>
        <v/>
      </c>
      <c r="C54" s="453" t="s">
        <v>194</v>
      </c>
      <c r="D54" s="328">
        <f>IFERROR(ORA_8/Equity_RAV_based_on_actual_gearing,0)</f>
        <v>0</v>
      </c>
      <c r="E54" s="328">
        <f>IFERROR(ORA_8/Equity_RAV_based_on_actual_gearing,0)</f>
        <v>0</v>
      </c>
      <c r="F54" s="328">
        <f>IFERROR(ORA_8/Equity_RAV_based_on_actual_gearing,0)</f>
        <v>0</v>
      </c>
      <c r="G54" s="328">
        <f>IFERROR(ORA_8/Equity_RAV_based_on_actual_gearing,0)</f>
        <v>0</v>
      </c>
      <c r="H54" s="328">
        <f>IFERROR(ORA_8/Equity_RAV_based_on_actual_gearing,0)</f>
        <v>0</v>
      </c>
      <c r="I54" s="80"/>
      <c r="J54" s="82">
        <f>IFERROR(AVERAGE(D81:INDEX(D81:H81,0,MATCH('RFPR cover'!$C$9,$D$6:$H$6,0)))/AVERAGE($D$91:INDEX($D$91:$H$91,0,MATCH('RFPR cover'!$C$9,$D$6:$H$6,0))),0)</f>
        <v>0</v>
      </c>
      <c r="K54" s="178">
        <f t="shared" si="15"/>
        <v>0</v>
      </c>
    </row>
    <row r="55" spans="1:12" ht="12.75" thickBot="1">
      <c r="B55" s="454" t="str">
        <f t="shared" ref="B55:B56" si="17">B82</f>
        <v>Penalties and fines (Other Activities)</v>
      </c>
      <c r="C55" s="453" t="s">
        <v>194</v>
      </c>
      <c r="D55" s="436">
        <f>IFERROR(Penalties_and_fines/Equity_RAV_based_on_actual_gearing,0)</f>
        <v>-1.1011290425727803E-3</v>
      </c>
      <c r="E55" s="436">
        <f>IFERROR(Penalties_and_fines/Equity_RAV_based_on_actual_gearing,0)</f>
        <v>-1.1352958257822127E-3</v>
      </c>
      <c r="F55" s="436">
        <f>IFERROR(Penalties_and_fines/Equity_RAV_based_on_actual_gearing,0)</f>
        <v>-1.1116523539377418E-3</v>
      </c>
      <c r="G55" s="436">
        <f>IFERROR(Penalties_and_fines/Equity_RAV_based_on_actual_gearing,0)</f>
        <v>-1.0341426711829506E-3</v>
      </c>
      <c r="H55" s="436">
        <f>IFERROR(Penalties_and_fines/Equity_RAV_based_on_actual_gearing,0)</f>
        <v>-9.7452387734333864E-4</v>
      </c>
      <c r="I55" s="80"/>
      <c r="J55" s="85">
        <f>IFERROR(AVERAGE(D82:INDEX(D82:H82,0,MATCH('RFPR cover'!$C$9,$D$6:$H$6,0)))/AVERAGE($D$91:INDEX($D$91:$H$91,0,MATCH('RFPR cover'!$C$9,$D$6:$H$6,0))),0)</f>
        <v>-1.1011290425727803E-3</v>
      </c>
      <c r="K55" s="441">
        <f>IFERROR(AVERAGE(D82:H82)/AVERAGE($D$91:$H$91),0)</f>
        <v>-1.0704624747549765E-3</v>
      </c>
    </row>
    <row r="56" spans="1:12" ht="12.75" thickBot="1">
      <c r="B56" s="455" t="str">
        <f t="shared" si="17"/>
        <v>RoRE - Operational performance</v>
      </c>
      <c r="C56" s="170" t="s">
        <v>194</v>
      </c>
      <c r="D56" s="438">
        <f t="shared" ref="D56:H56" si="18">SUM(D38:D55)</f>
        <v>5.376997650489989E-2</v>
      </c>
      <c r="E56" s="439">
        <f t="shared" si="18"/>
        <v>6.3607010318894416E-2</v>
      </c>
      <c r="F56" s="439">
        <f t="shared" si="18"/>
        <v>5.9698422554529569E-2</v>
      </c>
      <c r="G56" s="439">
        <f t="shared" si="18"/>
        <v>5.1077540826350236E-2</v>
      </c>
      <c r="H56" s="440">
        <f t="shared" si="18"/>
        <v>5.3018467269636091E-2</v>
      </c>
      <c r="I56" s="81"/>
      <c r="J56" s="443">
        <f>SUM(J38:J55)</f>
        <v>5.376997650489989E-2</v>
      </c>
      <c r="K56" s="440">
        <f>SUM(K38:K55)</f>
        <v>5.6037942416562091E-2</v>
      </c>
    </row>
    <row r="57" spans="1:12">
      <c r="B57" s="454" t="s">
        <v>211</v>
      </c>
      <c r="C57" s="453" t="s">
        <v>194</v>
      </c>
      <c r="D57" s="437">
        <f>IFERROR((Debt_performance___at_notional_gearing+Debt_performance___impact_of_actual_gearing)/Equity_RAV_based_on_actual_gearing,0)</f>
        <v>2.0099080354708587E-2</v>
      </c>
      <c r="E57" s="437">
        <f>IFERROR((Debt_performance___at_notional_gearing+Debt_performance___impact_of_actual_gearing)/Equity_RAV_based_on_actual_gearing,0)</f>
        <v>7.1148742812473478E-2</v>
      </c>
      <c r="F57" s="437">
        <f>IFERROR((Debt_performance___at_notional_gearing+Debt_performance___impact_of_actual_gearing)/Equity_RAV_based_on_actual_gearing,0)</f>
        <v>1.698602056005805E-2</v>
      </c>
      <c r="G57" s="437">
        <f>IFERROR((Debt_performance___at_notional_gearing+Debt_performance___impact_of_actual_gearing)/Equity_RAV_based_on_actual_gearing,0)</f>
        <v>6.0790040897753146E-3</v>
      </c>
      <c r="H57" s="437">
        <f>IFERROR((Debt_performance___at_notional_gearing+Debt_performance___impact_of_actual_gearing)/Equity_RAV_based_on_actual_gearing,0)</f>
        <v>9.3294735295623085E-3</v>
      </c>
      <c r="I57" s="80"/>
      <c r="J57" s="442">
        <f>IFERROR((AVERAGE(D84:INDEX(D84:H84,0,MATCH('RFPR cover'!$C$9,$D$6:$H$6,0)))+AVERAGE(D85:INDEX(D85:H85,0,MATCH('RFPR cover'!$C$9,$D$6:$H$6,0))))/AVERAGE($D$91:INDEX($D$91:$H$91,0,MATCH('RFPR cover'!$C$9,$D$6:$H$6,0))),0)</f>
        <v>2.0099080354708587E-2</v>
      </c>
      <c r="K57" s="442">
        <f>IFERROR((AVERAGE(D84:H84)+AVERAGE(D85:H85))/AVERAGE($D$91:$H$91),0)</f>
        <v>2.4160610607959553E-2</v>
      </c>
    </row>
    <row r="58" spans="1:12" ht="12.75" thickBot="1">
      <c r="B58" s="454" t="s">
        <v>212</v>
      </c>
      <c r="C58" s="453" t="s">
        <v>194</v>
      </c>
      <c r="D58" s="444">
        <f>IFERROR((Tax_performance___at_notional_gearing+Tax_performance___impact_of_actual_gearing)/D$91,0)</f>
        <v>-2.2344590688348999E-3</v>
      </c>
      <c r="E58" s="444">
        <f>IFERROR((Tax_performance___at_notional_gearing+Tax_performance___impact_of_actual_gearing)/E$91,0)</f>
        <v>-2.1047078214983715E-2</v>
      </c>
      <c r="F58" s="444">
        <f>IFERROR((Tax_performance___at_notional_gearing+Tax_performance___impact_of_actual_gearing)/F$91,0)</f>
        <v>6.5708426384947652E-3</v>
      </c>
      <c r="G58" s="444">
        <f>IFERROR((Tax_performance___at_notional_gearing+Tax_performance___impact_of_actual_gearing)/G$91,0)</f>
        <v>4.4611812777567237E-3</v>
      </c>
      <c r="H58" s="444">
        <f>IFERROR((Tax_performance___at_notional_gearing+Tax_performance___impact_of_actual_gearing)/H$91,0)</f>
        <v>2.6430275423759259E-3</v>
      </c>
      <c r="I58" s="80"/>
      <c r="J58" s="85">
        <f>IFERROR((AVERAGE(D86:INDEX(D86:H86,0,MATCH('RFPR cover'!$C$9,$D$6:$H$6,0)))+AVERAGE(D87:INDEX(D87:H87,0,MATCH('RFPR cover'!$C$9,$D$6:$H$6,0))))/AVERAGE($D$91:INDEX($D$91:$H$91,0,MATCH('RFPR cover'!$C$9,$D$6:$H$6,0))),0)</f>
        <v>-2.2344590688348999E-3</v>
      </c>
      <c r="K58" s="85">
        <f>IFERROR((AVERAGE(D86:H86)+AVERAGE(D87:H87))/AVERAGE($D$91:$H$91),0)</f>
        <v>-1.8223818615375825E-3</v>
      </c>
    </row>
    <row r="59" spans="1:12" ht="12.75" thickBot="1">
      <c r="B59" s="455" t="str">
        <f>B88</f>
        <v>RoRE - including financing and tax</v>
      </c>
      <c r="C59" s="170" t="s">
        <v>194</v>
      </c>
      <c r="D59" s="438">
        <f>SUM(D56:D58)</f>
        <v>7.163459779077358E-2</v>
      </c>
      <c r="E59" s="439">
        <f t="shared" ref="E59:H59" si="19">SUM(E56:E58)</f>
        <v>0.11370867491638417</v>
      </c>
      <c r="F59" s="439">
        <f t="shared" si="19"/>
        <v>8.3255285753082386E-2</v>
      </c>
      <c r="G59" s="439">
        <f t="shared" si="19"/>
        <v>6.1617726193882276E-2</v>
      </c>
      <c r="H59" s="440">
        <f t="shared" si="19"/>
        <v>6.4990968341574321E-2</v>
      </c>
      <c r="I59" s="81"/>
      <c r="J59" s="443">
        <f>SUM(J56:J58)</f>
        <v>7.163459779077358E-2</v>
      </c>
      <c r="K59" s="440">
        <f>SUM(K56:K58)</f>
        <v>7.8376171162984051E-2</v>
      </c>
    </row>
    <row r="60" spans="1:12">
      <c r="B60" s="169"/>
      <c r="C60" s="170"/>
      <c r="D60" s="171"/>
      <c r="E60" s="171"/>
      <c r="F60" s="171"/>
      <c r="G60" s="171"/>
      <c r="H60" s="171"/>
      <c r="I60" s="81"/>
      <c r="J60" s="171"/>
      <c r="K60" s="171"/>
    </row>
    <row r="61" spans="1:12">
      <c r="B61" s="169"/>
      <c r="C61" s="170"/>
      <c r="D61" s="171"/>
      <c r="E61" s="171"/>
      <c r="F61" s="171"/>
      <c r="G61" s="171"/>
      <c r="H61" s="171"/>
      <c r="I61" s="81"/>
      <c r="J61" s="171"/>
      <c r="K61" s="171"/>
    </row>
    <row r="62" spans="1:12">
      <c r="B62" s="181" t="s">
        <v>213</v>
      </c>
      <c r="C62" s="182"/>
      <c r="D62" s="183"/>
      <c r="E62" s="183"/>
      <c r="F62" s="183"/>
      <c r="G62" s="183"/>
      <c r="H62" s="183"/>
      <c r="I62" s="184"/>
      <c r="J62" s="183"/>
      <c r="K62" s="183"/>
      <c r="L62" s="98"/>
    </row>
    <row r="63" spans="1:12">
      <c r="B63" s="186" t="str">
        <f>"Input values provided in "&amp;Data!C9&amp;" prices"</f>
        <v>Input values provided in £m 18/19 prices</v>
      </c>
      <c r="C63" s="185"/>
      <c r="D63" s="185"/>
      <c r="E63" s="185"/>
      <c r="F63" s="185"/>
      <c r="G63" s="185"/>
      <c r="H63" s="185"/>
      <c r="I63" s="185"/>
      <c r="J63" s="185"/>
      <c r="K63" s="185"/>
      <c r="L63" s="185"/>
    </row>
    <row r="65" spans="1:12">
      <c r="B65" s="456" t="s">
        <v>214</v>
      </c>
      <c r="C65" s="458" t="str">
        <f>Data!$C$9</f>
        <v>£m 18/19</v>
      </c>
      <c r="D65" s="83">
        <f>'R7 - RAV'!E44</f>
        <v>31.33361695252658</v>
      </c>
      <c r="E65" s="84">
        <f>'R7 - RAV'!F44</f>
        <v>31.914898686541498</v>
      </c>
      <c r="F65" s="84">
        <f>'R7 - RAV'!G44</f>
        <v>32.047649007993364</v>
      </c>
      <c r="G65" s="84">
        <f>'R7 - RAV'!H44</f>
        <v>32.377513897110191</v>
      </c>
      <c r="H65" s="84">
        <f>'R7 - RAV'!I44</f>
        <v>32.601853275094328</v>
      </c>
      <c r="I65" s="88"/>
      <c r="J65" s="46">
        <f>SUM(D65:INDEX(D65:H65,0,MATCH('RFPR cover'!$C$9,$D$6:$H$6,0)))</f>
        <v>31.33361695252658</v>
      </c>
      <c r="K65" s="46">
        <f t="shared" ref="K65:K82" si="20">SUM(D65:H65)</f>
        <v>160.27553181926595</v>
      </c>
      <c r="L65" s="88"/>
    </row>
    <row r="66" spans="1:12">
      <c r="B66" s="456" t="s">
        <v>215</v>
      </c>
      <c r="C66" s="458" t="str">
        <f>Data!$C$9</f>
        <v>£m 18/19</v>
      </c>
      <c r="D66" s="118">
        <f>'R3 - Totex - Reconciliation'!D97</f>
        <v>11.150994178764829</v>
      </c>
      <c r="E66" s="118">
        <f>'R3 - Totex - Reconciliation'!E97</f>
        <v>9.5303805354146451</v>
      </c>
      <c r="F66" s="118">
        <f>'R3 - Totex - Reconciliation'!F97</f>
        <v>6.215581897576115</v>
      </c>
      <c r="G66" s="118">
        <f>'R3 - Totex - Reconciliation'!G97</f>
        <v>1.929688458504319</v>
      </c>
      <c r="H66" s="118">
        <f>'R3 - Totex - Reconciliation'!H97</f>
        <v>4.4125526077039829</v>
      </c>
      <c r="I66" s="88"/>
      <c r="J66" s="46">
        <f>SUM(D66:INDEX(D66:H66,0,MATCH('RFPR cover'!$C$9,$D$6:$H$6,0)))</f>
        <v>11.150994178764829</v>
      </c>
      <c r="K66" s="46">
        <f t="shared" si="20"/>
        <v>33.239197677963894</v>
      </c>
      <c r="L66" s="88"/>
    </row>
    <row r="67" spans="1:12">
      <c r="A67" s="78" t="s">
        <v>195</v>
      </c>
      <c r="B67" s="456" t="s">
        <v>216</v>
      </c>
      <c r="C67" s="458" t="str">
        <f>Data!$C$9</f>
        <v>£m 18/19</v>
      </c>
      <c r="D67" s="115">
        <f>'R4 - Incentives and Other Rev'!D12</f>
        <v>-7.0993072540795777E-3</v>
      </c>
      <c r="E67" s="115">
        <f>'R4 - Incentives and Other Rev'!E12</f>
        <v>-7.0993072540795777E-3</v>
      </c>
      <c r="F67" s="115">
        <f>'R4 - Incentives and Other Rev'!F12</f>
        <v>-7.0993072540795777E-3</v>
      </c>
      <c r="G67" s="115">
        <f>'R4 - Incentives and Other Rev'!G12</f>
        <v>-7.0993072540795777E-3</v>
      </c>
      <c r="H67" s="115">
        <f>'R4 - Incentives and Other Rev'!H12</f>
        <v>-7.0993072540795777E-3</v>
      </c>
      <c r="I67" s="88"/>
      <c r="J67" s="46">
        <f>SUM(D67:INDEX(D67:H67,0,MATCH('RFPR cover'!$C$9,$D$6:$H$6,0)))</f>
        <v>-7.0993072540795777E-3</v>
      </c>
      <c r="K67" s="46">
        <f t="shared" si="20"/>
        <v>-3.5496536270397887E-2</v>
      </c>
      <c r="L67" s="88"/>
    </row>
    <row r="68" spans="1:12">
      <c r="A68" s="78" t="s">
        <v>196</v>
      </c>
      <c r="B68" s="659" t="str">
        <f>'R4 - Incentives and Other Rev'!B14</f>
        <v>Customer Satisfaction Survey ODI</v>
      </c>
      <c r="C68" s="458" t="str">
        <f>Data!$C$9</f>
        <v>£m 18/19</v>
      </c>
      <c r="D68" s="115">
        <f>'R4 - Incentives and Other Rev'!D14</f>
        <v>0.51503520948066805</v>
      </c>
      <c r="E68" s="115">
        <f>'R4 - Incentives and Other Rev'!E14</f>
        <v>0.91467023172905271</v>
      </c>
      <c r="F68" s="115">
        <f>'R4 - Incentives and Other Rev'!F14</f>
        <v>1.0962210338680893</v>
      </c>
      <c r="G68" s="115">
        <f>'R4 - Incentives and Other Rev'!G14</f>
        <v>1.3622794117647055</v>
      </c>
      <c r="H68" s="115">
        <f>'R4 - Incentives and Other Rev'!H14</f>
        <v>1.4550000000000001</v>
      </c>
      <c r="I68" s="327"/>
      <c r="J68" s="46">
        <f>SUM(D68:INDEX(D68:H68,0,MATCH('RFPR cover'!$C$9,$D$6:$H$6,0)))</f>
        <v>0.51503520948066805</v>
      </c>
      <c r="K68" s="46">
        <f t="shared" si="20"/>
        <v>5.3432058868425152</v>
      </c>
      <c r="L68" s="88"/>
    </row>
    <row r="69" spans="1:12">
      <c r="A69" s="78" t="s">
        <v>197</v>
      </c>
      <c r="B69" s="659" t="str">
        <f>'R4 - Incentives and Other Rev'!B15</f>
        <v>Complaints metric ODI</v>
      </c>
      <c r="C69" s="458" t="str">
        <f>Data!$C$9</f>
        <v>£m 18/19</v>
      </c>
      <c r="D69" s="115">
        <f>'R4 - Incentives and Other Rev'!D15</f>
        <v>0</v>
      </c>
      <c r="E69" s="115">
        <f>'R4 - Incentives and Other Rev'!E15</f>
        <v>0</v>
      </c>
      <c r="F69" s="115">
        <f>'R4 - Incentives and Other Rev'!F15</f>
        <v>0</v>
      </c>
      <c r="G69" s="115">
        <f>'R4 - Incentives and Other Rev'!G15</f>
        <v>0</v>
      </c>
      <c r="H69" s="115">
        <f>'R4 - Incentives and Other Rev'!H15</f>
        <v>0</v>
      </c>
      <c r="I69" s="327"/>
      <c r="J69" s="46">
        <f>SUM(D69:INDEX(D69:H69,0,MATCH('RFPR cover'!$C$9,$D$6:$H$6,0)))</f>
        <v>0</v>
      </c>
      <c r="K69" s="46">
        <f t="shared" si="20"/>
        <v>0</v>
      </c>
      <c r="L69" s="88"/>
    </row>
    <row r="70" spans="1:12">
      <c r="A70" s="78" t="s">
        <v>198</v>
      </c>
      <c r="B70" s="659" t="str">
        <f>'R4 - Incentives and Other Rev'!B16</f>
        <v>Unplanned Interruption Mean Duration ODI [NGN, SGN and WWU]</v>
      </c>
      <c r="C70" s="458" t="str">
        <f>Data!$C$9</f>
        <v>£m 18/19</v>
      </c>
      <c r="D70" s="115">
        <f>'R4 - Incentives and Other Rev'!D16</f>
        <v>0</v>
      </c>
      <c r="E70" s="115">
        <f>'R4 - Incentives and Other Rev'!E16</f>
        <v>0</v>
      </c>
      <c r="F70" s="115">
        <f>'R4 - Incentives and Other Rev'!F16</f>
        <v>0</v>
      </c>
      <c r="G70" s="115">
        <f>'R4 - Incentives and Other Rev'!G16</f>
        <v>0</v>
      </c>
      <c r="H70" s="115">
        <f>'R4 - Incentives and Other Rev'!H16</f>
        <v>0</v>
      </c>
      <c r="I70" s="327"/>
      <c r="J70" s="46">
        <f>SUM(D70:INDEX(D70:H70,0,MATCH('RFPR cover'!$C$9,$D$6:$H$6,0)))</f>
        <v>0</v>
      </c>
      <c r="K70" s="46">
        <f t="shared" si="20"/>
        <v>0</v>
      </c>
      <c r="L70" s="88"/>
    </row>
    <row r="71" spans="1:12">
      <c r="A71" s="78" t="s">
        <v>199</v>
      </c>
      <c r="B71" s="659" t="str">
        <f>'R4 - Incentives and Other Rev'!B17</f>
        <v>Unplanned Interruption Mean Duration ODI [Cadent only]</v>
      </c>
      <c r="C71" s="458" t="str">
        <f>Data!$C$9</f>
        <v>£m 18/19</v>
      </c>
      <c r="D71" s="115">
        <f>'R4 - Incentives and Other Rev'!D17</f>
        <v>0</v>
      </c>
      <c r="E71" s="115">
        <f>'R4 - Incentives and Other Rev'!E17</f>
        <v>0</v>
      </c>
      <c r="F71" s="115">
        <f>'R4 - Incentives and Other Rev'!F17</f>
        <v>0</v>
      </c>
      <c r="G71" s="115">
        <f>'R4 - Incentives and Other Rev'!G17</f>
        <v>0</v>
      </c>
      <c r="H71" s="115">
        <f>'R4 - Incentives and Other Rev'!H17</f>
        <v>0</v>
      </c>
      <c r="I71" s="327"/>
      <c r="J71" s="46">
        <f>SUM(D71:INDEX(D71:H71,0,MATCH('RFPR cover'!$C$9,$D$6:$H$6,0)))</f>
        <v>0</v>
      </c>
      <c r="K71" s="46">
        <f t="shared" si="20"/>
        <v>0</v>
      </c>
      <c r="L71" s="88"/>
    </row>
    <row r="72" spans="1:12">
      <c r="A72" s="78" t="s">
        <v>200</v>
      </c>
      <c r="B72" s="659" t="str">
        <f>'R4 - Incentives and Other Rev'!B18</f>
        <v>Shrinkage Management ODI</v>
      </c>
      <c r="C72" s="458" t="str">
        <f>Data!$C$9</f>
        <v>£m 18/19</v>
      </c>
      <c r="D72" s="115">
        <f>'R4 - Incentives and Other Rev'!D18</f>
        <v>-4.6783422400071299E-3</v>
      </c>
      <c r="E72" s="115">
        <f>'R4 - Incentives and Other Rev'!E18</f>
        <v>0</v>
      </c>
      <c r="F72" s="115">
        <f>'R4 - Incentives and Other Rev'!F18</f>
        <v>0</v>
      </c>
      <c r="G72" s="115">
        <f>'R4 - Incentives and Other Rev'!G18</f>
        <v>0</v>
      </c>
      <c r="H72" s="115">
        <f>'R4 - Incentives and Other Rev'!H18</f>
        <v>0</v>
      </c>
      <c r="I72" s="327"/>
      <c r="J72" s="46">
        <f>SUM(D72:INDEX(D72:H72,0,MATCH('RFPR cover'!$C$9,$D$6:$H$6,0)))</f>
        <v>-4.6783422400071299E-3</v>
      </c>
      <c r="K72" s="46">
        <f t="shared" si="20"/>
        <v>-4.6783422400071299E-3</v>
      </c>
      <c r="L72" s="88"/>
    </row>
    <row r="73" spans="1:12">
      <c r="A73" s="78" t="s">
        <v>201</v>
      </c>
      <c r="B73" s="659" t="str">
        <f>'R4 - Incentives and Other Rev'!B19</f>
        <v>Collaborative streetworks ODI [Cadent Lon &amp; EoE, SGN So only]</v>
      </c>
      <c r="C73" s="458" t="str">
        <f>Data!$C$9</f>
        <v>£m 18/19</v>
      </c>
      <c r="D73" s="115">
        <f>'R4 - Incentives and Other Rev'!D19</f>
        <v>0</v>
      </c>
      <c r="E73" s="115">
        <f>'R4 - Incentives and Other Rev'!E19</f>
        <v>0</v>
      </c>
      <c r="F73" s="115">
        <f>'R4 - Incentives and Other Rev'!F19</f>
        <v>0</v>
      </c>
      <c r="G73" s="115">
        <f>'R4 - Incentives and Other Rev'!G19</f>
        <v>0</v>
      </c>
      <c r="H73" s="115">
        <f>'R4 - Incentives and Other Rev'!H19</f>
        <v>0</v>
      </c>
      <c r="I73" s="327"/>
      <c r="J73" s="46">
        <f>SUM(D73:INDEX(D73:H73,0,MATCH('RFPR cover'!$C$9,$D$6:$H$6,0)))</f>
        <v>0</v>
      </c>
      <c r="K73" s="46">
        <f t="shared" si="20"/>
        <v>0</v>
      </c>
      <c r="L73" s="88"/>
    </row>
    <row r="74" spans="1:12">
      <c r="A74" s="78" t="s">
        <v>202</v>
      </c>
      <c r="B74" s="659" t="str">
        <f>'R4 - Incentives and Other Rev'!B41</f>
        <v>Network innovation input for RORE</v>
      </c>
      <c r="C74" s="458" t="str">
        <f>Data!$C$9</f>
        <v>£m 18/19</v>
      </c>
      <c r="D74" s="115">
        <f>-'R4 - Incentives and Other Rev'!D41</f>
        <v>-3.1729832764654575E-2</v>
      </c>
      <c r="E74" s="115">
        <f>-'R4 - Incentives and Other Rev'!E41</f>
        <v>-0.14141070151359703</v>
      </c>
      <c r="F74" s="115">
        <f>-'R4 - Incentives and Other Rev'!F41</f>
        <v>-0.1644567741201155</v>
      </c>
      <c r="G74" s="115">
        <f>-'R4 - Incentives and Other Rev'!G41</f>
        <v>-0.1644567741201155</v>
      </c>
      <c r="H74" s="115">
        <f>-'R4 - Incentives and Other Rev'!H41</f>
        <v>-0.1644567741201155</v>
      </c>
      <c r="I74" s="88"/>
      <c r="J74" s="46">
        <f>SUM(D74:INDEX(D74:H74,0,MATCH('RFPR cover'!$C$9,$D$6:$H$6,0)))</f>
        <v>-3.1729832764654575E-2</v>
      </c>
      <c r="K74" s="46">
        <f t="shared" si="20"/>
        <v>-0.6665108566385981</v>
      </c>
      <c r="L74" s="88"/>
    </row>
    <row r="75" spans="1:12">
      <c r="A75" s="78" t="s">
        <v>203</v>
      </c>
      <c r="B75" s="659" t="str">
        <f>'R4 - Incentives and Other Rev'!B48</f>
        <v>Carry-over Network innovation input for RORE</v>
      </c>
      <c r="C75" s="458" t="str">
        <f>Data!$C$9</f>
        <v>£m 18/19</v>
      </c>
      <c r="D75" s="115">
        <f>-'R4 - Incentives and Other Rev'!D48</f>
        <v>-5.601380660704991E-2</v>
      </c>
      <c r="E75" s="115">
        <f>-'R4 - Incentives and Other Rev'!E48</f>
        <v>0</v>
      </c>
      <c r="F75" s="115">
        <f>-'R4 - Incentives and Other Rev'!F48</f>
        <v>0</v>
      </c>
      <c r="G75" s="115">
        <f>-'R4 - Incentives and Other Rev'!G48</f>
        <v>0</v>
      </c>
      <c r="H75" s="115">
        <f>-'R4 - Incentives and Other Rev'!H48</f>
        <v>0</v>
      </c>
      <c r="I75" s="88"/>
      <c r="J75" s="46">
        <f>SUM(D75:INDEX(D75:H75,0,MATCH('RFPR cover'!$C$9,$D$6:$H$6,0)))</f>
        <v>-5.601380660704991E-2</v>
      </c>
      <c r="K75" s="46">
        <f t="shared" si="20"/>
        <v>-5.601380660704991E-2</v>
      </c>
      <c r="L75" s="88"/>
    </row>
    <row r="76" spans="1:12">
      <c r="A76" s="78" t="s">
        <v>204</v>
      </c>
      <c r="B76" s="659" t="str">
        <f>'R4 - Incentives and Other Rev'!B55</f>
        <v>Strategic innovation input for RORE</v>
      </c>
      <c r="C76" s="458" t="str">
        <f>Data!$C$9</f>
        <v>£m 18/19</v>
      </c>
      <c r="D76" s="115">
        <f>-'R4 - Incentives and Other Rev'!D55</f>
        <v>0</v>
      </c>
      <c r="E76" s="115">
        <f>-'R4 - Incentives and Other Rev'!E55</f>
        <v>0</v>
      </c>
      <c r="F76" s="115">
        <f>-'R4 - Incentives and Other Rev'!F55</f>
        <v>0</v>
      </c>
      <c r="G76" s="115">
        <f>-'R4 - Incentives and Other Rev'!G55</f>
        <v>0</v>
      </c>
      <c r="H76" s="115">
        <f>-'R4 - Incentives and Other Rev'!H55</f>
        <v>0</v>
      </c>
      <c r="I76" s="88"/>
      <c r="J76" s="46"/>
      <c r="K76" s="46"/>
      <c r="L76" s="88"/>
    </row>
    <row r="77" spans="1:12">
      <c r="A77" s="78" t="s">
        <v>205</v>
      </c>
      <c r="B77" s="659" t="str">
        <f>'R4 - Incentives and Other Rev'!B62</f>
        <v/>
      </c>
      <c r="C77" s="458" t="str">
        <f>Data!$C$9</f>
        <v>£m 18/19</v>
      </c>
      <c r="D77" s="116">
        <f>'R4 - Incentives and Other Rev'!D62</f>
        <v>0</v>
      </c>
      <c r="E77" s="116">
        <f>'R4 - Incentives and Other Rev'!E62</f>
        <v>0</v>
      </c>
      <c r="F77" s="116">
        <f>'R4 - Incentives and Other Rev'!F62</f>
        <v>0</v>
      </c>
      <c r="G77" s="116">
        <f>'R4 - Incentives and Other Rev'!G62</f>
        <v>0</v>
      </c>
      <c r="H77" s="116">
        <f>'R4 - Incentives and Other Rev'!H62</f>
        <v>0</v>
      </c>
      <c r="I77" s="88"/>
      <c r="J77" s="46">
        <f>SUM(D77:INDEX(D77:H77,0,MATCH('RFPR cover'!$C$9,$D$6:$H$6,0)))</f>
        <v>0</v>
      </c>
      <c r="K77" s="46">
        <f t="shared" si="20"/>
        <v>0</v>
      </c>
      <c r="L77" s="88"/>
    </row>
    <row r="78" spans="1:12">
      <c r="A78" s="78" t="s">
        <v>206</v>
      </c>
      <c r="B78" s="659" t="str">
        <f>'R4 - Incentives and Other Rev'!B63</f>
        <v/>
      </c>
      <c r="C78" s="458" t="str">
        <f>Data!$C$9</f>
        <v>£m 18/19</v>
      </c>
      <c r="D78" s="116">
        <f>'R4 - Incentives and Other Rev'!D63</f>
        <v>0</v>
      </c>
      <c r="E78" s="116">
        <f>'R4 - Incentives and Other Rev'!E63</f>
        <v>0</v>
      </c>
      <c r="F78" s="116">
        <f>'R4 - Incentives and Other Rev'!F63</f>
        <v>0</v>
      </c>
      <c r="G78" s="116">
        <f>'R4 - Incentives and Other Rev'!G63</f>
        <v>0</v>
      </c>
      <c r="H78" s="116">
        <f>'R4 - Incentives and Other Rev'!H63</f>
        <v>0</v>
      </c>
      <c r="I78" s="88"/>
      <c r="J78" s="46">
        <f>SUM(D78:INDEX(D78:H78,0,MATCH('RFPR cover'!$C$9,$D$6:$H$6,0)))</f>
        <v>0</v>
      </c>
      <c r="K78" s="46">
        <f t="shared" si="20"/>
        <v>0</v>
      </c>
      <c r="L78" s="88"/>
    </row>
    <row r="79" spans="1:12">
      <c r="A79" s="78" t="s">
        <v>207</v>
      </c>
      <c r="B79" s="659" t="str">
        <f>'R4 - Incentives and Other Rev'!B64</f>
        <v/>
      </c>
      <c r="C79" s="458" t="str">
        <f>Data!$C$9</f>
        <v>£m 18/19</v>
      </c>
      <c r="D79" s="116">
        <f>'R4 - Incentives and Other Rev'!D64</f>
        <v>0</v>
      </c>
      <c r="E79" s="116">
        <f>'R4 - Incentives and Other Rev'!E64</f>
        <v>0</v>
      </c>
      <c r="F79" s="116">
        <f>'R4 - Incentives and Other Rev'!F64</f>
        <v>0</v>
      </c>
      <c r="G79" s="116">
        <f>'R4 - Incentives and Other Rev'!G64</f>
        <v>0</v>
      </c>
      <c r="H79" s="116">
        <f>'R4 - Incentives and Other Rev'!H64</f>
        <v>0</v>
      </c>
      <c r="I79" s="88"/>
      <c r="J79" s="46">
        <f>SUM(D79:INDEX(D79:H79,0,MATCH('RFPR cover'!$C$9,$D$6:$H$6,0)))</f>
        <v>0</v>
      </c>
      <c r="K79" s="46">
        <f t="shared" si="20"/>
        <v>0</v>
      </c>
      <c r="L79" s="88"/>
    </row>
    <row r="80" spans="1:12">
      <c r="A80" s="78" t="s">
        <v>208</v>
      </c>
      <c r="B80" s="659" t="str">
        <f>'R4 - Incentives and Other Rev'!B65</f>
        <v/>
      </c>
      <c r="C80" s="458" t="str">
        <f>Data!$C$9</f>
        <v>£m 18/19</v>
      </c>
      <c r="D80" s="116">
        <f>'R4 - Incentives and Other Rev'!D65</f>
        <v>0</v>
      </c>
      <c r="E80" s="116">
        <f>'R4 - Incentives and Other Rev'!E65</f>
        <v>0</v>
      </c>
      <c r="F80" s="116">
        <f>'R4 - Incentives and Other Rev'!F65</f>
        <v>0</v>
      </c>
      <c r="G80" s="116">
        <f>'R4 - Incentives and Other Rev'!G65</f>
        <v>0</v>
      </c>
      <c r="H80" s="116">
        <f>'R4 - Incentives and Other Rev'!H65</f>
        <v>0</v>
      </c>
      <c r="I80" s="88"/>
      <c r="J80" s="46">
        <f>SUM(D80:INDEX(D80:H80,0,MATCH('RFPR cover'!$C$9,$D$6:$H$6,0)))</f>
        <v>0</v>
      </c>
      <c r="K80" s="46">
        <f>SUM(D80:H80)</f>
        <v>0</v>
      </c>
      <c r="L80" s="88"/>
    </row>
    <row r="81" spans="1:14">
      <c r="A81" s="78" t="s">
        <v>209</v>
      </c>
      <c r="B81" s="659" t="str">
        <f>'R4 - Incentives and Other Rev'!B66</f>
        <v/>
      </c>
      <c r="C81" s="458" t="str">
        <f>Data!$C$9</f>
        <v>£m 18/19</v>
      </c>
      <c r="D81" s="116">
        <f>'R4 - Incentives and Other Rev'!D66</f>
        <v>0</v>
      </c>
      <c r="E81" s="116">
        <f>'R4 - Incentives and Other Rev'!E66</f>
        <v>0</v>
      </c>
      <c r="F81" s="116">
        <f>'R4 - Incentives and Other Rev'!F66</f>
        <v>0</v>
      </c>
      <c r="G81" s="116">
        <f>'R4 - Incentives and Other Rev'!G66</f>
        <v>0</v>
      </c>
      <c r="H81" s="116">
        <f>'R4 - Incentives and Other Rev'!H66</f>
        <v>0</v>
      </c>
      <c r="I81" s="88"/>
      <c r="J81" s="46">
        <f>SUM(D81:INDEX(D81:H81,0,MATCH('RFPR cover'!$C$9,$D$6:$H$6,0)))</f>
        <v>0</v>
      </c>
      <c r="K81" s="46">
        <f>SUM(D81:H81)</f>
        <v>0</v>
      </c>
      <c r="L81" s="88"/>
    </row>
    <row r="82" spans="1:14" ht="12.75" thickBot="1">
      <c r="B82" s="456" t="s">
        <v>217</v>
      </c>
      <c r="C82" s="458" t="str">
        <f>Data!$C$9</f>
        <v>£m 18/19</v>
      </c>
      <c r="D82" s="116">
        <f>-'R10 - Pensions &amp; Oth Activities'!D54</f>
        <v>-0.860900708183998</v>
      </c>
      <c r="E82" s="116">
        <f>-'R10 - Pensions &amp; Oth Activities'!E54</f>
        <v>-0.74020333620775547</v>
      </c>
      <c r="F82" s="116">
        <f>-'R10 - Pensions &amp; Oth Activities'!F54</f>
        <v>-0.71638321021731544</v>
      </c>
      <c r="G82" s="116">
        <f>-'R10 - Pensions &amp; Oth Activities'!G54</f>
        <v>-0.70444701123725628</v>
      </c>
      <c r="H82" s="116">
        <f>-'R10 - Pensions &amp; Oth Activities'!H54</f>
        <v>-0.69124099794357441</v>
      </c>
      <c r="I82" s="88"/>
      <c r="J82" s="410">
        <f>SUM(D82:INDEX(D82:H82,0,MATCH('RFPR cover'!$C$9,$D$6:$H$6,0)))</f>
        <v>-0.860900708183998</v>
      </c>
      <c r="K82" s="410">
        <f t="shared" si="20"/>
        <v>-3.7131752637898998</v>
      </c>
      <c r="L82" s="88"/>
    </row>
    <row r="83" spans="1:14" ht="12.75" thickBot="1">
      <c r="B83" s="457" t="s">
        <v>218</v>
      </c>
      <c r="C83" s="459" t="str">
        <f>Data!$C$9</f>
        <v>£m 18/19</v>
      </c>
      <c r="D83" s="432">
        <f>SUM(D65:D82)</f>
        <v>42.039224343722289</v>
      </c>
      <c r="E83" s="434">
        <f>SUM(E65:E82)</f>
        <v>41.471236108709761</v>
      </c>
      <c r="F83" s="434">
        <f>SUM(F65:F82)</f>
        <v>38.471512647846055</v>
      </c>
      <c r="G83" s="434">
        <f>SUM(G65:G82)</f>
        <v>34.793478674767755</v>
      </c>
      <c r="H83" s="433">
        <f>SUM(H65:H82)</f>
        <v>37.60660880348054</v>
      </c>
      <c r="I83" s="241"/>
      <c r="J83" s="432">
        <f>SUM(J65:J82)</f>
        <v>42.039224343722289</v>
      </c>
      <c r="K83" s="433">
        <f>SUM(K65:K82)</f>
        <v>194.38206057852642</v>
      </c>
      <c r="L83" s="88"/>
    </row>
    <row r="84" spans="1:14">
      <c r="B84" s="456" t="s">
        <v>219</v>
      </c>
      <c r="C84" s="458" t="str">
        <f>Data!$C$9</f>
        <v>£m 18/19</v>
      </c>
      <c r="D84" s="460">
        <f>IFERROR('R5 - Financing'!D85+'R8 - Tax'!E67,0)</f>
        <v>14.817481643502337</v>
      </c>
      <c r="E84" s="460">
        <f>IFERROR('R5 - Financing'!E85+'R8 - Tax'!F67,0)</f>
        <v>45.391770917519324</v>
      </c>
      <c r="F84" s="460">
        <f>IFERROR('R5 - Financing'!F85+'R8 - Tax'!G67,0)</f>
        <v>11.674783238445187</v>
      </c>
      <c r="G84" s="460">
        <f>IFERROR('R5 - Financing'!G85+'R8 - Tax'!H67,0)</f>
        <v>4.6455309064092267</v>
      </c>
      <c r="H84" s="460">
        <f>IFERROR('R5 - Financing'!H85+'R8 - Tax'!I67,0)</f>
        <v>6.6487429089760797</v>
      </c>
      <c r="I84" s="88"/>
      <c r="J84" s="431">
        <f>SUM(D84:INDEX(D84:H84,0,MATCH('RFPR cover'!$C$9,$D$6:$H$6,0)))</f>
        <v>14.817481643502337</v>
      </c>
      <c r="K84" s="431">
        <f>SUM(D84:H84)</f>
        <v>83.178309614852139</v>
      </c>
      <c r="L84" s="88"/>
    </row>
    <row r="85" spans="1:14">
      <c r="B85" s="456" t="s">
        <v>220</v>
      </c>
      <c r="C85" s="458" t="str">
        <f>Data!$C$9</f>
        <v>£m 18/19</v>
      </c>
      <c r="D85" s="461">
        <f>IFERROR('R5 - Financing'!D87+'R8 - Tax'!E68,0)</f>
        <v>0.896673412100081</v>
      </c>
      <c r="E85" s="461">
        <f>IFERROR('R5 - Financing'!E87+'R8 - Tax'!F68,0)</f>
        <v>0.99661138847113673</v>
      </c>
      <c r="F85" s="461">
        <f>IFERROR('R5 - Financing'!F87+'R8 - Tax'!G68,0)</f>
        <v>-0.7284654489600717</v>
      </c>
      <c r="G85" s="461">
        <f>IFERROR('R5 - Financing'!G87+'R8 - Tax'!H68,0)</f>
        <v>-0.50457784289939633</v>
      </c>
      <c r="H85" s="461">
        <f>IFERROR('R5 - Financing'!H87+'R8 - Tax'!I68,0)</f>
        <v>-3.1240000331834716E-2</v>
      </c>
      <c r="I85" s="88"/>
      <c r="J85" s="46">
        <f>SUM(D85:INDEX(D85:H85,0,MATCH('RFPR cover'!$C$9,$D$6:$H$6,0)))</f>
        <v>0.896673412100081</v>
      </c>
      <c r="K85" s="46">
        <f>SUM(D85:H85)</f>
        <v>0.62900150837991498</v>
      </c>
      <c r="L85" s="88"/>
    </row>
    <row r="86" spans="1:14">
      <c r="B86" s="456" t="s">
        <v>221</v>
      </c>
      <c r="C86" s="458" t="str">
        <f>Data!$C$9</f>
        <v>£m 18/19</v>
      </c>
      <c r="D86" s="461">
        <f>'R8 - Tax'!E60-'R8 - Tax'!E67</f>
        <v>-1.7469772573371896</v>
      </c>
      <c r="E86" s="461">
        <f>'R8 - Tax'!F60-'R8 - Tax'!F67</f>
        <v>-13.722518094720016</v>
      </c>
      <c r="F86" s="461">
        <f>'R8 - Tax'!G60-'R8 - Tax'!G67</f>
        <v>4.2344545275539671</v>
      </c>
      <c r="G86" s="461">
        <f>'R8 - Tax'!H60-'R8 - Tax'!H67</f>
        <v>3.0389093355063359</v>
      </c>
      <c r="H86" s="461">
        <f>'R8 - Tax'!I60-'R8 - Tax'!I67</f>
        <v>1.8747298434234478</v>
      </c>
      <c r="I86" s="88"/>
      <c r="J86" s="46">
        <f>SUM(D86:INDEX(D86:H86,0,MATCH('RFPR cover'!$C$9,$D$6:$H$6,0)))</f>
        <v>-1.7469772573371896</v>
      </c>
      <c r="K86" s="46">
        <f>SUM(D86:H86)</f>
        <v>-6.3214016455734532</v>
      </c>
      <c r="L86" s="88"/>
    </row>
    <row r="87" spans="1:14" ht="12.75" thickBot="1">
      <c r="B87" s="456" t="s">
        <v>222</v>
      </c>
      <c r="C87" s="458" t="str">
        <f>Data!$C$9</f>
        <v>£m 18/19</v>
      </c>
      <c r="D87" s="462">
        <f>'R8 - Tax'!E62-'R8 - Tax'!E68</f>
        <v>-8.8817841970012523E-16</v>
      </c>
      <c r="E87" s="462">
        <f>'R8 - Tax'!F62-'R8 - Tax'!F68</f>
        <v>8.8817841970012523E-16</v>
      </c>
      <c r="F87" s="462">
        <f>'R8 - Tax'!G62-'R8 - Tax'!G68</f>
        <v>-8.8817841970012523E-16</v>
      </c>
      <c r="G87" s="462">
        <f>'R8 - Tax'!H62-'R8 - Tax'!H68</f>
        <v>4.4408920985006262E-16</v>
      </c>
      <c r="H87" s="462">
        <f>'R8 - Tax'!I62-'R8 - Tax'!I68</f>
        <v>-6.6613381477509392E-16</v>
      </c>
      <c r="I87" s="88"/>
      <c r="J87" s="410">
        <f>SUM(D87:INDEX(D87:H87,0,MATCH('RFPR cover'!$C$9,$D$6:$H$6,0)))</f>
        <v>-8.8817841970012523E-16</v>
      </c>
      <c r="K87" s="410">
        <f>SUM(D87:H87)</f>
        <v>-1.1102230246251565E-15</v>
      </c>
      <c r="L87" s="88"/>
    </row>
    <row r="88" spans="1:14" ht="12.75" thickBot="1">
      <c r="B88" s="457" t="s">
        <v>223</v>
      </c>
      <c r="C88" s="459" t="str">
        <f>Data!$C$9</f>
        <v>£m 18/19</v>
      </c>
      <c r="D88" s="623">
        <f>IF(OR(Licensee=Data!$B$78,Licensee=Data!$B$81),"N/A",SUM(D83:D87))</f>
        <v>56.006402141987515</v>
      </c>
      <c r="E88" s="623">
        <f>IF(OR(Licensee=Data!$B$78,Licensee=Data!$B$81),"N/A",SUM(E83:E87))</f>
        <v>74.137100319980206</v>
      </c>
      <c r="F88" s="623">
        <f>IF(OR(Licensee=Data!$B$78,Licensee=Data!$B$81),"N/A",SUM(F83:F87))</f>
        <v>53.652284964885133</v>
      </c>
      <c r="G88" s="623">
        <f>IF(OR(Licensee=Data!$B$78,Licensee=Data!$B$81),"N/A",SUM(G83:G87))</f>
        <v>41.973341073783928</v>
      </c>
      <c r="H88" s="623">
        <f>IF(OR(Licensee=Data!$B$78,Licensee=Data!$B$81),"N/A",SUM(H83:H87))</f>
        <v>46.098841555548233</v>
      </c>
      <c r="I88" s="241"/>
      <c r="J88" s="432">
        <f>SUM(J83:J87)</f>
        <v>56.006402141987515</v>
      </c>
      <c r="K88" s="433">
        <f>SUM(K83:K87)</f>
        <v>271.86797005618502</v>
      </c>
      <c r="L88" s="88"/>
    </row>
    <row r="89" spans="1:14">
      <c r="D89" s="435"/>
      <c r="I89" s="88"/>
      <c r="L89" s="88"/>
      <c r="N89" s="88"/>
    </row>
    <row r="90" spans="1:14">
      <c r="B90" s="622" t="s">
        <v>224</v>
      </c>
      <c r="C90" s="458" t="str">
        <f>Data!$C$9</f>
        <v>£m 18/19</v>
      </c>
      <c r="D90" s="114">
        <f>'R7 - RAV'!E40</f>
        <v>693.49961221239494</v>
      </c>
      <c r="E90" s="84">
        <f>'R7 - RAV'!F40</f>
        <v>700.3780097184532</v>
      </c>
      <c r="F90" s="84">
        <f>'R7 - RAV'!G40</f>
        <v>705.90884882982709</v>
      </c>
      <c r="G90" s="84">
        <f>'R7 - RAV'!H40</f>
        <v>709.40279554888048</v>
      </c>
      <c r="H90" s="84">
        <f>'R7 - RAV'!I40</f>
        <v>711.30849618195953</v>
      </c>
      <c r="I90" s="88"/>
      <c r="L90" s="88"/>
    </row>
    <row r="91" spans="1:14">
      <c r="B91" s="456" t="s">
        <v>225</v>
      </c>
      <c r="C91" s="458" t="str">
        <f>Data!$C$9</f>
        <v>£m 18/19</v>
      </c>
      <c r="D91" s="117">
        <f>IFERROR('R6 - Net Debt'!D63,0)</f>
        <v>781.83453064911407</v>
      </c>
      <c r="E91" s="117">
        <f>IFERROR('R6 - Net Debt'!E63,0)</f>
        <v>651.99159496403445</v>
      </c>
      <c r="F91" s="117">
        <f>IFERROR('R6 - Net Debt'!F63,0)</f>
        <v>644.43097491739445</v>
      </c>
      <c r="G91" s="117">
        <f>IFERROR('R6 - Net Debt'!G63,0)</f>
        <v>681.18938601715649</v>
      </c>
      <c r="H91" s="117">
        <f>IFERROR('R6 - Net Debt'!H63,0)</f>
        <v>709.31150484272882</v>
      </c>
      <c r="I91" s="88"/>
      <c r="L91" s="88"/>
    </row>
    <row r="92" spans="1:14">
      <c r="L92" s="88"/>
    </row>
    <row r="93" spans="1:14">
      <c r="L93" s="88"/>
    </row>
    <row r="94" spans="1:14">
      <c r="L94" s="88"/>
    </row>
  </sheetData>
  <phoneticPr fontId="251" type="noConversion"/>
  <conditionalFormatting sqref="D6:G6">
    <cfRule type="expression" dxfId="99" priority="8">
      <formula>AND(D$5="Actuals",E$5="Forecast")</formula>
    </cfRule>
  </conditionalFormatting>
  <conditionalFormatting sqref="H6">
    <cfRule type="expression" dxfId="98" priority="201">
      <formula>AND(H$5="Actuals",#REF!="Forecast")</formula>
    </cfRule>
  </conditionalFormatting>
  <conditionalFormatting sqref="D7:H7">
    <cfRule type="expression" dxfId="97" priority="2">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T141"/>
  <sheetViews>
    <sheetView showGridLines="0" zoomScale="75" zoomScaleNormal="115" workbookViewId="0">
      <pane ySplit="7" topLeftCell="A62" activePane="bottomLeft" state="frozen"/>
      <selection pane="bottomLeft" activeCell="L104" sqref="L104"/>
    </sheetView>
  </sheetViews>
  <sheetFormatPr defaultRowHeight="12.4" outlineLevelCol="1"/>
  <cols>
    <col min="1" max="1" width="8.3515625" customWidth="1"/>
    <col min="2" max="2" width="58.3515625" style="88" customWidth="1"/>
    <col min="3" max="3" width="22.1171875" style="88" customWidth="1"/>
    <col min="4" max="4" width="13.3515625" style="69" customWidth="1"/>
    <col min="5" max="9" width="11.1171875" customWidth="1"/>
    <col min="10" max="10" width="5" customWidth="1"/>
    <col min="11" max="20" width="9.234375" customWidth="1" outlineLevel="1"/>
  </cols>
  <sheetData>
    <row r="1" spans="1:10" ht="20.65">
      <c r="A1" s="776" t="s">
        <v>226</v>
      </c>
      <c r="B1" s="398"/>
      <c r="C1" s="398"/>
      <c r="D1" s="399"/>
      <c r="E1" s="400"/>
      <c r="F1" s="400"/>
      <c r="G1" s="400"/>
      <c r="H1" s="400"/>
      <c r="I1" s="400"/>
      <c r="J1" s="781"/>
    </row>
    <row r="2" spans="1:10" ht="20.65">
      <c r="A2" s="293" t="str">
        <f t="shared" ref="A2" si="0">Licensee</f>
        <v>Cadent-WM</v>
      </c>
      <c r="B2" s="296"/>
      <c r="C2" s="296"/>
      <c r="D2" s="68"/>
      <c r="E2" s="16"/>
      <c r="F2" s="16"/>
      <c r="G2" s="16"/>
      <c r="H2" s="16"/>
      <c r="I2" s="16"/>
      <c r="J2" s="65"/>
    </row>
    <row r="3" spans="1:10" ht="20.65">
      <c r="A3" s="288">
        <f>Reporting_Year</f>
        <v>2022</v>
      </c>
      <c r="B3" s="577"/>
      <c r="C3" s="577"/>
      <c r="D3" s="578"/>
      <c r="E3" s="575"/>
      <c r="F3" s="575"/>
      <c r="G3" s="575"/>
      <c r="H3" s="575"/>
      <c r="I3" s="575"/>
      <c r="J3" s="119"/>
    </row>
    <row r="4" spans="1:10" s="2" customFormat="1" ht="12.75" customHeight="1">
      <c r="B4" s="66"/>
      <c r="C4" s="66"/>
      <c r="D4" s="69"/>
    </row>
    <row r="5" spans="1:10" s="2" customFormat="1">
      <c r="B5" s="66"/>
      <c r="C5" s="66"/>
      <c r="D5" s="69"/>
      <c r="E5" s="151" t="str">
        <f>IF(E6&lt;=Reporting_Year,"Actuals","Forecast")</f>
        <v>Actuals</v>
      </c>
      <c r="F5" s="151" t="str">
        <f>IF(F6&lt;=Reporting_Year,"Actuals","Forecast")</f>
        <v>Forecast</v>
      </c>
      <c r="G5" s="151" t="str">
        <f>IF(G6&lt;=Reporting_Year,"Actuals","Forecast")</f>
        <v>Forecast</v>
      </c>
      <c r="H5" s="151" t="str">
        <f>IF(H6&lt;=Reporting_Year,"Actuals","Forecast")</f>
        <v>Forecast</v>
      </c>
      <c r="I5" s="151" t="str">
        <f>IF(I6&lt;=Reporting_Year,"Actuals","Forecast")</f>
        <v>Forecast</v>
      </c>
    </row>
    <row r="6" spans="1:10" s="2" customFormat="1">
      <c r="B6" s="66"/>
      <c r="C6" s="66"/>
      <c r="D6" s="69"/>
      <c r="E6" s="318">
        <f>RIIO_2_start_date</f>
        <v>2022</v>
      </c>
      <c r="F6" s="318">
        <f>E6+1</f>
        <v>2023</v>
      </c>
      <c r="G6" s="318">
        <f>F6+1</f>
        <v>2024</v>
      </c>
      <c r="H6" s="318">
        <f t="shared" ref="H6:I6" si="1">G6+1</f>
        <v>2025</v>
      </c>
      <c r="I6" s="318">
        <f t="shared" si="1"/>
        <v>2026</v>
      </c>
    </row>
    <row r="7" spans="1:10" s="2" customFormat="1">
      <c r="B7" s="238"/>
      <c r="C7" s="238"/>
      <c r="D7" s="75"/>
      <c r="E7" s="42" t="str">
        <f>RIIO_2_start_date-1&amp;"/"&amp;RIGHT(RIIO_2_start_date,2)</f>
        <v>2021/22</v>
      </c>
      <c r="F7" s="42" t="str">
        <f>RIIO_2_start_date&amp;"/"&amp;RIGHT(RIIO_2_start_date+1,2)</f>
        <v>2022/23</v>
      </c>
      <c r="G7" s="42" t="str">
        <f>RIIO_2_start_date+1&amp;"/"&amp;RIGHT(RIIO_2_start_date+2,2)</f>
        <v>2023/24</v>
      </c>
      <c r="H7" s="42" t="str">
        <f>RIIO_2_start_date+2&amp;"/"&amp;RIGHT(RIIO_2_start_date+3,2)</f>
        <v>2024/25</v>
      </c>
      <c r="I7" s="42" t="str">
        <f>RIIO_2_start_date+3&amp;"/"&amp;RIGHT(RIIO_2_start_date+4,2)</f>
        <v>2025/26</v>
      </c>
    </row>
    <row r="8" spans="1:10" s="2" customFormat="1">
      <c r="B8" s="238"/>
      <c r="C8" s="238"/>
      <c r="D8" s="75"/>
      <c r="E8" s="28"/>
      <c r="F8" s="28"/>
      <c r="G8" s="28"/>
      <c r="H8" s="28"/>
      <c r="I8" s="28"/>
    </row>
    <row r="9" spans="1:10" s="2" customFormat="1">
      <c r="B9" s="239" t="s">
        <v>227</v>
      </c>
      <c r="C9" s="239"/>
      <c r="D9" s="73"/>
      <c r="E9" s="40"/>
      <c r="F9" s="40"/>
      <c r="G9" s="40"/>
      <c r="H9" s="40"/>
      <c r="I9" s="40"/>
      <c r="J9" s="41"/>
    </row>
    <row r="10" spans="1:10" s="2" customFormat="1">
      <c r="B10" s="238"/>
      <c r="C10" s="238"/>
      <c r="D10" s="75"/>
      <c r="E10" s="28"/>
      <c r="F10" s="28"/>
      <c r="G10" s="28"/>
      <c r="H10" s="28"/>
      <c r="I10" s="28"/>
    </row>
    <row r="11" spans="1:10" s="2" customFormat="1">
      <c r="B11" s="665" t="s">
        <v>228</v>
      </c>
      <c r="C11" s="238"/>
      <c r="D11" s="69"/>
    </row>
    <row r="12" spans="1:10" s="2" customFormat="1">
      <c r="B12" s="153"/>
      <c r="C12" s="238"/>
      <c r="D12" s="69"/>
    </row>
    <row r="13" spans="1:10" s="2" customFormat="1">
      <c r="B13" s="240" t="s">
        <v>229</v>
      </c>
      <c r="C13" s="27" t="str">
        <f>IF(Licensee="NGGT (SO)","SORt* x  PIt* / PI2018/19","Rt* x  PIt* / PI2018/19")</f>
        <v>Rt* x  PIt* / PI2018/19</v>
      </c>
      <c r="D13" s="74" t="s">
        <v>230</v>
      </c>
      <c r="E13" s="306">
        <v>338.22412567075247</v>
      </c>
      <c r="F13" s="306"/>
      <c r="G13" s="306"/>
      <c r="H13" s="306"/>
      <c r="I13" s="306"/>
    </row>
    <row r="14" spans="1:10" s="2" customFormat="1">
      <c r="B14" s="240" t="s">
        <v>231</v>
      </c>
      <c r="C14" s="308" t="str">
        <f>IF(Licensee="NGGT (SO)","SOADJt*","ADJt*")</f>
        <v>ADJt*</v>
      </c>
      <c r="D14" s="74" t="s">
        <v>230</v>
      </c>
      <c r="E14" s="306">
        <v>0</v>
      </c>
      <c r="F14" s="306"/>
      <c r="G14" s="306"/>
      <c r="H14" s="306"/>
      <c r="I14" s="306"/>
    </row>
    <row r="15" spans="1:10" s="2" customFormat="1">
      <c r="B15" s="240" t="s">
        <v>232</v>
      </c>
      <c r="C15" s="308" t="str">
        <f>IF(Licensee="NGGT (SO)","SOADJRt*","ADJRt*")</f>
        <v>ADJRt*</v>
      </c>
      <c r="D15" s="74" t="s">
        <v>230</v>
      </c>
      <c r="E15" s="219">
        <f>SUM(E13:E14)</f>
        <v>338.22412567075247</v>
      </c>
      <c r="F15" s="219">
        <f t="shared" ref="F15:I15" si="2">SUM(F13:F14)</f>
        <v>0</v>
      </c>
      <c r="G15" s="219">
        <f t="shared" si="2"/>
        <v>0</v>
      </c>
      <c r="H15" s="219">
        <f t="shared" si="2"/>
        <v>0</v>
      </c>
      <c r="I15" s="219">
        <f t="shared" si="2"/>
        <v>0</v>
      </c>
    </row>
    <row r="16" spans="1:10" s="2" customFormat="1">
      <c r="B16" s="240" t="s">
        <v>233</v>
      </c>
      <c r="C16" s="308" t="str">
        <f>IF(OR(Licensee="Cadent",Licensee="NGGT (SO)"),"SOLARt","LARt")</f>
        <v>LARt</v>
      </c>
      <c r="D16" s="74" t="s">
        <v>230</v>
      </c>
      <c r="E16" s="306">
        <v>7.3160791768581479E-2</v>
      </c>
      <c r="F16" s="306"/>
      <c r="G16" s="306"/>
      <c r="H16" s="306"/>
      <c r="I16" s="306"/>
    </row>
    <row r="17" spans="2:10" s="2" customFormat="1">
      <c r="B17" s="240" t="s">
        <v>234</v>
      </c>
      <c r="C17" s="308" t="str">
        <f>IF(Licensee="NGGT (SO)","SOKt","Kt")</f>
        <v>Kt</v>
      </c>
      <c r="D17" s="74" t="s">
        <v>230</v>
      </c>
      <c r="E17" s="306">
        <v>0.72214414141742922</v>
      </c>
      <c r="F17" s="306"/>
      <c r="G17" s="306"/>
      <c r="H17" s="306"/>
      <c r="I17" s="306"/>
    </row>
    <row r="18" spans="2:10" s="2" customFormat="1">
      <c r="B18" s="238" t="s">
        <v>235</v>
      </c>
      <c r="C18" s="238" t="str">
        <f>IF(Licensee="Cadent","SOIARt",IF(Licensee="NGGT (SO)","SOARt","ARt"))</f>
        <v>ARt</v>
      </c>
      <c r="D18" s="75" t="s">
        <v>230</v>
      </c>
      <c r="E18" s="205">
        <f>SUM(E15:E17)</f>
        <v>339.01943060393847</v>
      </c>
      <c r="F18" s="205">
        <f t="shared" ref="F18:I18" si="3">SUM(F15:F17)</f>
        <v>0</v>
      </c>
      <c r="G18" s="205">
        <f t="shared" si="3"/>
        <v>0</v>
      </c>
      <c r="H18" s="205">
        <f t="shared" si="3"/>
        <v>0</v>
      </c>
      <c r="I18" s="205">
        <f t="shared" si="3"/>
        <v>0</v>
      </c>
    </row>
    <row r="19" spans="2:10" s="2" customFormat="1">
      <c r="B19" s="66"/>
      <c r="C19" s="66"/>
      <c r="D19" s="69"/>
      <c r="E19" s="30"/>
      <c r="F19" s="30"/>
      <c r="G19" s="30"/>
      <c r="H19" s="34"/>
      <c r="I19" s="34"/>
    </row>
    <row r="20" spans="2:10" s="2" customFormat="1">
      <c r="B20" s="66" t="s">
        <v>236</v>
      </c>
      <c r="C20" s="153"/>
      <c r="D20" s="75" t="s">
        <v>230</v>
      </c>
      <c r="E20" s="205">
        <f>IF(ISBLANK(E24),0,E24-E18)</f>
        <v>-1.4871727171227462</v>
      </c>
      <c r="F20" s="205">
        <f t="shared" ref="F20:I20" si="4">IF(ISBLANK(F24),0,F24-F18)</f>
        <v>0</v>
      </c>
      <c r="G20" s="205">
        <f t="shared" si="4"/>
        <v>0</v>
      </c>
      <c r="H20" s="205">
        <f t="shared" si="4"/>
        <v>0</v>
      </c>
      <c r="I20" s="205">
        <f t="shared" si="4"/>
        <v>0</v>
      </c>
    </row>
    <row r="21" spans="2:10" s="2" customFormat="1">
      <c r="B21" s="66"/>
      <c r="C21" s="66"/>
      <c r="D21" s="69"/>
    </row>
    <row r="22" spans="2:10" s="2" customFormat="1">
      <c r="B22" s="66"/>
      <c r="C22" s="66"/>
      <c r="D22" s="69"/>
    </row>
    <row r="23" spans="2:10" s="2" customFormat="1">
      <c r="B23" s="66"/>
      <c r="C23" s="66"/>
      <c r="D23" s="69"/>
    </row>
    <row r="24" spans="2:10" s="2" customFormat="1">
      <c r="B24" s="153" t="s">
        <v>237</v>
      </c>
      <c r="C24" s="153" t="s">
        <v>238</v>
      </c>
      <c r="D24" s="75" t="s">
        <v>230</v>
      </c>
      <c r="E24" s="306">
        <v>337.53225788681573</v>
      </c>
      <c r="F24" s="306"/>
      <c r="G24" s="306"/>
      <c r="H24" s="306"/>
      <c r="I24" s="306"/>
    </row>
    <row r="25" spans="2:10" s="2" customFormat="1">
      <c r="B25" s="66"/>
      <c r="C25" s="66"/>
      <c r="D25" s="69"/>
    </row>
    <row r="26" spans="2:10" s="2" customFormat="1">
      <c r="B26" s="153" t="s">
        <v>239</v>
      </c>
      <c r="C26" s="153"/>
      <c r="D26" s="69"/>
      <c r="E26" s="69"/>
      <c r="F26" s="69"/>
      <c r="G26" s="69"/>
      <c r="H26" s="69"/>
      <c r="I26" s="69"/>
      <c r="J26" s="69"/>
    </row>
    <row r="27" spans="2:10" s="2" customFormat="1">
      <c r="B27" s="309" t="s">
        <v>240</v>
      </c>
      <c r="C27" s="309"/>
      <c r="D27" s="75" t="s">
        <v>230</v>
      </c>
      <c r="E27" s="202">
        <v>0</v>
      </c>
      <c r="F27" s="202"/>
      <c r="G27" s="202"/>
      <c r="H27" s="202"/>
      <c r="I27" s="202"/>
    </row>
    <row r="28" spans="2:10" s="2" customFormat="1">
      <c r="B28" s="309" t="s">
        <v>241</v>
      </c>
      <c r="C28" s="309"/>
      <c r="D28" s="75" t="s">
        <v>230</v>
      </c>
      <c r="E28" s="202">
        <v>0</v>
      </c>
      <c r="F28" s="202"/>
      <c r="G28" s="202"/>
      <c r="H28" s="202"/>
      <c r="I28" s="202"/>
    </row>
    <row r="29" spans="2:10" s="2" customFormat="1">
      <c r="B29" s="309" t="s">
        <v>242</v>
      </c>
      <c r="C29" s="309"/>
      <c r="D29" s="75" t="s">
        <v>230</v>
      </c>
      <c r="E29" s="202">
        <v>0</v>
      </c>
      <c r="F29" s="202"/>
      <c r="G29" s="202"/>
      <c r="H29" s="202"/>
      <c r="I29" s="202"/>
    </row>
    <row r="30" spans="2:10" s="2" customFormat="1">
      <c r="B30" s="309" t="s">
        <v>243</v>
      </c>
      <c r="C30" s="309"/>
      <c r="D30" s="75" t="s">
        <v>230</v>
      </c>
      <c r="E30" s="202">
        <v>0</v>
      </c>
      <c r="F30" s="202"/>
      <c r="G30" s="202"/>
      <c r="H30" s="202"/>
      <c r="I30" s="202"/>
    </row>
    <row r="31" spans="2:10" s="2" customFormat="1">
      <c r="B31" s="309" t="s">
        <v>244</v>
      </c>
      <c r="C31" s="309"/>
      <c r="D31" s="75" t="s">
        <v>230</v>
      </c>
      <c r="E31" s="202">
        <v>0</v>
      </c>
      <c r="F31" s="202"/>
      <c r="G31" s="202"/>
      <c r="H31" s="202"/>
      <c r="I31" s="202"/>
    </row>
    <row r="32" spans="2:10" s="2" customFormat="1">
      <c r="B32" s="309" t="s">
        <v>245</v>
      </c>
      <c r="C32" s="309"/>
      <c r="D32" s="75" t="s">
        <v>230</v>
      </c>
      <c r="E32" s="202">
        <v>0.2987976664967768</v>
      </c>
      <c r="F32" s="202"/>
      <c r="G32" s="202"/>
      <c r="H32" s="202"/>
      <c r="I32" s="202"/>
    </row>
    <row r="33" spans="2:9" s="2" customFormat="1">
      <c r="B33" s="309" t="s">
        <v>246</v>
      </c>
      <c r="C33" s="309"/>
      <c r="D33" s="75" t="s">
        <v>230</v>
      </c>
      <c r="E33" s="202">
        <v>0</v>
      </c>
      <c r="F33" s="202"/>
      <c r="G33" s="202"/>
      <c r="H33" s="202"/>
      <c r="I33" s="202"/>
    </row>
    <row r="34" spans="2:9" s="2" customFormat="1">
      <c r="B34" s="465" t="s">
        <v>247</v>
      </c>
      <c r="C34" s="465"/>
      <c r="D34" s="75" t="s">
        <v>230</v>
      </c>
      <c r="E34" s="202">
        <v>0</v>
      </c>
      <c r="F34" s="202"/>
      <c r="G34" s="202"/>
      <c r="H34" s="202"/>
      <c r="I34" s="202"/>
    </row>
    <row r="35" spans="2:9" s="2" customFormat="1">
      <c r="B35" s="374" t="s">
        <v>248</v>
      </c>
      <c r="C35" s="307"/>
      <c r="D35" s="75" t="s">
        <v>230</v>
      </c>
      <c r="E35" s="202">
        <v>-0.92419166999999569</v>
      </c>
      <c r="F35" s="202"/>
      <c r="G35" s="202"/>
      <c r="H35" s="202"/>
      <c r="I35" s="202"/>
    </row>
    <row r="36" spans="2:9" s="2" customFormat="1">
      <c r="B36" s="153" t="s">
        <v>249</v>
      </c>
      <c r="C36" s="153"/>
      <c r="D36" s="75" t="s">
        <v>230</v>
      </c>
      <c r="E36" s="205">
        <f>SUM(E27:E35)</f>
        <v>-0.62539400350321883</v>
      </c>
      <c r="F36" s="205">
        <f t="shared" ref="F36:I36" si="5">SUM(F27:F35)</f>
        <v>0</v>
      </c>
      <c r="G36" s="205">
        <f t="shared" si="5"/>
        <v>0</v>
      </c>
      <c r="H36" s="205">
        <f t="shared" si="5"/>
        <v>0</v>
      </c>
      <c r="I36" s="205">
        <f t="shared" si="5"/>
        <v>0</v>
      </c>
    </row>
    <row r="37" spans="2:9" s="2" customFormat="1">
      <c r="B37" s="66"/>
      <c r="C37" s="66"/>
      <c r="D37" s="69"/>
    </row>
    <row r="38" spans="2:9" s="2" customFormat="1">
      <c r="B38" s="153" t="s">
        <v>250</v>
      </c>
      <c r="D38" s="153"/>
      <c r="E38" s="467"/>
    </row>
    <row r="39" spans="2:9" s="2" customFormat="1">
      <c r="B39" s="374" t="s">
        <v>251</v>
      </c>
      <c r="C39" s="374"/>
      <c r="D39" s="75" t="s">
        <v>230</v>
      </c>
      <c r="E39" s="202">
        <v>3.3958520039339</v>
      </c>
      <c r="F39" s="202"/>
      <c r="G39" s="202"/>
      <c r="H39" s="202"/>
      <c r="I39" s="202"/>
    </row>
    <row r="40" spans="2:9" s="2" customFormat="1">
      <c r="B40" s="374" t="s">
        <v>252</v>
      </c>
      <c r="C40" s="374"/>
      <c r="D40" s="75" t="s">
        <v>230</v>
      </c>
      <c r="E40" s="202">
        <v>0.40327921</v>
      </c>
      <c r="F40" s="202"/>
      <c r="G40" s="202"/>
      <c r="H40" s="202"/>
      <c r="I40" s="202"/>
    </row>
    <row r="41" spans="2:9" s="2" customFormat="1">
      <c r="B41" s="374" t="s">
        <v>253</v>
      </c>
      <c r="C41" s="374"/>
      <c r="D41" s="75" t="s">
        <v>230</v>
      </c>
      <c r="E41" s="202">
        <v>0.75074883416179894</v>
      </c>
      <c r="F41" s="202"/>
      <c r="G41" s="202"/>
      <c r="H41" s="202"/>
      <c r="I41" s="202"/>
    </row>
    <row r="42" spans="2:9" s="2" customFormat="1">
      <c r="B42" s="374" t="s">
        <v>254</v>
      </c>
      <c r="C42" s="374"/>
      <c r="D42" s="75" t="s">
        <v>230</v>
      </c>
      <c r="E42" s="202">
        <v>0</v>
      </c>
      <c r="F42" s="202"/>
      <c r="G42" s="202"/>
      <c r="H42" s="202"/>
      <c r="I42" s="202"/>
    </row>
    <row r="43" spans="2:9" s="2" customFormat="1">
      <c r="B43" s="374" t="s">
        <v>255</v>
      </c>
      <c r="C43" s="374"/>
      <c r="D43" s="75" t="s">
        <v>230</v>
      </c>
      <c r="E43" s="202">
        <v>0</v>
      </c>
      <c r="F43" s="202"/>
      <c r="G43" s="202"/>
      <c r="H43" s="202"/>
      <c r="I43" s="202"/>
    </row>
    <row r="44" spans="2:9" s="2" customFormat="1">
      <c r="B44" s="374" t="s">
        <v>256</v>
      </c>
      <c r="C44" s="374"/>
      <c r="D44" s="75" t="s">
        <v>230</v>
      </c>
      <c r="E44" s="202">
        <v>0</v>
      </c>
      <c r="F44" s="202"/>
      <c r="G44" s="202"/>
      <c r="H44" s="202"/>
      <c r="I44" s="202"/>
    </row>
    <row r="45" spans="2:9" s="2" customFormat="1">
      <c r="B45" s="374" t="s">
        <v>257</v>
      </c>
      <c r="C45" s="374"/>
      <c r="D45" s="75" t="s">
        <v>230</v>
      </c>
      <c r="E45" s="202">
        <v>0</v>
      </c>
      <c r="F45" s="202"/>
      <c r="G45" s="202"/>
      <c r="H45" s="202"/>
      <c r="I45" s="202"/>
    </row>
    <row r="46" spans="2:9" s="2" customFormat="1">
      <c r="B46" s="374" t="s">
        <v>258</v>
      </c>
      <c r="C46" s="374"/>
      <c r="D46" s="75" t="s">
        <v>230</v>
      </c>
      <c r="E46" s="202">
        <v>0</v>
      </c>
      <c r="F46" s="202"/>
      <c r="G46" s="202"/>
      <c r="H46" s="202"/>
      <c r="I46" s="202"/>
    </row>
    <row r="47" spans="2:9" s="2" customFormat="1">
      <c r="B47" s="374" t="s">
        <v>259</v>
      </c>
      <c r="C47" s="374"/>
      <c r="D47" s="75" t="s">
        <v>230</v>
      </c>
      <c r="E47" s="202">
        <v>1620.7138358861241</v>
      </c>
      <c r="F47" s="202"/>
      <c r="G47" s="202"/>
      <c r="H47" s="202"/>
      <c r="I47" s="202"/>
    </row>
    <row r="48" spans="2:9" s="2" customFormat="1">
      <c r="B48" s="374" t="s">
        <v>260</v>
      </c>
      <c r="C48" s="374"/>
      <c r="D48" s="75" t="s">
        <v>230</v>
      </c>
      <c r="E48" s="202">
        <v>0</v>
      </c>
      <c r="F48" s="202"/>
      <c r="G48" s="202"/>
      <c r="H48" s="202"/>
      <c r="I48" s="202"/>
    </row>
    <row r="49" spans="1:14" s="2" customFormat="1">
      <c r="B49" s="374" t="s">
        <v>261</v>
      </c>
      <c r="C49" s="374"/>
      <c r="D49" s="75" t="s">
        <v>230</v>
      </c>
      <c r="E49" s="202">
        <v>20.332209410000001</v>
      </c>
      <c r="F49" s="202"/>
      <c r="G49" s="202"/>
      <c r="H49" s="202"/>
      <c r="I49" s="202"/>
    </row>
    <row r="50" spans="1:14" s="2" customFormat="1">
      <c r="B50" s="374" t="s">
        <v>262</v>
      </c>
      <c r="C50" s="374"/>
      <c r="D50" s="75" t="s">
        <v>230</v>
      </c>
      <c r="E50" s="202">
        <v>0.34366117730263485</v>
      </c>
      <c r="F50" s="202"/>
      <c r="G50" s="202"/>
      <c r="H50" s="202"/>
      <c r="I50" s="202"/>
    </row>
    <row r="51" spans="1:14" s="2" customFormat="1">
      <c r="B51" s="374" t="s">
        <v>263</v>
      </c>
      <c r="C51" s="374"/>
      <c r="D51" s="75" t="s">
        <v>230</v>
      </c>
      <c r="E51" s="202">
        <v>1.5101835299999999</v>
      </c>
      <c r="F51" s="202"/>
      <c r="G51" s="202"/>
      <c r="H51" s="202"/>
      <c r="I51" s="202"/>
    </row>
    <row r="52" spans="1:14" s="2" customFormat="1">
      <c r="B52" s="374" t="s">
        <v>264</v>
      </c>
      <c r="C52" s="374"/>
      <c r="D52" s="75" t="s">
        <v>230</v>
      </c>
      <c r="E52" s="202">
        <v>-0.68291551027800002</v>
      </c>
      <c r="F52" s="202"/>
      <c r="G52" s="202"/>
      <c r="H52" s="202"/>
      <c r="I52" s="202"/>
    </row>
    <row r="53" spans="1:14" s="2" customFormat="1">
      <c r="B53" s="374" t="s">
        <v>265</v>
      </c>
      <c r="C53" s="374"/>
      <c r="D53" s="75" t="s">
        <v>230</v>
      </c>
      <c r="E53" s="202">
        <v>4.8312913018654945E-2</v>
      </c>
      <c r="F53" s="202"/>
      <c r="G53" s="202"/>
      <c r="H53" s="202"/>
      <c r="I53" s="202"/>
    </row>
    <row r="54" spans="1:14" s="2" customFormat="1">
      <c r="B54" s="374" t="s">
        <v>266</v>
      </c>
      <c r="C54" s="374"/>
      <c r="D54" s="75" t="s">
        <v>230</v>
      </c>
      <c r="E54" s="202">
        <v>0.27796866242465501</v>
      </c>
      <c r="F54" s="202"/>
      <c r="G54" s="202"/>
      <c r="H54" s="202"/>
      <c r="I54" s="202"/>
    </row>
    <row r="55" spans="1:14" s="2" customFormat="1">
      <c r="B55" s="153" t="s">
        <v>267</v>
      </c>
      <c r="C55" s="153"/>
      <c r="D55" s="75" t="s">
        <v>230</v>
      </c>
      <c r="E55" s="205">
        <f t="shared" ref="E55:I55" si="6">SUM(E39:E54)</f>
        <v>1647.0931361166877</v>
      </c>
      <c r="F55" s="205">
        <f t="shared" si="6"/>
        <v>0</v>
      </c>
      <c r="G55" s="205">
        <f t="shared" si="6"/>
        <v>0</v>
      </c>
      <c r="H55" s="205">
        <f t="shared" si="6"/>
        <v>0</v>
      </c>
      <c r="I55" s="205">
        <f t="shared" si="6"/>
        <v>0</v>
      </c>
    </row>
    <row r="56" spans="1:14" s="2" customFormat="1">
      <c r="B56" s="66"/>
      <c r="C56" s="66"/>
      <c r="D56" s="69"/>
      <c r="E56" s="31"/>
      <c r="F56" s="31"/>
      <c r="G56" s="31"/>
      <c r="H56" s="31"/>
      <c r="I56" s="31"/>
    </row>
    <row r="57" spans="1:14" s="2" customFormat="1">
      <c r="B57" s="286" t="s">
        <v>268</v>
      </c>
      <c r="C57" s="286"/>
      <c r="D57" s="75" t="s">
        <v>230</v>
      </c>
      <c r="E57" s="205">
        <f t="shared" ref="E57:I57" si="7">E24+E36+E55</f>
        <v>1984.0000000000002</v>
      </c>
      <c r="F57" s="205">
        <f t="shared" si="7"/>
        <v>0</v>
      </c>
      <c r="G57" s="205">
        <f t="shared" si="7"/>
        <v>0</v>
      </c>
      <c r="H57" s="205">
        <f t="shared" si="7"/>
        <v>0</v>
      </c>
      <c r="I57" s="205">
        <f t="shared" si="7"/>
        <v>0</v>
      </c>
    </row>
    <row r="58" spans="1:14" s="2" customFormat="1">
      <c r="B58" s="347" t="s">
        <v>269</v>
      </c>
      <c r="C58" s="347"/>
      <c r="D58" s="75" t="s">
        <v>230</v>
      </c>
      <c r="E58" s="202">
        <v>1984</v>
      </c>
      <c r="F58" s="202"/>
      <c r="G58" s="202"/>
      <c r="H58" s="202"/>
      <c r="I58" s="202"/>
    </row>
    <row r="59" spans="1:14" s="2" customFormat="1">
      <c r="B59" s="66" t="s">
        <v>270</v>
      </c>
      <c r="C59" s="66"/>
      <c r="D59" s="69"/>
      <c r="E59" s="60" t="str">
        <f>IF(ABS(E57-E58)&lt;Data!$F$7,"OK","Error")</f>
        <v>OK</v>
      </c>
      <c r="F59" s="60" t="str">
        <f>IF(ABS(F57-F58)&lt;Data!$F$7,"OK","Error")</f>
        <v>OK</v>
      </c>
      <c r="G59" s="60" t="str">
        <f>IF(ABS(G57-G58)&lt;Data!$F$7,"OK","Error")</f>
        <v>OK</v>
      </c>
      <c r="H59" s="60" t="str">
        <f>IF(ABS(H57-H58)&lt;Data!$F$7,"OK","Error")</f>
        <v>OK</v>
      </c>
      <c r="I59" s="60" t="str">
        <f>IF(ABS(I57-I58)&lt;Data!$F$7,"OK","Error")</f>
        <v>OK</v>
      </c>
    </row>
    <row r="60" spans="1:14" s="2" customFormat="1">
      <c r="B60" s="66"/>
      <c r="C60" s="66"/>
      <c r="D60" s="69"/>
      <c r="E60" s="26"/>
      <c r="F60" s="26"/>
      <c r="G60" s="26"/>
      <c r="H60" s="26"/>
      <c r="I60" s="26"/>
    </row>
    <row r="61" spans="1:14" s="2" customFormat="1">
      <c r="B61" s="66"/>
      <c r="C61" s="66"/>
      <c r="D61" s="69"/>
    </row>
    <row r="62" spans="1:14" s="2" customFormat="1">
      <c r="B62" s="66"/>
      <c r="C62" s="66"/>
      <c r="D62" s="69"/>
    </row>
    <row r="63" spans="1:14" s="2" customFormat="1">
      <c r="B63" s="239" t="s">
        <v>271</v>
      </c>
      <c r="C63" s="239"/>
      <c r="D63" s="73"/>
      <c r="E63" s="40"/>
      <c r="F63" s="40"/>
      <c r="G63" s="40"/>
      <c r="H63" s="40"/>
      <c r="I63" s="40"/>
      <c r="J63" s="41"/>
    </row>
    <row r="64" spans="1:14" s="2" customFormat="1">
      <c r="A64"/>
      <c r="B64" s="88"/>
      <c r="C64" s="88"/>
      <c r="D64" s="69"/>
      <c r="E64"/>
      <c r="F64"/>
      <c r="G64"/>
      <c r="H64"/>
      <c r="I64"/>
      <c r="J64"/>
      <c r="K64"/>
      <c r="L64"/>
      <c r="M64"/>
      <c r="N64"/>
    </row>
    <row r="65" spans="1:14" s="2" customFormat="1">
      <c r="A65"/>
      <c r="B65" s="88"/>
      <c r="C65" s="88"/>
      <c r="D65" s="69"/>
      <c r="E65" s="151" t="str">
        <f>IF(E$6&lt;=Reporting_Year,"Actuals","N/A")</f>
        <v>Actuals</v>
      </c>
      <c r="F65" s="151" t="str">
        <f>IF(F$6&lt;=Reporting_Year,"Actuals","N/A")</f>
        <v>N/A</v>
      </c>
      <c r="G65" s="151" t="str">
        <f>IF(G$6&lt;=Reporting_Year,"Actuals","N/A")</f>
        <v>N/A</v>
      </c>
      <c r="H65" s="151" t="str">
        <f>IF(H$6&lt;=Reporting_Year,"Actuals","N/A")</f>
        <v>N/A</v>
      </c>
      <c r="I65" s="151" t="str">
        <f>IF(I$6&lt;=Reporting_Year,"Actuals","N/A")</f>
        <v>N/A</v>
      </c>
      <c r="J65"/>
      <c r="K65"/>
      <c r="L65"/>
      <c r="M65"/>
      <c r="N65"/>
    </row>
    <row r="66" spans="1:14" s="2" customFormat="1">
      <c r="A66"/>
      <c r="B66" s="88"/>
      <c r="C66" s="88"/>
      <c r="D66" s="69"/>
      <c r="E66"/>
      <c r="F66"/>
      <c r="G66"/>
      <c r="H66"/>
      <c r="I66"/>
      <c r="J66"/>
      <c r="K66"/>
      <c r="L66"/>
      <c r="M66"/>
      <c r="N66"/>
    </row>
    <row r="67" spans="1:14" s="2" customFormat="1">
      <c r="A67"/>
      <c r="B67" s="130" t="s">
        <v>272</v>
      </c>
      <c r="C67" s="88"/>
      <c r="D67" s="75" t="s">
        <v>230</v>
      </c>
      <c r="E67" s="512">
        <f>E58</f>
        <v>1984</v>
      </c>
      <c r="F67" s="512">
        <f t="shared" ref="F67:I67" si="8">F58</f>
        <v>0</v>
      </c>
      <c r="G67" s="512">
        <f t="shared" si="8"/>
        <v>0</v>
      </c>
      <c r="H67" s="512">
        <f t="shared" si="8"/>
        <v>0</v>
      </c>
      <c r="I67" s="512">
        <f t="shared" si="8"/>
        <v>0</v>
      </c>
      <c r="J67"/>
      <c r="K67"/>
      <c r="L67"/>
      <c r="M67"/>
      <c r="N67"/>
    </row>
    <row r="68" spans="1:14" s="2" customFormat="1">
      <c r="A68"/>
      <c r="B68" s="2" t="s">
        <v>237</v>
      </c>
      <c r="C68" s="88"/>
      <c r="D68" s="75" t="s">
        <v>230</v>
      </c>
      <c r="E68" s="512">
        <v>1899.4131134199997</v>
      </c>
      <c r="F68" s="512">
        <f t="shared" ref="F68:I68" si="9">F24</f>
        <v>0</v>
      </c>
      <c r="G68" s="512">
        <f t="shared" si="9"/>
        <v>0</v>
      </c>
      <c r="H68" s="512">
        <f t="shared" si="9"/>
        <v>0</v>
      </c>
      <c r="I68" s="512">
        <f t="shared" si="9"/>
        <v>0</v>
      </c>
      <c r="J68"/>
      <c r="K68"/>
      <c r="L68"/>
      <c r="M68"/>
      <c r="N68"/>
    </row>
    <row r="69" spans="1:14" s="2" customFormat="1">
      <c r="A69"/>
      <c r="B69" s="347"/>
      <c r="C69" s="88"/>
      <c r="D69" s="75"/>
      <c r="E69" s="348"/>
      <c r="F69" s="348"/>
      <c r="G69" s="348"/>
      <c r="H69"/>
      <c r="I69"/>
      <c r="J69"/>
      <c r="K69"/>
      <c r="L69"/>
      <c r="M69"/>
      <c r="N69"/>
    </row>
    <row r="70" spans="1:14">
      <c r="B70" s="601"/>
    </row>
    <row r="71" spans="1:14">
      <c r="B71" s="130" t="s">
        <v>273</v>
      </c>
      <c r="D71" s="75" t="s">
        <v>230</v>
      </c>
      <c r="E71" s="512">
        <f>'R3 - Totex - Reconciliation'!D122-E83</f>
        <v>899</v>
      </c>
      <c r="F71" s="512">
        <f>'R3 - Totex - Reconciliation'!E122</f>
        <v>0</v>
      </c>
      <c r="G71" s="512">
        <f>'R3 - Totex - Reconciliation'!F122</f>
        <v>0</v>
      </c>
      <c r="H71" s="512">
        <f>'R3 - Totex - Reconciliation'!G122</f>
        <v>0</v>
      </c>
      <c r="I71" s="512">
        <f>'R3 - Totex - Reconciliation'!H122</f>
        <v>0</v>
      </c>
    </row>
    <row r="72" spans="1:14">
      <c r="B72" s="7" t="s">
        <v>274</v>
      </c>
      <c r="D72"/>
    </row>
    <row r="73" spans="1:14" ht="8.25" customHeight="1">
      <c r="B73"/>
      <c r="D73"/>
    </row>
    <row r="74" spans="1:14" ht="12.75" customHeight="1">
      <c r="B74" s="2" t="s">
        <v>275</v>
      </c>
      <c r="D74" s="75" t="s">
        <v>230</v>
      </c>
      <c r="E74" s="651">
        <v>16.17650043713239</v>
      </c>
      <c r="F74" s="651">
        <f>'R3 - Totex - Reconciliation'!E143</f>
        <v>0</v>
      </c>
      <c r="G74" s="651">
        <f>'R3 - Totex - Reconciliation'!F143</f>
        <v>0</v>
      </c>
      <c r="H74" s="651">
        <f>'R3 - Totex - Reconciliation'!G143</f>
        <v>0</v>
      </c>
      <c r="I74" s="651">
        <f>'R3 - Totex - Reconciliation'!H143</f>
        <v>0</v>
      </c>
    </row>
    <row r="75" spans="1:14">
      <c r="B75" t="s">
        <v>276</v>
      </c>
      <c r="D75" s="75" t="s">
        <v>230</v>
      </c>
      <c r="E75" s="202">
        <v>0</v>
      </c>
      <c r="F75" s="202"/>
      <c r="G75" s="202"/>
      <c r="H75" s="202"/>
      <c r="I75" s="202"/>
    </row>
    <row r="76" spans="1:14" ht="5.25" customHeight="1">
      <c r="B76"/>
      <c r="D76" s="88"/>
      <c r="E76" s="88"/>
      <c r="F76" s="88"/>
      <c r="G76" s="88"/>
      <c r="H76" s="88"/>
      <c r="I76" s="88"/>
      <c r="J76" s="88"/>
      <c r="L76" s="88"/>
      <c r="M76" s="88"/>
    </row>
    <row r="77" spans="1:14">
      <c r="B77" s="2" t="s">
        <v>277</v>
      </c>
      <c r="D77" s="75" t="s">
        <v>230</v>
      </c>
      <c r="E77" s="660">
        <v>915.17650043713229</v>
      </c>
      <c r="F77" s="660">
        <f>'R3 - Totex - Reconciliation'!E122+'R3 - Totex - Reconciliation'!E143+F75</f>
        <v>0</v>
      </c>
      <c r="G77" s="660">
        <f>'R3 - Totex - Reconciliation'!F122+'R3 - Totex - Reconciliation'!F143+G75</f>
        <v>0</v>
      </c>
      <c r="H77" s="660">
        <f>'R3 - Totex - Reconciliation'!G122+'R3 - Totex - Reconciliation'!G143+H75</f>
        <v>0</v>
      </c>
      <c r="I77" s="660">
        <f>'R3 - Totex - Reconciliation'!H122+'R3 - Totex - Reconciliation'!H143+I75</f>
        <v>0</v>
      </c>
    </row>
    <row r="78" spans="1:14">
      <c r="B78" s="7" t="s">
        <v>278</v>
      </c>
      <c r="D78" s="75" t="s">
        <v>230</v>
      </c>
      <c r="E78" s="536" t="str">
        <f>IF(ABS(E77-SUM(E71,E74))&lt;=materiality_threshold,"ok","error")</f>
        <v>ok</v>
      </c>
      <c r="F78" s="536" t="str">
        <f>IF(ABS(F77-SUM(F71,F74))&lt;=materiality_threshold,"ok","error")</f>
        <v>ok</v>
      </c>
      <c r="G78" s="536" t="str">
        <f>IF(ABS(G77-SUM(G71,G74))&lt;=materiality_threshold,"ok","error")</f>
        <v>ok</v>
      </c>
      <c r="H78" s="536" t="str">
        <f>IF(ABS(H77-SUM(H71,H74))&lt;=materiality_threshold,"ok","error")</f>
        <v>ok</v>
      </c>
      <c r="I78" s="536" t="str">
        <f>IF(ABS(I77-SUM(I71,I74))&lt;=materiality_threshold,"ok","error")</f>
        <v>ok</v>
      </c>
    </row>
    <row r="79" spans="1:14">
      <c r="B79"/>
      <c r="D79" s="75"/>
      <c r="E79" s="75"/>
      <c r="F79" s="75"/>
      <c r="G79" s="75"/>
      <c r="H79" s="75"/>
      <c r="I79" s="75"/>
    </row>
    <row r="80" spans="1:14">
      <c r="B80" s="130" t="s">
        <v>279</v>
      </c>
      <c r="D80" s="75" t="s">
        <v>230</v>
      </c>
      <c r="E80" s="604">
        <f>E67-E71</f>
        <v>1085</v>
      </c>
      <c r="F80" s="604">
        <f>F67-F71</f>
        <v>0</v>
      </c>
      <c r="G80" s="604">
        <f>G67-G71</f>
        <v>0</v>
      </c>
      <c r="H80" s="604">
        <f>H67-H71</f>
        <v>0</v>
      </c>
      <c r="I80" s="604">
        <f>I67-I71</f>
        <v>0</v>
      </c>
    </row>
    <row r="81" spans="2:12">
      <c r="B81" s="338" t="s">
        <v>280</v>
      </c>
      <c r="D81" s="75" t="s">
        <v>230</v>
      </c>
      <c r="E81" s="604">
        <f>E68-E77</f>
        <v>984.23661298286743</v>
      </c>
      <c r="F81" s="604">
        <f>F68-F77</f>
        <v>0</v>
      </c>
      <c r="G81" s="604">
        <f>G68-G77</f>
        <v>0</v>
      </c>
      <c r="H81" s="604">
        <f>H68-H77</f>
        <v>0</v>
      </c>
      <c r="I81" s="604">
        <f>I68-I77</f>
        <v>0</v>
      </c>
    </row>
    <row r="83" spans="2:12">
      <c r="B83" s="130" t="s">
        <v>281</v>
      </c>
      <c r="D83" s="75" t="s">
        <v>230</v>
      </c>
      <c r="E83" s="202">
        <v>400</v>
      </c>
      <c r="F83" s="202"/>
      <c r="G83" s="202"/>
      <c r="H83" s="202"/>
      <c r="I83" s="202"/>
    </row>
    <row r="84" spans="2:12" ht="16.149999999999999" customHeight="1">
      <c r="B84" s="7" t="s">
        <v>274</v>
      </c>
    </row>
    <row r="85" spans="2:12" ht="22.15" customHeight="1">
      <c r="B85" t="s">
        <v>282</v>
      </c>
      <c r="D85"/>
    </row>
    <row r="86" spans="2:12">
      <c r="B86" s="66" t="s">
        <v>283</v>
      </c>
      <c r="D86" s="75" t="s">
        <v>230</v>
      </c>
      <c r="E86" s="531">
        <v>9</v>
      </c>
      <c r="F86" s="531"/>
      <c r="G86" s="531"/>
      <c r="H86" s="531"/>
      <c r="I86" s="531"/>
    </row>
    <row r="87" spans="2:12">
      <c r="B87" s="709" t="s">
        <v>284</v>
      </c>
      <c r="D87" s="75" t="s">
        <v>230</v>
      </c>
      <c r="E87" s="202">
        <v>0</v>
      </c>
      <c r="F87" s="202"/>
      <c r="G87" s="202"/>
      <c r="H87" s="202"/>
      <c r="I87" s="202"/>
    </row>
    <row r="88" spans="2:12">
      <c r="B88" s="66" t="s">
        <v>285</v>
      </c>
      <c r="D88" s="75" t="s">
        <v>230</v>
      </c>
      <c r="E88" s="579">
        <f>SUM(E86:E87)</f>
        <v>9</v>
      </c>
      <c r="F88" s="579">
        <f t="shared" ref="F88:I88" si="10">SUM(F86:F87)</f>
        <v>0</v>
      </c>
      <c r="G88" s="579">
        <f t="shared" si="10"/>
        <v>0</v>
      </c>
      <c r="H88" s="579">
        <f t="shared" si="10"/>
        <v>0</v>
      </c>
      <c r="I88" s="579">
        <f t="shared" si="10"/>
        <v>0</v>
      </c>
    </row>
    <row r="89" spans="2:12" ht="5.25" customHeight="1">
      <c r="B89" s="66"/>
      <c r="D89" s="75"/>
      <c r="E89" s="75"/>
      <c r="F89" s="75"/>
      <c r="G89" s="75"/>
      <c r="H89" s="75"/>
      <c r="I89" s="75"/>
      <c r="L89" s="75"/>
    </row>
    <row r="90" spans="2:12">
      <c r="B90" s="2" t="s">
        <v>286</v>
      </c>
      <c r="D90" s="75" t="s">
        <v>230</v>
      </c>
      <c r="E90" s="533">
        <f>E83-E88</f>
        <v>391</v>
      </c>
      <c r="F90" s="533">
        <f t="shared" ref="F90:I90" si="11">F83-F88</f>
        <v>0</v>
      </c>
      <c r="G90" s="533">
        <f t="shared" si="11"/>
        <v>0</v>
      </c>
      <c r="H90" s="533">
        <f t="shared" si="11"/>
        <v>0</v>
      </c>
      <c r="I90" s="533">
        <f t="shared" si="11"/>
        <v>0</v>
      </c>
    </row>
    <row r="91" spans="2:12">
      <c r="B91"/>
      <c r="C91"/>
      <c r="D91"/>
    </row>
    <row r="92" spans="2:12">
      <c r="B92" s="782" t="s">
        <v>287</v>
      </c>
      <c r="C92" s="611"/>
      <c r="D92" s="612" t="s">
        <v>230</v>
      </c>
      <c r="E92" s="219">
        <f>E80-E83</f>
        <v>685</v>
      </c>
      <c r="F92" s="219">
        <f t="shared" ref="F92:I92" si="12">F80-F83</f>
        <v>0</v>
      </c>
      <c r="G92" s="219">
        <f t="shared" si="12"/>
        <v>0</v>
      </c>
      <c r="H92" s="219">
        <f t="shared" si="12"/>
        <v>0</v>
      </c>
      <c r="I92" s="219">
        <f t="shared" si="12"/>
        <v>0</v>
      </c>
    </row>
    <row r="93" spans="2:12">
      <c r="B93" s="606" t="s">
        <v>288</v>
      </c>
      <c r="D93" s="75" t="s">
        <v>230</v>
      </c>
      <c r="E93" s="533">
        <f>E81-E90</f>
        <v>593.23661298286743</v>
      </c>
      <c r="F93" s="533">
        <f t="shared" ref="F93:I93" si="13">F81-F90</f>
        <v>0</v>
      </c>
      <c r="G93" s="533">
        <f t="shared" si="13"/>
        <v>0</v>
      </c>
      <c r="H93" s="533">
        <f t="shared" si="13"/>
        <v>0</v>
      </c>
      <c r="I93" s="533">
        <f t="shared" si="13"/>
        <v>0</v>
      </c>
    </row>
    <row r="94" spans="2:12">
      <c r="B94" s="606"/>
      <c r="D94" s="75"/>
      <c r="E94" s="514"/>
      <c r="F94" s="514"/>
      <c r="G94" s="514"/>
      <c r="H94" s="514"/>
      <c r="I94" s="534"/>
    </row>
    <row r="95" spans="2:12">
      <c r="B95" s="607" t="s">
        <v>289</v>
      </c>
      <c r="D95" s="75" t="s">
        <v>230</v>
      </c>
      <c r="E95" s="513">
        <f>'R5 - Financing'!D9</f>
        <v>316.35346812999995</v>
      </c>
      <c r="F95" s="513"/>
      <c r="G95" s="513"/>
      <c r="H95" s="513"/>
      <c r="I95" s="513"/>
    </row>
    <row r="96" spans="2:12">
      <c r="B96" s="608" t="s">
        <v>290</v>
      </c>
      <c r="D96" s="75" t="s">
        <v>230</v>
      </c>
      <c r="E96" s="513">
        <v>330.48481092743475</v>
      </c>
      <c r="F96" s="513"/>
      <c r="G96" s="513"/>
      <c r="H96" s="513"/>
      <c r="I96" s="513"/>
    </row>
    <row r="97" spans="2:9">
      <c r="B97" s="603" t="s">
        <v>278</v>
      </c>
      <c r="D97" s="75" t="s">
        <v>230</v>
      </c>
      <c r="E97" s="533">
        <f>E95-E96</f>
        <v>-14.131342797434797</v>
      </c>
      <c r="F97" s="533">
        <f t="shared" ref="F97" si="14">F95-F96</f>
        <v>0</v>
      </c>
      <c r="G97" s="533">
        <f t="shared" ref="G97" si="15">G95-G96</f>
        <v>0</v>
      </c>
      <c r="H97" s="533">
        <f t="shared" ref="H97" si="16">H95-H96</f>
        <v>0</v>
      </c>
      <c r="I97" s="609">
        <f t="shared" ref="I97" si="17">I95-I96</f>
        <v>0</v>
      </c>
    </row>
    <row r="98" spans="2:9">
      <c r="B98" s="606"/>
      <c r="D98" s="75"/>
      <c r="E98" s="514"/>
      <c r="F98" s="514"/>
      <c r="G98" s="514"/>
      <c r="H98" s="514"/>
      <c r="I98" s="534"/>
    </row>
    <row r="99" spans="2:9">
      <c r="B99" s="607" t="s">
        <v>291</v>
      </c>
      <c r="D99" s="75" t="s">
        <v>230</v>
      </c>
      <c r="E99" s="202">
        <v>462</v>
      </c>
      <c r="F99" s="202"/>
      <c r="G99" s="202"/>
      <c r="H99" s="202"/>
      <c r="I99" s="202"/>
    </row>
    <row r="100" spans="2:9">
      <c r="B100" s="607" t="s">
        <v>292</v>
      </c>
      <c r="D100" s="75" t="s">
        <v>230</v>
      </c>
      <c r="E100" s="202">
        <v>-379</v>
      </c>
      <c r="F100" s="202"/>
      <c r="G100" s="202"/>
      <c r="H100" s="202"/>
      <c r="I100" s="202"/>
    </row>
    <row r="101" spans="2:9">
      <c r="B101" s="607" t="s">
        <v>293</v>
      </c>
      <c r="D101" s="75" t="s">
        <v>230</v>
      </c>
      <c r="E101" s="219">
        <f>SUM(E99:E100)</f>
        <v>83</v>
      </c>
      <c r="F101" s="219">
        <f t="shared" ref="F101:I101" si="18">SUM(F99:F100)</f>
        <v>0</v>
      </c>
      <c r="G101" s="219">
        <f t="shared" si="18"/>
        <v>0</v>
      </c>
      <c r="H101" s="219">
        <f t="shared" si="18"/>
        <v>0</v>
      </c>
      <c r="I101" s="219">
        <f t="shared" si="18"/>
        <v>0</v>
      </c>
    </row>
    <row r="102" spans="2:9">
      <c r="B102" s="608" t="s">
        <v>294</v>
      </c>
      <c r="D102" s="75" t="s">
        <v>230</v>
      </c>
      <c r="E102" s="513">
        <v>102.20298249109956</v>
      </c>
      <c r="F102" s="513"/>
      <c r="G102" s="513"/>
      <c r="H102" s="513"/>
      <c r="I102" s="513"/>
    </row>
    <row r="103" spans="2:9">
      <c r="B103" s="603" t="s">
        <v>278</v>
      </c>
      <c r="D103" s="75" t="s">
        <v>230</v>
      </c>
      <c r="E103" s="533">
        <f>SUM(E101:E102)</f>
        <v>185.20298249109956</v>
      </c>
      <c r="F103" s="533">
        <f t="shared" ref="F103:I103" si="19">SUM(F101:F102)</f>
        <v>0</v>
      </c>
      <c r="G103" s="533">
        <f t="shared" si="19"/>
        <v>0</v>
      </c>
      <c r="H103" s="533">
        <f t="shared" si="19"/>
        <v>0</v>
      </c>
      <c r="I103" s="533">
        <f t="shared" si="19"/>
        <v>0</v>
      </c>
    </row>
    <row r="104" spans="2:9">
      <c r="B104" s="532"/>
      <c r="D104" s="75"/>
      <c r="E104" s="514"/>
      <c r="F104" s="514"/>
      <c r="G104" s="514"/>
      <c r="H104" s="514"/>
      <c r="I104" s="534"/>
    </row>
    <row r="105" spans="2:9">
      <c r="B105" s="535" t="s">
        <v>295</v>
      </c>
      <c r="D105" s="75" t="s">
        <v>230</v>
      </c>
      <c r="E105" s="219">
        <f>IFERROR(E92-E95-E99,0)</f>
        <v>-93.353468129999953</v>
      </c>
      <c r="F105" s="219">
        <f t="shared" ref="F105:I105" si="20">IFERROR(F92-F95-F99,0)</f>
        <v>0</v>
      </c>
      <c r="G105" s="219">
        <f t="shared" si="20"/>
        <v>0</v>
      </c>
      <c r="H105" s="219">
        <f t="shared" si="20"/>
        <v>0</v>
      </c>
      <c r="I105" s="219">
        <f t="shared" si="20"/>
        <v>0</v>
      </c>
    </row>
    <row r="106" spans="2:9">
      <c r="B106" s="605" t="s">
        <v>296</v>
      </c>
      <c r="D106" s="75" t="s">
        <v>230</v>
      </c>
      <c r="E106" s="219">
        <f>IFERROR(E93-E96-E102,0)</f>
        <v>160.54881956433312</v>
      </c>
      <c r="F106" s="219">
        <f t="shared" ref="F106:I106" si="21">IFERROR(F93-F96-F102,0)</f>
        <v>0</v>
      </c>
      <c r="G106" s="219">
        <f t="shared" si="21"/>
        <v>0</v>
      </c>
      <c r="H106" s="219">
        <f t="shared" si="21"/>
        <v>0</v>
      </c>
      <c r="I106" s="219">
        <f t="shared" si="21"/>
        <v>0</v>
      </c>
    </row>
    <row r="107" spans="2:9">
      <c r="B107" s="603" t="s">
        <v>278</v>
      </c>
      <c r="D107" s="75" t="s">
        <v>230</v>
      </c>
      <c r="E107" s="533">
        <f>IFERROR(E105-E106,0)</f>
        <v>-253.90228769433307</v>
      </c>
      <c r="F107" s="533">
        <f t="shared" ref="F107:I107" si="22">IFERROR(F105-F106,0)</f>
        <v>0</v>
      </c>
      <c r="G107" s="533">
        <f t="shared" si="22"/>
        <v>0</v>
      </c>
      <c r="H107" s="533">
        <f t="shared" si="22"/>
        <v>0</v>
      </c>
      <c r="I107" s="533">
        <f t="shared" si="22"/>
        <v>0</v>
      </c>
    </row>
    <row r="108" spans="2:9">
      <c r="B108" s="532"/>
      <c r="C108"/>
      <c r="D108"/>
      <c r="I108" s="359"/>
    </row>
    <row r="109" spans="2:9">
      <c r="B109" s="537"/>
      <c r="C109" s="538"/>
      <c r="D109" s="539"/>
      <c r="E109" s="540"/>
      <c r="F109" s="539"/>
      <c r="G109" s="539"/>
      <c r="H109" s="539"/>
      <c r="I109" s="541"/>
    </row>
    <row r="110" spans="2:9">
      <c r="B110"/>
      <c r="D110"/>
    </row>
    <row r="111" spans="2:9">
      <c r="B111"/>
      <c r="C111"/>
      <c r="D111"/>
    </row>
    <row r="112" spans="2:9">
      <c r="B112" s="349"/>
      <c r="D112"/>
    </row>
    <row r="113" spans="2:9">
      <c r="B113" s="6" t="s">
        <v>297</v>
      </c>
      <c r="C113"/>
      <c r="D113"/>
    </row>
    <row r="114" spans="2:9">
      <c r="B114" s="847"/>
      <c r="C114" s="848"/>
      <c r="D114" s="848"/>
      <c r="E114" s="848"/>
      <c r="F114" s="848"/>
      <c r="G114" s="783"/>
      <c r="H114" s="783"/>
      <c r="I114" s="784"/>
    </row>
    <row r="115" spans="2:9">
      <c r="B115" s="360"/>
      <c r="C115" s="361"/>
      <c r="D115" s="362"/>
      <c r="E115" s="335"/>
      <c r="F115" s="335"/>
      <c r="G115" s="335"/>
      <c r="H115" s="335"/>
      <c r="I115" s="363"/>
    </row>
    <row r="116" spans="2:9">
      <c r="B116" s="360"/>
      <c r="C116" s="361"/>
      <c r="D116" s="362"/>
      <c r="E116" s="335"/>
      <c r="F116" s="335"/>
      <c r="G116" s="335"/>
      <c r="H116" s="335"/>
      <c r="I116" s="363"/>
    </row>
    <row r="117" spans="2:9">
      <c r="B117" s="360"/>
      <c r="C117" s="361"/>
      <c r="D117" s="362"/>
      <c r="E117" s="335"/>
      <c r="F117" s="335"/>
      <c r="G117" s="335"/>
      <c r="H117" s="335"/>
      <c r="I117" s="363"/>
    </row>
    <row r="118" spans="2:9">
      <c r="B118" s="360"/>
      <c r="C118" s="361"/>
      <c r="D118" s="362"/>
      <c r="E118" s="335"/>
      <c r="F118" s="335"/>
      <c r="G118" s="335"/>
      <c r="H118" s="335"/>
      <c r="I118" s="363"/>
    </row>
    <row r="119" spans="2:9">
      <c r="B119" s="364"/>
      <c r="C119" s="580"/>
      <c r="D119" s="581"/>
      <c r="E119" s="582"/>
      <c r="F119" s="582"/>
      <c r="G119" s="582"/>
      <c r="H119" s="582"/>
      <c r="I119" s="365"/>
    </row>
    <row r="121" spans="2:9" ht="13.5" customHeight="1"/>
    <row r="127" spans="2:9" ht="15" customHeight="1"/>
    <row r="141" ht="91.5" customHeight="1"/>
  </sheetData>
  <mergeCells count="1">
    <mergeCell ref="B114:F114"/>
  </mergeCells>
  <conditionalFormatting sqref="E59:I59">
    <cfRule type="expression" dxfId="96" priority="54">
      <formula>E$5="Forecast"</formula>
    </cfRule>
  </conditionalFormatting>
  <conditionalFormatting sqref="C35">
    <cfRule type="expression" dxfId="95" priority="50">
      <formula>C$5="Forecast"</formula>
    </cfRule>
  </conditionalFormatting>
  <conditionalFormatting sqref="E86:I86 E71:I71 E67:I69">
    <cfRule type="expression" dxfId="94" priority="46">
      <formula>D$12="N/A"</formula>
    </cfRule>
  </conditionalFormatting>
  <conditionalFormatting sqref="E65:H65">
    <cfRule type="expression" dxfId="93" priority="20">
      <formula>AND(E$5="Actuals",F$5="N/A")</formula>
    </cfRule>
  </conditionalFormatting>
  <conditionalFormatting sqref="I65">
    <cfRule type="expression" dxfId="92" priority="232">
      <formula>AND(I$5="Actuals",#REF!="N/A")</formula>
    </cfRule>
  </conditionalFormatting>
  <conditionalFormatting sqref="E7:I7">
    <cfRule type="expression" dxfId="91" priority="19">
      <formula>AND(E$5="Actuals",F$5="Forecast")</formula>
    </cfRule>
  </conditionalFormatting>
  <conditionalFormatting sqref="E6:H6">
    <cfRule type="expression" dxfId="90" priority="17">
      <formula>AND(E$5="Actuals",F$5="Forecast")</formula>
    </cfRule>
  </conditionalFormatting>
  <conditionalFormatting sqref="I6">
    <cfRule type="expression" dxfId="89" priority="18">
      <formula>AND(I$5="Actuals",#REF!="Forecast")</formula>
    </cfRule>
  </conditionalFormatting>
  <conditionalFormatting sqref="E27:I35">
    <cfRule type="expression" priority="16">
      <formula>$E6="Forecast"</formula>
    </cfRule>
  </conditionalFormatting>
  <conditionalFormatting sqref="E27:I35 E39:I54">
    <cfRule type="expression" priority="15">
      <formula>E$5="Forecast"</formula>
    </cfRule>
  </conditionalFormatting>
  <conditionalFormatting sqref="E20:I20 E57:I59 E65:I65 E83:I83 E71:I71 E67:I68 E105:I106 E86:I88 E90:I90 E92:I93 E95:I97 E74:I74 E78:I78 E99:I103 E13:I18 E24:I24 E27:I36 E39:I55">
    <cfRule type="expression" dxfId="88" priority="14">
      <formula>E$5="Forecast"</formula>
    </cfRule>
  </conditionalFormatting>
  <conditionalFormatting sqref="E107:I107">
    <cfRule type="expression" dxfId="87" priority="12">
      <formula>E$5="Forecast"</formula>
    </cfRule>
  </conditionalFormatting>
  <conditionalFormatting sqref="E77:I77">
    <cfRule type="expression" dxfId="86" priority="9">
      <formula>E$5="Forecast"</formula>
    </cfRule>
  </conditionalFormatting>
  <conditionalFormatting sqref="E77:I77">
    <cfRule type="expression" dxfId="85" priority="10">
      <formula>D$12="N/A"</formula>
    </cfRule>
  </conditionalFormatting>
  <conditionalFormatting sqref="E75:I75">
    <cfRule type="expression" dxfId="84" priority="6">
      <formula>E$5="Forecast"</formula>
    </cfRule>
  </conditionalFormatting>
  <conditionalFormatting sqref="E24:I24">
    <cfRule type="expression" priority="5">
      <formula>$E3="Forecast"</formula>
    </cfRule>
  </conditionalFormatting>
  <conditionalFormatting sqref="E24:I24">
    <cfRule type="expression" priority="4">
      <formula>E$5="Forecast"</formula>
    </cfRule>
  </conditionalFormatting>
  <conditionalFormatting sqref="E24">
    <cfRule type="expression" priority="3">
      <formula>$E3="Forecast"</formula>
    </cfRule>
  </conditionalFormatting>
  <conditionalFormatting sqref="E24">
    <cfRule type="expression" priority="2">
      <formula>E$5="Forecast"</formula>
    </cfRule>
  </conditionalFormatting>
  <conditionalFormatting sqref="E39:E54">
    <cfRule type="expression" priority="1">
      <formula>$E18="Forecast"</formula>
    </cfRule>
  </conditionalFormatting>
  <pageMargins left="0.70866141732283472" right="0.70866141732283472" top="0.74803149606299213" bottom="0.74803149606299213" header="0.31496062992125984" footer="0.31496062992125984"/>
  <pageSetup paperSize="8" fitToHeight="2" orientation="landscape" r:id="rId1"/>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7" id="{F64DC2A1-1BFC-4A45-BEAE-BCD4DDABF2EA}">
            <xm:f>'RFPR cover'!$C$7="ESO"</xm:f>
            <x14:dxf>
              <fill>
                <patternFill>
                  <fgColor auto="1"/>
                  <bgColor theme="7" tint="0.79998168889431442"/>
                </patternFill>
              </fill>
            </x14:dxf>
          </x14:cfRule>
          <xm:sqref>E24:I24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CC"/>
    <pageSetUpPr fitToPage="1"/>
  </sheetPr>
  <dimension ref="A1:Q236"/>
  <sheetViews>
    <sheetView showGridLines="0" zoomScale="76" zoomScaleNormal="100" workbookViewId="0">
      <pane ySplit="7" topLeftCell="A174" activePane="bottomLeft" state="frozen"/>
      <selection activeCell="B1" sqref="B1"/>
      <selection pane="bottomLeft" activeCell="D190" sqref="D190:I190"/>
    </sheetView>
  </sheetViews>
  <sheetFormatPr defaultColWidth="9.1171875" defaultRowHeight="12.4"/>
  <cols>
    <col min="1" max="1" width="8.3515625" style="2" customWidth="1"/>
    <col min="2" max="2" width="64.46875" style="66" customWidth="1"/>
    <col min="3" max="3" width="13.3515625" style="69" customWidth="1"/>
    <col min="4" max="8" width="11.1171875" style="2" customWidth="1"/>
    <col min="9" max="10" width="12.87890625" style="2" customWidth="1"/>
    <col min="11" max="16384" width="9.1171875" style="2"/>
  </cols>
  <sheetData>
    <row r="1" spans="1:16" customFormat="1" ht="20.65">
      <c r="A1" s="776" t="s">
        <v>298</v>
      </c>
      <c r="B1" s="394"/>
      <c r="C1" s="401"/>
      <c r="D1" s="396"/>
      <c r="E1" s="396"/>
      <c r="F1" s="396"/>
      <c r="G1" s="396"/>
      <c r="H1" s="396"/>
      <c r="I1" s="397"/>
      <c r="J1" s="397"/>
      <c r="K1" s="785"/>
    </row>
    <row r="2" spans="1:16" customFormat="1" ht="20.65">
      <c r="A2" s="293" t="str">
        <f>Licensee</f>
        <v>Cadent-WM</v>
      </c>
      <c r="B2" s="296"/>
      <c r="C2" s="68"/>
      <c r="D2" s="16"/>
      <c r="E2" s="16"/>
      <c r="F2" s="16"/>
      <c r="G2" s="16"/>
      <c r="H2" s="16"/>
      <c r="I2" s="15"/>
      <c r="J2" s="15"/>
      <c r="K2" s="65"/>
    </row>
    <row r="3" spans="1:16" customFormat="1" ht="20.65">
      <c r="A3" s="288">
        <f>Reporting_Year</f>
        <v>2022</v>
      </c>
      <c r="B3" s="577"/>
      <c r="C3" s="578"/>
      <c r="D3" s="575"/>
      <c r="E3" s="575"/>
      <c r="F3" s="575"/>
      <c r="G3" s="575"/>
      <c r="H3" s="575"/>
      <c r="I3" s="576"/>
      <c r="J3" s="576"/>
      <c r="K3" s="119"/>
    </row>
    <row r="4" spans="1:16" ht="12.75" customHeight="1"/>
    <row r="5" spans="1:16" ht="30" customHeight="1">
      <c r="D5" s="151" t="str">
        <f>IF(D6&lt;=Reporting_Year,"Actuals","Forecast")</f>
        <v>Actuals</v>
      </c>
      <c r="E5" s="151" t="str">
        <f t="shared" ref="E5:I5" si="0">IF(E6&lt;=Reporting_Year,"Actuals","Forecast")</f>
        <v>Forecast</v>
      </c>
      <c r="F5" s="151" t="str">
        <f t="shared" si="0"/>
        <v>Forecast</v>
      </c>
      <c r="G5" s="151" t="str">
        <f t="shared" si="0"/>
        <v>Forecast</v>
      </c>
      <c r="H5" s="151" t="str">
        <f t="shared" si="0"/>
        <v>Forecast</v>
      </c>
      <c r="I5" s="151" t="str">
        <f t="shared" si="0"/>
        <v>Forecast</v>
      </c>
    </row>
    <row r="6" spans="1:16" ht="27.75" customHeight="1">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6">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6">
      <c r="B8" s="510" t="s">
        <v>299</v>
      </c>
      <c r="C8" s="128"/>
      <c r="D8" s="128"/>
      <c r="E8" s="128"/>
      <c r="F8" s="128"/>
      <c r="G8" s="128"/>
      <c r="H8" s="129"/>
      <c r="I8" s="129"/>
      <c r="J8" s="129"/>
      <c r="K8" s="66"/>
    </row>
    <row r="9" spans="1:16">
      <c r="B9" s="774" t="s">
        <v>300</v>
      </c>
      <c r="C9" s="775"/>
      <c r="D9" s="775"/>
      <c r="E9" s="775"/>
      <c r="F9" s="775"/>
      <c r="G9" s="775"/>
      <c r="H9" s="775"/>
      <c r="I9" s="775"/>
      <c r="J9" s="775"/>
      <c r="K9" s="66"/>
      <c r="L9" s="66"/>
    </row>
    <row r="11" spans="1:16">
      <c r="B11" s="367" t="s">
        <v>301</v>
      </c>
      <c r="C11" s="366"/>
      <c r="D11" s="41"/>
      <c r="E11" s="41"/>
      <c r="F11" s="41"/>
      <c r="G11" s="41"/>
      <c r="H11" s="41"/>
      <c r="I11" s="41"/>
      <c r="J11" s="41"/>
      <c r="K11" s="66"/>
    </row>
    <row r="12" spans="1:16">
      <c r="B12" s="153"/>
      <c r="D12" s="1"/>
      <c r="E12" s="1"/>
      <c r="F12" s="1"/>
      <c r="G12" s="1"/>
      <c r="H12" s="1"/>
      <c r="I12" s="1"/>
      <c r="J12" s="1"/>
      <c r="K12" s="66"/>
    </row>
    <row r="13" spans="1:16">
      <c r="B13" s="88" t="s">
        <v>302</v>
      </c>
      <c r="C13" s="38" t="str">
        <f>Data!$C$9</f>
        <v>£m 18/19</v>
      </c>
      <c r="D13" s="423">
        <v>77.829196692658627</v>
      </c>
      <c r="E13" s="423">
        <v>100.15212053740893</v>
      </c>
      <c r="F13" s="423">
        <v>91.184185445990778</v>
      </c>
      <c r="G13" s="423">
        <v>90.344748167824491</v>
      </c>
      <c r="H13" s="423">
        <v>86.013576328109664</v>
      </c>
      <c r="I13" s="55">
        <f>SUM(D13:INDEX(D13:H13,0,MATCH('RFPR cover'!$C$9,$D$6:$H$6,0)))</f>
        <v>77.829196692658627</v>
      </c>
      <c r="J13" s="56">
        <f>SUM(D13:H13)</f>
        <v>445.52382717199248</v>
      </c>
      <c r="K13" s="66"/>
    </row>
    <row r="14" spans="1:16" ht="17.25" customHeight="1">
      <c r="B14" s="67" t="s">
        <v>303</v>
      </c>
      <c r="C14" s="38" t="str">
        <f>Data!$C$9</f>
        <v>£m 18/19</v>
      </c>
      <c r="D14" s="423">
        <v>98.058738288479447</v>
      </c>
      <c r="E14" s="423">
        <v>100.63441534567174</v>
      </c>
      <c r="F14" s="423">
        <v>101.05435727272493</v>
      </c>
      <c r="G14" s="423">
        <v>93.03160445511034</v>
      </c>
      <c r="H14" s="423">
        <v>90.529974859637974</v>
      </c>
      <c r="I14" s="53">
        <f>SUM(D14:INDEX(D14:H14,0,MATCH('RFPR cover'!$C$9,$D$6:$H$6,0)))</f>
        <v>98.058738288479447</v>
      </c>
      <c r="J14" s="54">
        <f>SUM(D14:H14)</f>
        <v>483.30909022162439</v>
      </c>
      <c r="K14" s="36"/>
    </row>
    <row r="15" spans="1:16">
      <c r="B15" s="241" t="s">
        <v>304</v>
      </c>
      <c r="C15" s="38" t="str">
        <f>Data!$C$9</f>
        <v>£m 18/19</v>
      </c>
      <c r="D15" s="636">
        <f>D14-D13</f>
        <v>20.22954159582082</v>
      </c>
      <c r="E15" s="636">
        <f t="shared" ref="E15:J15" si="2">E14-E13</f>
        <v>0.48229480826280735</v>
      </c>
      <c r="F15" s="636">
        <f t="shared" si="2"/>
        <v>9.8701718267341505</v>
      </c>
      <c r="G15" s="636">
        <f t="shared" si="2"/>
        <v>2.686856287285849</v>
      </c>
      <c r="H15" s="636">
        <f t="shared" si="2"/>
        <v>4.5163985315283099</v>
      </c>
      <c r="I15" s="50">
        <f t="shared" si="2"/>
        <v>20.22954159582082</v>
      </c>
      <c r="J15" s="52">
        <f t="shared" si="2"/>
        <v>37.785263049631908</v>
      </c>
      <c r="K15" s="802"/>
      <c r="L15" s="802"/>
      <c r="M15" s="802"/>
      <c r="N15"/>
      <c r="O15"/>
      <c r="P15"/>
    </row>
    <row r="16" spans="1:16" ht="13.15">
      <c r="B16" s="241"/>
      <c r="C16" s="38"/>
      <c r="D16" s="32"/>
      <c r="E16" s="32"/>
      <c r="F16" s="32"/>
      <c r="G16" s="32"/>
      <c r="H16" s="32"/>
      <c r="I16" s="32"/>
      <c r="J16" s="32"/>
      <c r="K16" s="37"/>
      <c r="L16" s="37"/>
      <c r="M16" s="37"/>
      <c r="N16"/>
      <c r="O16"/>
      <c r="P16"/>
    </row>
    <row r="17" spans="2:16">
      <c r="B17" s="66" t="s">
        <v>305</v>
      </c>
      <c r="C17" s="69" t="s">
        <v>194</v>
      </c>
      <c r="D17" s="58">
        <f>INDEX(Data!$C$55:$C$83,MATCH('RFPR cover'!$C$7,Data!$B$55:$B$83,0),0)</f>
        <v>0.5</v>
      </c>
      <c r="E17" s="58">
        <f>INDEX(Data!$C$55:$C$83,MATCH('RFPR cover'!$C$7,Data!$B$55:$B$83,0),0)</f>
        <v>0.5</v>
      </c>
      <c r="F17" s="58">
        <f>INDEX(Data!$C$55:$C$83,MATCH('RFPR cover'!$C$7,Data!$B$55:$B$83,0),0)</f>
        <v>0.5</v>
      </c>
      <c r="G17" s="58">
        <f>INDEX(Data!$C$55:$C$83,MATCH('RFPR cover'!$C$7,Data!$B$55:$B$83,0),0)</f>
        <v>0.5</v>
      </c>
      <c r="H17" s="58">
        <f>INDEX(Data!$C$55:$C$83,MATCH('RFPR cover'!$C$7,Data!$B$55:$B$83,0),0)</f>
        <v>0.5</v>
      </c>
      <c r="I17" s="35"/>
      <c r="J17" s="35"/>
      <c r="K17"/>
      <c r="L17"/>
      <c r="M17"/>
      <c r="N17"/>
      <c r="O17"/>
      <c r="P17"/>
    </row>
    <row r="18" spans="2:16">
      <c r="K18"/>
      <c r="L18"/>
      <c r="M18"/>
      <c r="N18"/>
      <c r="O18"/>
      <c r="P18"/>
    </row>
    <row r="19" spans="2:16">
      <c r="B19" s="66" t="s">
        <v>306</v>
      </c>
      <c r="C19" s="38" t="str">
        <f>Data!$C$9</f>
        <v>£m 18/19</v>
      </c>
      <c r="D19" s="636">
        <f>D15*D17</f>
        <v>10.11477079791041</v>
      </c>
      <c r="E19" s="636">
        <f t="shared" ref="E19:H19" si="3">E15*E17</f>
        <v>0.24114740413140368</v>
      </c>
      <c r="F19" s="636">
        <f t="shared" si="3"/>
        <v>4.9350859133670752</v>
      </c>
      <c r="G19" s="636">
        <f t="shared" si="3"/>
        <v>1.3434281436429245</v>
      </c>
      <c r="H19" s="636">
        <f t="shared" si="3"/>
        <v>2.258199265764155</v>
      </c>
      <c r="I19" s="46">
        <f>SUM(D19:INDEX(D19:H19,0,MATCH('RFPR cover'!$C$9,$D$6:$H$6,0)))</f>
        <v>10.11477079791041</v>
      </c>
      <c r="J19" s="48">
        <f>SUM(D19:H19)</f>
        <v>18.892631524815968</v>
      </c>
      <c r="K19"/>
      <c r="L19"/>
      <c r="M19"/>
      <c r="N19"/>
      <c r="O19"/>
      <c r="P19"/>
    </row>
    <row r="20" spans="2:16">
      <c r="B20" s="66" t="s">
        <v>307</v>
      </c>
      <c r="C20" s="38" t="str">
        <f>Data!$C$9</f>
        <v>£m 18/19</v>
      </c>
      <c r="D20" s="636">
        <f>D15*(1-D17)</f>
        <v>10.11477079791041</v>
      </c>
      <c r="E20" s="636">
        <f t="shared" ref="E20:H20" si="4">E15*(1-E17)</f>
        <v>0.24114740413140368</v>
      </c>
      <c r="F20" s="636">
        <f t="shared" si="4"/>
        <v>4.9350859133670752</v>
      </c>
      <c r="G20" s="636">
        <f t="shared" si="4"/>
        <v>1.3434281436429245</v>
      </c>
      <c r="H20" s="636">
        <f t="shared" si="4"/>
        <v>2.258199265764155</v>
      </c>
      <c r="I20" s="43">
        <f>SUM(D20:INDEX(D20:H20,0,MATCH('RFPR cover'!$C$9,$D$6:$H$6,0)))</f>
        <v>10.11477079791041</v>
      </c>
      <c r="J20" s="45">
        <f>SUM(D20:H20)</f>
        <v>18.892631524815968</v>
      </c>
      <c r="L20"/>
      <c r="M20"/>
      <c r="N20"/>
      <c r="O20"/>
      <c r="P20"/>
    </row>
    <row r="21" spans="2:16">
      <c r="C21" s="66"/>
      <c r="D21" s="66"/>
      <c r="E21" s="66"/>
      <c r="F21" s="66"/>
      <c r="G21" s="66"/>
      <c r="H21" s="66"/>
      <c r="I21" s="66"/>
      <c r="J21" s="66"/>
      <c r="L21"/>
      <c r="M21"/>
      <c r="N21"/>
      <c r="O21"/>
      <c r="P21"/>
    </row>
    <row r="22" spans="2:16">
      <c r="B22" s="153" t="s">
        <v>308</v>
      </c>
      <c r="L22"/>
      <c r="M22"/>
    </row>
    <row r="23" spans="2:16">
      <c r="B23" s="374" t="s">
        <v>309</v>
      </c>
      <c r="C23" s="38" t="str">
        <f>Data!$C$9</f>
        <v>£m 18/19</v>
      </c>
      <c r="D23" s="204">
        <v>2.104869735883323</v>
      </c>
      <c r="E23" s="204">
        <v>-2.1586312641006042</v>
      </c>
      <c r="F23" s="204">
        <v>-0.91013124654207056</v>
      </c>
      <c r="G23" s="204">
        <v>-0.88191809327794002</v>
      </c>
      <c r="H23" s="204">
        <v>-1.632881866856108</v>
      </c>
      <c r="I23" s="43">
        <f>SUM(D23:INDEX(D23:H23,0,MATCH('RFPR cover'!$C$9,$D$6:$H$6,0)))</f>
        <v>2.104869735883323</v>
      </c>
      <c r="J23" s="45">
        <f>SUM(D23:H23)</f>
        <v>-3.4786927348934</v>
      </c>
      <c r="L23"/>
      <c r="M23"/>
      <c r="N23"/>
      <c r="O23"/>
      <c r="P23"/>
    </row>
    <row r="24" spans="2:16">
      <c r="B24" s="374" t="s">
        <v>310</v>
      </c>
      <c r="C24" s="38" t="str">
        <f>Data!$C$9</f>
        <v>£m 18/19</v>
      </c>
      <c r="D24" s="204">
        <v>-1.3265643153792963</v>
      </c>
      <c r="E24" s="204">
        <v>2.0900248340348444</v>
      </c>
      <c r="F24" s="204">
        <v>-9.2562399214868141E-2</v>
      </c>
      <c r="G24" s="204">
        <v>-0.33891562263283515</v>
      </c>
      <c r="H24" s="204">
        <v>-0.33198249680784464</v>
      </c>
      <c r="I24" s="43">
        <f>SUM(D24:INDEX(D24:H24,0,MATCH('RFPR cover'!$C$9,$D$6:$H$6,0)))</f>
        <v>-1.3265643153792963</v>
      </c>
      <c r="J24" s="45">
        <f t="shared" ref="J24" si="5">SUM(D24:H24)</f>
        <v>0</v>
      </c>
      <c r="L24"/>
      <c r="M24"/>
      <c r="N24"/>
      <c r="O24"/>
      <c r="P24"/>
    </row>
    <row r="25" spans="2:16">
      <c r="B25" s="153" t="s">
        <v>311</v>
      </c>
      <c r="C25" s="38" t="str">
        <f>Data!$C$9</f>
        <v>£m 18/19</v>
      </c>
      <c r="D25" s="636">
        <f>SUM(D23:D24)</f>
        <v>0.77830542050402673</v>
      </c>
      <c r="E25" s="636">
        <f t="shared" ref="E25:H25" si="6">SUM(E23:E24)</f>
        <v>-6.8606430065759838E-2</v>
      </c>
      <c r="F25" s="636">
        <f t="shared" si="6"/>
        <v>-1.0026936457569386</v>
      </c>
      <c r="G25" s="636">
        <f t="shared" si="6"/>
        <v>-1.2208337159107752</v>
      </c>
      <c r="H25" s="636">
        <f t="shared" si="6"/>
        <v>-1.9648643636639527</v>
      </c>
      <c r="I25" s="43">
        <f>SUM(D25:INDEX(D25:H25,0,MATCH('RFPR cover'!$C$9,$D$6:$H$6,0)))</f>
        <v>0.77830542050402673</v>
      </c>
      <c r="J25" s="45">
        <f t="shared" ref="J25" si="7">SUM(D25:H25)</f>
        <v>-3.4786927348933996</v>
      </c>
      <c r="L25"/>
      <c r="M25"/>
      <c r="N25"/>
      <c r="O25"/>
      <c r="P25"/>
    </row>
    <row r="26" spans="2:16">
      <c r="B26" s="153"/>
      <c r="L26"/>
      <c r="M26"/>
      <c r="N26"/>
      <c r="O26"/>
      <c r="P26"/>
    </row>
    <row r="27" spans="2:16">
      <c r="B27" s="153" t="s">
        <v>312</v>
      </c>
      <c r="L27"/>
      <c r="M27"/>
      <c r="N27"/>
      <c r="O27"/>
      <c r="P27"/>
    </row>
    <row r="28" spans="2:16">
      <c r="B28" s="374" t="s">
        <v>309</v>
      </c>
      <c r="C28" s="38" t="str">
        <f>Data!$C$9</f>
        <v>£m 18/19</v>
      </c>
      <c r="D28" s="204">
        <v>0.49248568839241996</v>
      </c>
      <c r="E28" s="204">
        <v>-0.12312142209810495</v>
      </c>
      <c r="F28" s="204">
        <v>-0.12312142209810495</v>
      </c>
      <c r="G28" s="204">
        <v>-0.12312142209810495</v>
      </c>
      <c r="H28" s="204">
        <v>-0.12312142209810512</v>
      </c>
      <c r="I28" s="43">
        <f>SUM(D28:INDEX(D28:H28,0,MATCH('RFPR cover'!$C$9,$D$6:$H$6,0)))</f>
        <v>0.49248568839241996</v>
      </c>
      <c r="J28" s="45">
        <f>SUM(D28:H28)</f>
        <v>0</v>
      </c>
      <c r="L28"/>
      <c r="M28"/>
      <c r="N28"/>
      <c r="O28"/>
      <c r="P28"/>
    </row>
    <row r="29" spans="2:16">
      <c r="B29" s="374" t="s">
        <v>310</v>
      </c>
      <c r="C29" s="38" t="str">
        <f>Data!$C$9</f>
        <v>£m 18/19</v>
      </c>
      <c r="D29" s="204">
        <v>0</v>
      </c>
      <c r="E29" s="204">
        <v>0</v>
      </c>
      <c r="F29" s="204">
        <v>0</v>
      </c>
      <c r="G29" s="204">
        <v>0</v>
      </c>
      <c r="H29" s="204">
        <v>0</v>
      </c>
      <c r="I29" s="43">
        <f>SUM(D29:INDEX(D29:H29,0,MATCH('RFPR cover'!$C$9,$D$6:$H$6,0)))</f>
        <v>0</v>
      </c>
      <c r="J29" s="45">
        <f t="shared" ref="J29:J30" si="8">SUM(D29:H29)</f>
        <v>0</v>
      </c>
      <c r="L29"/>
      <c r="M29"/>
      <c r="N29"/>
      <c r="O29"/>
      <c r="P29"/>
    </row>
    <row r="30" spans="2:16">
      <c r="B30" s="153" t="s">
        <v>311</v>
      </c>
      <c r="C30" s="38" t="str">
        <f>Data!$C$9</f>
        <v>£m 18/19</v>
      </c>
      <c r="D30" s="636">
        <f>SUM(D28:D29)</f>
        <v>0.49248568839241996</v>
      </c>
      <c r="E30" s="636">
        <f t="shared" ref="E30:H30" si="9">SUM(E28:E29)</f>
        <v>-0.12312142209810495</v>
      </c>
      <c r="F30" s="636">
        <f t="shared" si="9"/>
        <v>-0.12312142209810495</v>
      </c>
      <c r="G30" s="636">
        <f t="shared" si="9"/>
        <v>-0.12312142209810495</v>
      </c>
      <c r="H30" s="636">
        <f t="shared" si="9"/>
        <v>-0.12312142209810512</v>
      </c>
      <c r="I30" s="43">
        <f>SUM(D30:INDEX(D30:H30,0,MATCH('RFPR cover'!$C$9,$D$6:$H$6,0)))</f>
        <v>0.49248568839241996</v>
      </c>
      <c r="J30" s="45">
        <f t="shared" si="8"/>
        <v>0</v>
      </c>
      <c r="L30"/>
      <c r="M30"/>
      <c r="N30"/>
      <c r="O30"/>
      <c r="P30"/>
    </row>
    <row r="31" spans="2:16">
      <c r="B31" s="153"/>
      <c r="L31"/>
      <c r="M31"/>
      <c r="N31"/>
      <c r="O31"/>
      <c r="P31"/>
    </row>
    <row r="32" spans="2:16">
      <c r="B32" s="66" t="s">
        <v>313</v>
      </c>
      <c r="C32" s="38"/>
      <c r="D32" s="636">
        <f>D25*D17</f>
        <v>0.38915271025201337</v>
      </c>
      <c r="E32" s="636">
        <f t="shared" ref="E32:H32" si="10">E25*E17</f>
        <v>-3.4303215032879919E-2</v>
      </c>
      <c r="F32" s="636">
        <f t="shared" si="10"/>
        <v>-0.50134682287846932</v>
      </c>
      <c r="G32" s="636">
        <f t="shared" si="10"/>
        <v>-0.61041685795538758</v>
      </c>
      <c r="H32" s="636">
        <f t="shared" si="10"/>
        <v>-0.98243218183197634</v>
      </c>
      <c r="I32" s="46">
        <f>SUM(D32:INDEX(D32:H32,0,MATCH('RFPR cover'!$C$9,$D$6:$H$6,0)))</f>
        <v>0.38915271025201337</v>
      </c>
      <c r="J32" s="48">
        <f>SUM(D32:H32)</f>
        <v>-1.7393463674466998</v>
      </c>
      <c r="L32"/>
      <c r="M32"/>
      <c r="N32"/>
      <c r="O32"/>
      <c r="P32"/>
    </row>
    <row r="33" spans="2:16">
      <c r="B33" s="66" t="s">
        <v>314</v>
      </c>
      <c r="C33" s="38"/>
      <c r="D33" s="636">
        <f>D25*(1-D17)+D30</f>
        <v>0.88163839864443339</v>
      </c>
      <c r="E33" s="636">
        <f t="shared" ref="E33:H33" si="11">E25*(1-E17)+E30</f>
        <v>-0.15742463713098487</v>
      </c>
      <c r="F33" s="636">
        <f t="shared" si="11"/>
        <v>-0.62446824497657427</v>
      </c>
      <c r="G33" s="636">
        <f t="shared" si="11"/>
        <v>-0.73353828005349253</v>
      </c>
      <c r="H33" s="636">
        <f t="shared" si="11"/>
        <v>-1.1055536039300815</v>
      </c>
      <c r="I33" s="46">
        <f>SUM(D33:INDEX(D33:H33,0,MATCH('RFPR cover'!$C$9,$D$6:$H$6,0)))</f>
        <v>0.88163839864443339</v>
      </c>
      <c r="J33" s="45">
        <f>SUM(D33:H33)</f>
        <v>-1.7393463674466998</v>
      </c>
      <c r="L33"/>
      <c r="M33"/>
      <c r="N33"/>
      <c r="O33"/>
      <c r="P33"/>
    </row>
    <row r="34" spans="2:16">
      <c r="B34" s="153"/>
      <c r="L34"/>
      <c r="M34"/>
      <c r="N34"/>
      <c r="O34"/>
      <c r="P34"/>
    </row>
    <row r="35" spans="2:16">
      <c r="B35" s="153" t="s">
        <v>315</v>
      </c>
      <c r="L35"/>
      <c r="M35"/>
      <c r="N35"/>
      <c r="O35"/>
      <c r="P35"/>
    </row>
    <row r="36" spans="2:16">
      <c r="B36" s="66" t="s">
        <v>306</v>
      </c>
      <c r="C36" s="38" t="str">
        <f>Data!$C$9</f>
        <v>£m 18/19</v>
      </c>
      <c r="D36" s="636">
        <f t="shared" ref="D36:H37" si="12">D19+D32</f>
        <v>10.503923508162423</v>
      </c>
      <c r="E36" s="636">
        <f t="shared" si="12"/>
        <v>0.20684418909852376</v>
      </c>
      <c r="F36" s="636">
        <f t="shared" si="12"/>
        <v>4.433739090488606</v>
      </c>
      <c r="G36" s="636">
        <f t="shared" si="12"/>
        <v>0.73301128568753693</v>
      </c>
      <c r="H36" s="636">
        <f t="shared" si="12"/>
        <v>1.2757670839321786</v>
      </c>
      <c r="I36" s="46">
        <f>SUM(D36:INDEX(D36:H36,0,MATCH('RFPR cover'!$C$9,$D$6:$H$6,0)))</f>
        <v>10.503923508162423</v>
      </c>
      <c r="J36" s="48">
        <f>SUM(D36:H36)</f>
        <v>17.153285157369268</v>
      </c>
      <c r="L36"/>
      <c r="M36"/>
      <c r="N36"/>
      <c r="O36"/>
      <c r="P36"/>
    </row>
    <row r="37" spans="2:16">
      <c r="B37" s="66" t="s">
        <v>307</v>
      </c>
      <c r="C37" s="38" t="str">
        <f>Data!$C$9</f>
        <v>£m 18/19</v>
      </c>
      <c r="D37" s="636">
        <f t="shared" si="12"/>
        <v>10.996409196554843</v>
      </c>
      <c r="E37" s="636">
        <f t="shared" si="12"/>
        <v>8.3722767000418807E-2</v>
      </c>
      <c r="F37" s="636">
        <f t="shared" si="12"/>
        <v>4.3106176683905009</v>
      </c>
      <c r="G37" s="636">
        <f t="shared" si="12"/>
        <v>0.60988986358943198</v>
      </c>
      <c r="H37" s="636">
        <f t="shared" si="12"/>
        <v>1.1526456618340735</v>
      </c>
      <c r="I37" s="46">
        <f>SUM(D37:INDEX(D37:H37,0,MATCH('RFPR cover'!$C$9,$D$6:$H$6,0)))</f>
        <v>10.996409196554843</v>
      </c>
      <c r="J37" s="45">
        <f t="shared" ref="J37" si="13">SUM(D37:H37)</f>
        <v>17.153285157369268</v>
      </c>
      <c r="L37"/>
      <c r="M37"/>
      <c r="N37"/>
      <c r="O37"/>
      <c r="P37"/>
    </row>
    <row r="38" spans="2:16">
      <c r="B38" s="153" t="s">
        <v>316</v>
      </c>
      <c r="C38" s="77" t="str">
        <f>Data!$C$9</f>
        <v>£m 18/19</v>
      </c>
      <c r="D38" s="636">
        <f>SUM(D36:D37)</f>
        <v>21.500332704717266</v>
      </c>
      <c r="E38" s="636">
        <f t="shared" ref="E38:H38" si="14">SUM(E36:E37)</f>
        <v>0.29056695609894256</v>
      </c>
      <c r="F38" s="636">
        <f t="shared" si="14"/>
        <v>8.7443567588791069</v>
      </c>
      <c r="G38" s="636">
        <f t="shared" si="14"/>
        <v>1.3429011492769689</v>
      </c>
      <c r="H38" s="636">
        <f t="shared" si="14"/>
        <v>2.4284127457662521</v>
      </c>
      <c r="I38" s="43">
        <f>SUM(D38:INDEX(D38:H38,0,MATCH('RFPR cover'!$C$9,$D$6:$H$6,0)))</f>
        <v>21.500332704717266</v>
      </c>
      <c r="J38" s="45">
        <f t="shared" ref="J38" si="15">SUM(D38:H38)</f>
        <v>34.306570314738536</v>
      </c>
      <c r="L38"/>
      <c r="M38"/>
      <c r="N38"/>
      <c r="O38"/>
      <c r="P38"/>
    </row>
    <row r="39" spans="2:16">
      <c r="B39" s="153"/>
      <c r="L39"/>
      <c r="M39"/>
      <c r="N39"/>
      <c r="O39"/>
      <c r="P39"/>
    </row>
    <row r="40" spans="2:16">
      <c r="B40" s="367" t="s">
        <v>317</v>
      </c>
      <c r="C40" s="73"/>
      <c r="D40" s="41"/>
      <c r="E40" s="41"/>
      <c r="F40" s="41"/>
      <c r="G40" s="41"/>
      <c r="H40" s="41"/>
      <c r="I40" s="41"/>
      <c r="J40" s="41"/>
    </row>
    <row r="41" spans="2:16">
      <c r="D41" s="1"/>
      <c r="E41" s="1"/>
      <c r="F41" s="1"/>
      <c r="G41" s="1"/>
      <c r="H41" s="1"/>
      <c r="I41" s="1"/>
      <c r="J41" s="1"/>
    </row>
    <row r="42" spans="2:16">
      <c r="B42" s="88" t="s">
        <v>302</v>
      </c>
      <c r="C42" s="38" t="str">
        <f>Data!$C$9</f>
        <v>£m 18/19</v>
      </c>
      <c r="D42" s="423">
        <v>5.7219131903674985</v>
      </c>
      <c r="E42" s="423">
        <v>5.7660982248749546</v>
      </c>
      <c r="F42" s="423">
        <v>5.0318874799034345</v>
      </c>
      <c r="G42" s="423">
        <v>4.9284872649550016</v>
      </c>
      <c r="H42" s="423">
        <v>4.7190140684796065</v>
      </c>
      <c r="I42" s="213">
        <f>SUM(D42:INDEX(D42:H42,0,MATCH('RFPR cover'!$C$9,$D$6:$H$6,0)))</f>
        <v>5.7219131903674985</v>
      </c>
      <c r="J42" s="214">
        <f>SUM(D42:H42)</f>
        <v>26.167400228580497</v>
      </c>
      <c r="K42" s="36"/>
    </row>
    <row r="43" spans="2:16" ht="15" customHeight="1">
      <c r="B43" s="67" t="s">
        <v>318</v>
      </c>
      <c r="C43" s="38" t="str">
        <f>Data!$C$9</f>
        <v>£m 18/19</v>
      </c>
      <c r="D43" s="423">
        <v>5.8824888847852508</v>
      </c>
      <c r="E43" s="423">
        <v>5.9246778025348759</v>
      </c>
      <c r="F43" s="423">
        <v>5.1890553400602082</v>
      </c>
      <c r="G43" s="423">
        <v>5.9596916783480509</v>
      </c>
      <c r="H43" s="423">
        <v>5.8627886627636094</v>
      </c>
      <c r="I43" s="215">
        <f>SUM(D43:INDEX(D43:H43,0,MATCH('RFPR cover'!$C$9,$D$6:$H$6,0)))</f>
        <v>5.8824888847852508</v>
      </c>
      <c r="J43" s="216">
        <f>SUM(D43:H43)</f>
        <v>28.818702368491994</v>
      </c>
      <c r="K43" s="36"/>
    </row>
    <row r="44" spans="2:16">
      <c r="B44" s="241" t="s">
        <v>304</v>
      </c>
      <c r="C44" s="38" t="str">
        <f>Data!$C$9</f>
        <v>£m 18/19</v>
      </c>
      <c r="D44" s="636">
        <f>D43-D42</f>
        <v>0.16057569441775232</v>
      </c>
      <c r="E44" s="636">
        <f t="shared" ref="E44:J44" si="16">E43-E42</f>
        <v>0.15857957765992126</v>
      </c>
      <c r="F44" s="636">
        <f t="shared" si="16"/>
        <v>0.15716786015677364</v>
      </c>
      <c r="G44" s="636">
        <f t="shared" si="16"/>
        <v>1.0312044133930494</v>
      </c>
      <c r="H44" s="636">
        <f t="shared" si="16"/>
        <v>1.143774594284003</v>
      </c>
      <c r="I44" s="402">
        <f t="shared" si="16"/>
        <v>0.16057569441775232</v>
      </c>
      <c r="J44" s="583">
        <f t="shared" si="16"/>
        <v>2.6513021399114969</v>
      </c>
      <c r="K44" s="90"/>
      <c r="L44" s="90"/>
      <c r="M44" s="90"/>
      <c r="N44"/>
      <c r="O44"/>
      <c r="P44"/>
    </row>
    <row r="45" spans="2:16" ht="13.15">
      <c r="B45" s="241"/>
      <c r="C45" s="38"/>
      <c r="D45" s="32"/>
      <c r="E45" s="32"/>
      <c r="F45" s="32"/>
      <c r="G45" s="32"/>
      <c r="H45" s="32"/>
      <c r="I45" s="32"/>
      <c r="J45" s="32"/>
      <c r="K45" s="37"/>
      <c r="L45" s="37"/>
      <c r="M45" s="37"/>
      <c r="N45"/>
      <c r="O45"/>
      <c r="P45"/>
    </row>
    <row r="46" spans="2:16">
      <c r="B46" s="66" t="s">
        <v>305</v>
      </c>
      <c r="C46" s="69" t="s">
        <v>194</v>
      </c>
      <c r="D46" s="57">
        <f>INDEX(Data!$C$55:$C$83,MATCH('RFPR cover'!$C$7,Data!$B$55:$B$83,0),0)</f>
        <v>0.5</v>
      </c>
      <c r="E46" s="57">
        <f>INDEX(Data!$C$55:$C$83,MATCH('RFPR cover'!$C$7,Data!$B$55:$B$83,0),0)</f>
        <v>0.5</v>
      </c>
      <c r="F46" s="57">
        <f>INDEX(Data!$C$55:$C$83,MATCH('RFPR cover'!$C$7,Data!$B$55:$B$83,0),0)</f>
        <v>0.5</v>
      </c>
      <c r="G46" s="57">
        <f>INDEX(Data!$C$55:$C$83,MATCH('RFPR cover'!$C$7,Data!$B$55:$B$83,0),0)</f>
        <v>0.5</v>
      </c>
      <c r="H46" s="57">
        <f>INDEX(Data!$C$55:$C$83,MATCH('RFPR cover'!$C$7,Data!$B$55:$B$83,0),0)</f>
        <v>0.5</v>
      </c>
      <c r="I46" s="35"/>
      <c r="J46" s="35"/>
      <c r="K46"/>
      <c r="L46"/>
      <c r="M46"/>
      <c r="N46"/>
      <c r="O46"/>
      <c r="P46"/>
    </row>
    <row r="47" spans="2:16">
      <c r="K47"/>
      <c r="L47"/>
      <c r="M47"/>
      <c r="N47"/>
      <c r="O47"/>
      <c r="P47"/>
    </row>
    <row r="48" spans="2:16">
      <c r="B48" s="66" t="s">
        <v>306</v>
      </c>
      <c r="C48" s="38" t="str">
        <f>Data!$C$9</f>
        <v>£m 18/19</v>
      </c>
      <c r="D48" s="636">
        <f>D44*D46</f>
        <v>8.0287847208876162E-2</v>
      </c>
      <c r="E48" s="636">
        <f t="shared" ref="E48:H48" si="17">E44*E46</f>
        <v>7.9289788829960628E-2</v>
      </c>
      <c r="F48" s="636">
        <f t="shared" si="17"/>
        <v>7.8583930078386821E-2</v>
      </c>
      <c r="G48" s="636">
        <f t="shared" si="17"/>
        <v>0.51560220669652468</v>
      </c>
      <c r="H48" s="636">
        <f t="shared" si="17"/>
        <v>0.57188729714200148</v>
      </c>
      <c r="I48" s="142">
        <f>SUM(D48:INDEX(D48:H48,0,MATCH('RFPR cover'!$C$9,$D$6:$H$6,0)))</f>
        <v>8.0287847208876162E-2</v>
      </c>
      <c r="J48" s="196">
        <f>SUM(D48:H48)</f>
        <v>1.3256510699557498</v>
      </c>
      <c r="K48"/>
      <c r="L48"/>
      <c r="M48"/>
      <c r="N48"/>
      <c r="O48"/>
      <c r="P48"/>
    </row>
    <row r="49" spans="2:16">
      <c r="B49" s="66" t="s">
        <v>307</v>
      </c>
      <c r="C49" s="38" t="str">
        <f>Data!$C$9</f>
        <v>£m 18/19</v>
      </c>
      <c r="D49" s="636">
        <f>D44*(1-D46)</f>
        <v>8.0287847208876162E-2</v>
      </c>
      <c r="E49" s="636">
        <f t="shared" ref="E49:H49" si="18">E44*(1-E46)</f>
        <v>7.9289788829960628E-2</v>
      </c>
      <c r="F49" s="636">
        <f t="shared" si="18"/>
        <v>7.8583930078386821E-2</v>
      </c>
      <c r="G49" s="636">
        <f t="shared" si="18"/>
        <v>0.51560220669652468</v>
      </c>
      <c r="H49" s="636">
        <f t="shared" si="18"/>
        <v>0.57188729714200148</v>
      </c>
      <c r="I49" s="199">
        <f>SUM(D49:INDEX(D49:H49,0,MATCH('RFPR cover'!$C$9,$D$6:$H$6,0)))</f>
        <v>8.0287847208876162E-2</v>
      </c>
      <c r="J49" s="200">
        <f>SUM(D49:H49)</f>
        <v>1.3256510699557498</v>
      </c>
      <c r="K49"/>
      <c r="L49"/>
      <c r="M49"/>
      <c r="N49"/>
      <c r="O49"/>
      <c r="P49"/>
    </row>
    <row r="50" spans="2:16">
      <c r="K50"/>
      <c r="L50"/>
      <c r="M50"/>
      <c r="N50"/>
      <c r="O50"/>
      <c r="P50"/>
    </row>
    <row r="51" spans="2:16">
      <c r="B51" s="153" t="s">
        <v>308</v>
      </c>
      <c r="K51"/>
      <c r="L51"/>
      <c r="M51"/>
      <c r="N51"/>
      <c r="O51"/>
      <c r="P51"/>
    </row>
    <row r="52" spans="2:16">
      <c r="B52" s="374" t="s">
        <v>309</v>
      </c>
      <c r="C52" s="38" t="str">
        <f>Data!$C$9</f>
        <v>£m 18/19</v>
      </c>
      <c r="D52" s="204">
        <v>0.6187036614276602</v>
      </c>
      <c r="E52" s="204">
        <v>0.72481552672172711</v>
      </c>
      <c r="F52" s="204">
        <v>0.75842571968504924</v>
      </c>
      <c r="G52" s="204">
        <v>0.75924302823616507</v>
      </c>
      <c r="H52" s="204">
        <v>0.76439413504138365</v>
      </c>
      <c r="I52" s="43">
        <f>SUM(D52:INDEX(D52:H52,0,MATCH('RFPR cover'!$C$9,$D$6:$H$6,0)))</f>
        <v>0.6187036614276602</v>
      </c>
      <c r="J52" s="45">
        <f>SUM(D52:H52)</f>
        <v>3.6255820711119853</v>
      </c>
      <c r="K52"/>
      <c r="L52"/>
      <c r="M52"/>
      <c r="N52"/>
      <c r="O52"/>
      <c r="P52"/>
    </row>
    <row r="53" spans="2:16">
      <c r="B53" s="374" t="s">
        <v>310</v>
      </c>
      <c r="C53" s="38" t="str">
        <f>Data!$C$9</f>
        <v>£m 18/19</v>
      </c>
      <c r="D53" s="204">
        <v>0</v>
      </c>
      <c r="E53" s="204">
        <v>0</v>
      </c>
      <c r="F53" s="204">
        <v>0</v>
      </c>
      <c r="G53" s="204">
        <v>0</v>
      </c>
      <c r="H53" s="204">
        <v>0</v>
      </c>
      <c r="I53" s="43">
        <f>SUM(D53:INDEX(D53:H53,0,MATCH('RFPR cover'!$C$9,$D$6:$H$6,0)))</f>
        <v>0</v>
      </c>
      <c r="J53" s="45">
        <f t="shared" ref="J53:J54" si="19">SUM(D53:H53)</f>
        <v>0</v>
      </c>
      <c r="K53"/>
      <c r="L53"/>
      <c r="M53"/>
      <c r="N53"/>
      <c r="O53"/>
      <c r="P53"/>
    </row>
    <row r="54" spans="2:16">
      <c r="B54" s="153" t="s">
        <v>311</v>
      </c>
      <c r="C54" s="38" t="str">
        <f>Data!$C$9</f>
        <v>£m 18/19</v>
      </c>
      <c r="D54" s="636">
        <f>SUM(D52:D53)</f>
        <v>0.6187036614276602</v>
      </c>
      <c r="E54" s="636">
        <f t="shared" ref="E54" si="20">SUM(E52:E53)</f>
        <v>0.72481552672172711</v>
      </c>
      <c r="F54" s="636">
        <f t="shared" ref="F54" si="21">SUM(F52:F53)</f>
        <v>0.75842571968504924</v>
      </c>
      <c r="G54" s="636">
        <f t="shared" ref="G54" si="22">SUM(G52:G53)</f>
        <v>0.75924302823616507</v>
      </c>
      <c r="H54" s="636">
        <f t="shared" ref="H54" si="23">SUM(H52:H53)</f>
        <v>0.76439413504138365</v>
      </c>
      <c r="I54" s="43">
        <f>SUM(D54:INDEX(D54:H54,0,MATCH('RFPR cover'!$C$9,$D$6:$H$6,0)))</f>
        <v>0.6187036614276602</v>
      </c>
      <c r="J54" s="45">
        <f t="shared" si="19"/>
        <v>3.6255820711119853</v>
      </c>
      <c r="K54" s="153"/>
      <c r="L54" s="153"/>
      <c r="M54" s="153"/>
      <c r="N54" s="153"/>
      <c r="O54"/>
      <c r="P54"/>
    </row>
    <row r="55" spans="2:16">
      <c r="B55" s="153"/>
      <c r="C55" s="153"/>
      <c r="D55" s="153"/>
      <c r="E55" s="153"/>
      <c r="F55" s="153"/>
      <c r="G55" s="153"/>
      <c r="H55" s="153"/>
      <c r="I55" s="153"/>
      <c r="J55" s="153"/>
      <c r="K55" s="153"/>
      <c r="L55" s="153"/>
      <c r="M55" s="153"/>
      <c r="N55" s="153"/>
      <c r="O55"/>
      <c r="P55"/>
    </row>
    <row r="56" spans="2:16">
      <c r="B56" s="153" t="s">
        <v>312</v>
      </c>
      <c r="K56" s="153"/>
      <c r="L56" s="153"/>
      <c r="M56" s="153"/>
      <c r="N56" s="153"/>
      <c r="O56"/>
      <c r="P56"/>
    </row>
    <row r="57" spans="2:16">
      <c r="B57" s="374" t="s">
        <v>309</v>
      </c>
      <c r="C57" s="38" t="str">
        <f>Data!$C$9</f>
        <v>£m 18/19</v>
      </c>
      <c r="D57" s="204">
        <v>0</v>
      </c>
      <c r="E57" s="204">
        <v>0</v>
      </c>
      <c r="F57" s="204">
        <v>0</v>
      </c>
      <c r="G57" s="204">
        <v>0</v>
      </c>
      <c r="H57" s="204">
        <v>0</v>
      </c>
      <c r="I57" s="43">
        <f>SUM(D57:INDEX(D57:H57,0,MATCH('RFPR cover'!$C$9,$D$6:$H$6,0)))</f>
        <v>0</v>
      </c>
      <c r="J57" s="45">
        <f>SUM(D57:H57)</f>
        <v>0</v>
      </c>
      <c r="K57" s="153"/>
      <c r="L57" s="153"/>
      <c r="M57" s="153"/>
      <c r="N57" s="153"/>
      <c r="O57"/>
      <c r="P57"/>
    </row>
    <row r="58" spans="2:16">
      <c r="B58" s="374" t="s">
        <v>310</v>
      </c>
      <c r="C58" s="38" t="str">
        <f>Data!$C$9</f>
        <v>£m 18/19</v>
      </c>
      <c r="D58" s="204">
        <v>0</v>
      </c>
      <c r="E58" s="204">
        <v>0</v>
      </c>
      <c r="F58" s="204">
        <v>0</v>
      </c>
      <c r="G58" s="204">
        <v>0</v>
      </c>
      <c r="H58" s="204">
        <v>0</v>
      </c>
      <c r="I58" s="43">
        <f>SUM(D58:INDEX(D58:H58,0,MATCH('RFPR cover'!$C$9,$D$6:$H$6,0)))</f>
        <v>0</v>
      </c>
      <c r="J58" s="45">
        <f t="shared" ref="J58:J59" si="24">SUM(D58:H58)</f>
        <v>0</v>
      </c>
      <c r="K58" s="153"/>
      <c r="L58" s="153"/>
      <c r="M58" s="153"/>
      <c r="N58" s="153"/>
      <c r="O58"/>
      <c r="P58"/>
    </row>
    <row r="59" spans="2:16">
      <c r="B59" s="153" t="s">
        <v>311</v>
      </c>
      <c r="C59" s="38" t="str">
        <f>Data!$C$9</f>
        <v>£m 18/19</v>
      </c>
      <c r="D59" s="636">
        <f>SUM(D57:D58)</f>
        <v>0</v>
      </c>
      <c r="E59" s="636">
        <f t="shared" ref="E59:H59" si="25">SUM(E57:E58)</f>
        <v>0</v>
      </c>
      <c r="F59" s="636">
        <f t="shared" si="25"/>
        <v>0</v>
      </c>
      <c r="G59" s="636">
        <f t="shared" si="25"/>
        <v>0</v>
      </c>
      <c r="H59" s="636">
        <f t="shared" si="25"/>
        <v>0</v>
      </c>
      <c r="I59" s="43">
        <f>SUM(D59:INDEX(D59:H59,0,MATCH('RFPR cover'!$C$9,$D$6:$H$6,0)))</f>
        <v>0</v>
      </c>
      <c r="J59" s="45">
        <f t="shared" si="24"/>
        <v>0</v>
      </c>
      <c r="K59" s="153"/>
      <c r="L59" s="153"/>
      <c r="M59" s="153"/>
      <c r="N59" s="153"/>
      <c r="O59"/>
      <c r="P59"/>
    </row>
    <row r="60" spans="2:16">
      <c r="B60" s="153"/>
      <c r="C60" s="153"/>
      <c r="D60" s="153"/>
      <c r="E60" s="153"/>
      <c r="F60" s="153"/>
      <c r="G60" s="153"/>
      <c r="H60" s="153"/>
      <c r="I60" s="153"/>
      <c r="J60" s="153"/>
      <c r="K60" s="153"/>
      <c r="L60" s="153"/>
      <c r="M60" s="153"/>
      <c r="N60" s="153"/>
      <c r="O60"/>
      <c r="P60"/>
    </row>
    <row r="61" spans="2:16">
      <c r="B61" s="66" t="s">
        <v>313</v>
      </c>
      <c r="C61" s="38"/>
      <c r="D61" s="636">
        <f>D54*D46</f>
        <v>0.3093518307138301</v>
      </c>
      <c r="E61" s="636">
        <f t="shared" ref="E61:H61" si="26">E54*E46</f>
        <v>0.36240776336086356</v>
      </c>
      <c r="F61" s="636">
        <f t="shared" si="26"/>
        <v>0.37921285984252462</v>
      </c>
      <c r="G61" s="636">
        <f t="shared" si="26"/>
        <v>0.37962151411808254</v>
      </c>
      <c r="H61" s="636">
        <f t="shared" si="26"/>
        <v>0.38219706752069182</v>
      </c>
      <c r="I61" s="46">
        <f>SUM(D61:INDEX(D61:H61,0,MATCH('RFPR cover'!$C$9,$D$6:$H$6,0)))</f>
        <v>0.3093518307138301</v>
      </c>
      <c r="J61" s="48">
        <f>SUM(D61:H61)</f>
        <v>1.8127910355559926</v>
      </c>
      <c r="K61" s="153"/>
      <c r="L61" s="153"/>
      <c r="M61" s="153"/>
      <c r="N61" s="153"/>
      <c r="O61"/>
      <c r="P61"/>
    </row>
    <row r="62" spans="2:16">
      <c r="B62" s="66" t="s">
        <v>314</v>
      </c>
      <c r="C62" s="38"/>
      <c r="D62" s="636">
        <f>D54*(1-D46)+D59</f>
        <v>0.3093518307138301</v>
      </c>
      <c r="E62" s="636">
        <f t="shared" ref="E62:H62" si="27">E54*(1-E46)+E59</f>
        <v>0.36240776336086356</v>
      </c>
      <c r="F62" s="636">
        <f t="shared" si="27"/>
        <v>0.37921285984252462</v>
      </c>
      <c r="G62" s="636">
        <f t="shared" si="27"/>
        <v>0.37962151411808254</v>
      </c>
      <c r="H62" s="636">
        <f t="shared" si="27"/>
        <v>0.38219706752069182</v>
      </c>
      <c r="I62" s="46">
        <f>SUM(D62:INDEX(D62:H62,0,MATCH('RFPR cover'!$C$9,$D$6:$H$6,0)))</f>
        <v>0.3093518307138301</v>
      </c>
      <c r="J62" s="45">
        <f>SUM(D62:H62)</f>
        <v>1.8127910355559926</v>
      </c>
      <c r="K62" s="153"/>
      <c r="L62" s="153"/>
      <c r="M62" s="153"/>
      <c r="N62" s="153"/>
      <c r="O62"/>
      <c r="P62"/>
    </row>
    <row r="63" spans="2:16">
      <c r="B63" s="153"/>
      <c r="C63" s="153"/>
      <c r="D63" s="153"/>
      <c r="E63" s="153"/>
      <c r="F63" s="153"/>
      <c r="G63" s="153"/>
      <c r="H63" s="153"/>
      <c r="I63" s="153"/>
      <c r="J63" s="153"/>
      <c r="K63" s="153"/>
      <c r="L63" s="153"/>
      <c r="M63" s="153"/>
      <c r="N63" s="153"/>
      <c r="O63"/>
      <c r="P63"/>
    </row>
    <row r="64" spans="2:16">
      <c r="B64" s="153" t="s">
        <v>315</v>
      </c>
      <c r="C64" s="153"/>
      <c r="D64" s="153"/>
      <c r="E64" s="153"/>
      <c r="F64" s="153"/>
      <c r="G64" s="153"/>
      <c r="H64" s="153"/>
      <c r="I64" s="153"/>
      <c r="J64" s="153"/>
      <c r="K64" s="153"/>
      <c r="L64" s="153"/>
      <c r="M64" s="153"/>
      <c r="N64" s="153"/>
      <c r="O64"/>
      <c r="P64"/>
    </row>
    <row r="65" spans="2:17">
      <c r="B65" s="66" t="s">
        <v>306</v>
      </c>
      <c r="C65" s="38" t="str">
        <f>Data!$C$9</f>
        <v>£m 18/19</v>
      </c>
      <c r="D65" s="636">
        <f>D61+D48</f>
        <v>0.38963967792270626</v>
      </c>
      <c r="E65" s="636">
        <f t="shared" ref="E65:H65" si="28">E61+E48</f>
        <v>0.44169755219082418</v>
      </c>
      <c r="F65" s="636">
        <f t="shared" si="28"/>
        <v>0.45779678992091144</v>
      </c>
      <c r="G65" s="636">
        <f t="shared" si="28"/>
        <v>0.89522372081460722</v>
      </c>
      <c r="H65" s="636">
        <f t="shared" si="28"/>
        <v>0.95408436466269331</v>
      </c>
      <c r="I65" s="43">
        <f>SUM(D65:INDEX(D65:H65,0,MATCH('RFPR cover'!$C$9,$D$6:$H$6,0)))</f>
        <v>0.38963967792270626</v>
      </c>
      <c r="J65" s="45">
        <f>SUM(D65:H65)</f>
        <v>3.1384421055117424</v>
      </c>
      <c r="K65" s="153"/>
      <c r="L65" s="153"/>
      <c r="M65" s="153"/>
      <c r="N65" s="153"/>
      <c r="O65"/>
      <c r="P65"/>
    </row>
    <row r="66" spans="2:17">
      <c r="B66" s="66" t="s">
        <v>307</v>
      </c>
      <c r="C66" s="38" t="str">
        <f>Data!$C$9</f>
        <v>£m 18/19</v>
      </c>
      <c r="D66" s="636">
        <f>D49+D62</f>
        <v>0.38963967792270626</v>
      </c>
      <c r="E66" s="636">
        <f t="shared" ref="E66:H66" si="29">E49+E62</f>
        <v>0.44169755219082418</v>
      </c>
      <c r="F66" s="636">
        <f t="shared" si="29"/>
        <v>0.45779678992091144</v>
      </c>
      <c r="G66" s="636">
        <f t="shared" si="29"/>
        <v>0.89522372081460722</v>
      </c>
      <c r="H66" s="636">
        <f t="shared" si="29"/>
        <v>0.95408436466269331</v>
      </c>
      <c r="I66" s="43">
        <f>SUM(D66:INDEX(D66:H66,0,MATCH('RFPR cover'!$C$9,$D$6:$H$6,0)))</f>
        <v>0.38963967792270626</v>
      </c>
      <c r="J66" s="45">
        <f t="shared" ref="J66" si="30">SUM(D66:H66)</f>
        <v>3.1384421055117424</v>
      </c>
      <c r="K66" s="153"/>
      <c r="L66" s="153"/>
      <c r="M66" s="153"/>
      <c r="N66" s="153"/>
      <c r="O66"/>
      <c r="P66"/>
    </row>
    <row r="67" spans="2:17">
      <c r="B67" s="153" t="s">
        <v>316</v>
      </c>
      <c r="C67" s="77" t="str">
        <f>Data!$C$9</f>
        <v>£m 18/19</v>
      </c>
      <c r="D67" s="636">
        <f>SUM(D65:D66)</f>
        <v>0.77927935584541252</v>
      </c>
      <c r="E67" s="636">
        <f t="shared" ref="E67:H67" si="31">SUM(E65:E66)</f>
        <v>0.88339510438164837</v>
      </c>
      <c r="F67" s="636">
        <f t="shared" si="31"/>
        <v>0.91559357984182288</v>
      </c>
      <c r="G67" s="636">
        <f t="shared" si="31"/>
        <v>1.7904474416292144</v>
      </c>
      <c r="H67" s="636">
        <f t="shared" si="31"/>
        <v>1.9081687293253866</v>
      </c>
      <c r="I67" s="43">
        <f>SUM(D67:INDEX(D67:H67,0,MATCH('RFPR cover'!$C$9,$D$6:$H$6,0)))</f>
        <v>0.77927935584541252</v>
      </c>
      <c r="J67" s="45">
        <f t="shared" ref="J67" si="32">SUM(D67:H67)</f>
        <v>6.2768842110234848</v>
      </c>
      <c r="K67"/>
      <c r="L67"/>
      <c r="M67"/>
      <c r="N67"/>
      <c r="O67"/>
      <c r="P67"/>
    </row>
    <row r="68" spans="2:17">
      <c r="C68" s="38"/>
      <c r="D68" s="38"/>
      <c r="E68" s="38"/>
      <c r="F68" s="38"/>
      <c r="G68" s="38"/>
      <c r="H68" s="38"/>
      <c r="I68" s="38"/>
      <c r="J68" s="38"/>
      <c r="K68" s="38"/>
      <c r="L68" s="38"/>
      <c r="M68" s="38"/>
      <c r="N68" s="38"/>
      <c r="O68" s="38"/>
      <c r="P68" s="38"/>
      <c r="Q68" s="38"/>
    </row>
    <row r="69" spans="2:17">
      <c r="B69" s="367" t="s">
        <v>319</v>
      </c>
      <c r="C69" s="73"/>
      <c r="D69" s="41"/>
      <c r="E69" s="41"/>
      <c r="F69" s="41"/>
      <c r="G69" s="41"/>
      <c r="H69" s="41"/>
      <c r="I69" s="41"/>
      <c r="J69" s="41"/>
      <c r="K69"/>
      <c r="L69"/>
      <c r="M69"/>
      <c r="N69"/>
      <c r="O69"/>
      <c r="P69"/>
    </row>
    <row r="70" spans="2:17">
      <c r="D70" s="1"/>
      <c r="E70" s="1"/>
      <c r="F70" s="1"/>
      <c r="G70" s="1"/>
      <c r="H70" s="1"/>
      <c r="I70" s="1"/>
      <c r="J70" s="1"/>
      <c r="K70"/>
      <c r="L70"/>
      <c r="M70"/>
      <c r="N70"/>
      <c r="O70"/>
      <c r="P70"/>
    </row>
    <row r="71" spans="2:17">
      <c r="B71" s="88" t="s">
        <v>320</v>
      </c>
      <c r="C71" s="38" t="str">
        <f>Data!$C$9</f>
        <v>£m 18/19</v>
      </c>
      <c r="D71" s="423">
        <v>75.708163650952343</v>
      </c>
      <c r="E71" s="423">
        <v>72.289815120577643</v>
      </c>
      <c r="F71" s="423">
        <v>77.344160551467951</v>
      </c>
      <c r="G71" s="423">
        <v>77.758684995816139</v>
      </c>
      <c r="H71" s="423">
        <v>73.998958331619193</v>
      </c>
      <c r="I71" s="213">
        <f>SUM(D71:INDEX(D71:H71,0,MATCH('RFPR cover'!$C$9,$D$6:$H$6,0)))</f>
        <v>75.708163650952343</v>
      </c>
      <c r="J71" s="214">
        <f>SUM(D71:H71)</f>
        <v>377.09978265043321</v>
      </c>
      <c r="K71"/>
      <c r="L71"/>
      <c r="M71"/>
      <c r="N71"/>
      <c r="O71"/>
      <c r="P71"/>
    </row>
    <row r="72" spans="2:17" ht="16.5" customHeight="1">
      <c r="B72" s="67" t="s">
        <v>321</v>
      </c>
      <c r="C72" s="11" t="str">
        <f>Data!$C$9</f>
        <v>£m 18/19</v>
      </c>
      <c r="D72" s="423">
        <v>84.031401826664549</v>
      </c>
      <c r="E72" s="423">
        <v>86.078865124694232</v>
      </c>
      <c r="F72" s="423">
        <v>86.270072514383813</v>
      </c>
      <c r="G72" s="423">
        <v>85.599618209072275</v>
      </c>
      <c r="H72" s="423">
        <v>85.56097005652245</v>
      </c>
      <c r="I72" s="425">
        <f>SUM(D72:INDEX(D72:H72,0,MATCH('RFPR cover'!$C$9,$D$6:$H$6,0)))</f>
        <v>84.031401826664549</v>
      </c>
      <c r="J72" s="426">
        <f>SUM(D72:H72)</f>
        <v>427.54092773133732</v>
      </c>
      <c r="K72" s="427"/>
      <c r="L72" s="427"/>
      <c r="M72" s="427"/>
      <c r="N72" s="427"/>
      <c r="O72" s="427"/>
      <c r="P72" s="427"/>
    </row>
    <row r="73" spans="2:17">
      <c r="B73" s="241" t="s">
        <v>304</v>
      </c>
      <c r="C73" s="38" t="str">
        <f>Data!$C$9</f>
        <v>£m 18/19</v>
      </c>
      <c r="D73" s="636">
        <f>D72-D71</f>
        <v>8.3232381757122056</v>
      </c>
      <c r="E73" s="636">
        <f t="shared" ref="E73:J73" si="33">E72-E71</f>
        <v>13.789050004116589</v>
      </c>
      <c r="F73" s="636">
        <f t="shared" si="33"/>
        <v>8.9259119629158619</v>
      </c>
      <c r="G73" s="636">
        <f t="shared" si="33"/>
        <v>7.840933213256136</v>
      </c>
      <c r="H73" s="636">
        <f t="shared" si="33"/>
        <v>11.562011724903257</v>
      </c>
      <c r="I73" s="402">
        <f t="shared" si="33"/>
        <v>8.3232381757122056</v>
      </c>
      <c r="J73" s="583">
        <f t="shared" si="33"/>
        <v>50.441145080904107</v>
      </c>
      <c r="K73"/>
      <c r="L73"/>
      <c r="M73"/>
      <c r="N73"/>
      <c r="O73"/>
      <c r="P73"/>
    </row>
    <row r="74" spans="2:17">
      <c r="B74" s="241"/>
      <c r="C74" s="38"/>
      <c r="D74" s="32"/>
      <c r="E74" s="32"/>
      <c r="F74" s="32"/>
      <c r="G74" s="32"/>
      <c r="H74" s="32"/>
      <c r="I74" s="32"/>
      <c r="J74" s="32"/>
      <c r="K74"/>
      <c r="L74"/>
      <c r="M74"/>
      <c r="N74"/>
      <c r="O74"/>
      <c r="P74"/>
    </row>
    <row r="75" spans="2:17">
      <c r="B75" s="66" t="s">
        <v>305</v>
      </c>
      <c r="C75" s="69" t="s">
        <v>194</v>
      </c>
      <c r="D75" s="57">
        <f>INDEX(Data!$C$55:$C$83,MATCH('RFPR cover'!$C$7,Data!$B$55:$B$83,0),0)</f>
        <v>0.5</v>
      </c>
      <c r="E75" s="57">
        <f>INDEX(Data!$C$55:$C$83,MATCH('RFPR cover'!$C$7,Data!$B$55:$B$83,0),0)</f>
        <v>0.5</v>
      </c>
      <c r="F75" s="57">
        <f>INDEX(Data!$C$55:$C$83,MATCH('RFPR cover'!$C$7,Data!$B$55:$B$83,0),0)</f>
        <v>0.5</v>
      </c>
      <c r="G75" s="57">
        <f>INDEX(Data!$C$55:$C$83,MATCH('RFPR cover'!$C$7,Data!$B$55:$B$83,0),0)</f>
        <v>0.5</v>
      </c>
      <c r="H75" s="57">
        <f>INDEX(Data!$C$55:$C$83,MATCH('RFPR cover'!$C$7,Data!$B$55:$B$83,0),0)</f>
        <v>0.5</v>
      </c>
      <c r="I75" s="35"/>
      <c r="J75" s="35"/>
      <c r="K75"/>
      <c r="L75"/>
      <c r="M75"/>
      <c r="N75"/>
      <c r="O75"/>
      <c r="P75"/>
    </row>
    <row r="76" spans="2:17">
      <c r="K76"/>
      <c r="L76"/>
      <c r="M76"/>
      <c r="N76"/>
      <c r="O76"/>
      <c r="P76"/>
    </row>
    <row r="77" spans="2:17">
      <c r="B77" s="66" t="s">
        <v>306</v>
      </c>
      <c r="C77" s="38" t="str">
        <f>Data!$C$9</f>
        <v>£m 18/19</v>
      </c>
      <c r="D77" s="636">
        <f>D73*D75</f>
        <v>4.1616190878561028</v>
      </c>
      <c r="E77" s="636">
        <f t="shared" ref="E77:H77" si="34">E73*E75</f>
        <v>6.8945250020582947</v>
      </c>
      <c r="F77" s="636">
        <f t="shared" si="34"/>
        <v>4.4629559814579309</v>
      </c>
      <c r="G77" s="636">
        <f t="shared" si="34"/>
        <v>3.920466606628068</v>
      </c>
      <c r="H77" s="636">
        <f t="shared" si="34"/>
        <v>5.7810058624516287</v>
      </c>
      <c r="I77" s="142">
        <f>SUM(D77:INDEX(D77:H77,0,MATCH('RFPR cover'!$C$9,$D$6:$H$6,0)))</f>
        <v>4.1616190878561028</v>
      </c>
      <c r="J77" s="196">
        <f>SUM(D77:H77)</f>
        <v>25.220572540452025</v>
      </c>
      <c r="K77"/>
      <c r="L77"/>
      <c r="M77"/>
      <c r="N77"/>
      <c r="O77"/>
      <c r="P77"/>
    </row>
    <row r="78" spans="2:17">
      <c r="B78" s="66" t="s">
        <v>307</v>
      </c>
      <c r="C78" s="38" t="str">
        <f>Data!$C$9</f>
        <v>£m 18/19</v>
      </c>
      <c r="D78" s="636">
        <f>D73*(1-D75)</f>
        <v>4.1616190878561028</v>
      </c>
      <c r="E78" s="636">
        <f t="shared" ref="E78:H78" si="35">E73*(1-E75)</f>
        <v>6.8945250020582947</v>
      </c>
      <c r="F78" s="636">
        <f t="shared" si="35"/>
        <v>4.4629559814579309</v>
      </c>
      <c r="G78" s="636">
        <f t="shared" si="35"/>
        <v>3.920466606628068</v>
      </c>
      <c r="H78" s="636">
        <f t="shared" si="35"/>
        <v>5.7810058624516287</v>
      </c>
      <c r="I78" s="199">
        <f>SUM(D78:INDEX(D78:H78,0,MATCH('RFPR cover'!$C$9,$D$6:$H$6,0)))</f>
        <v>4.1616190878561028</v>
      </c>
      <c r="J78" s="200">
        <f>SUM(D78:H78)</f>
        <v>25.220572540452025</v>
      </c>
      <c r="K78"/>
      <c r="L78"/>
      <c r="M78"/>
      <c r="N78"/>
      <c r="O78"/>
      <c r="P78"/>
    </row>
    <row r="79" spans="2:17">
      <c r="C79" s="66"/>
      <c r="D79" s="66"/>
      <c r="E79" s="66"/>
      <c r="F79" s="66"/>
      <c r="G79" s="66"/>
      <c r="H79" s="66"/>
      <c r="I79" s="66"/>
      <c r="J79" s="66"/>
      <c r="K79" s="66"/>
      <c r="L79" s="66"/>
      <c r="M79"/>
      <c r="N79"/>
      <c r="O79"/>
      <c r="P79"/>
    </row>
    <row r="80" spans="2:17">
      <c r="B80" s="153" t="s">
        <v>308</v>
      </c>
      <c r="K80" s="66"/>
      <c r="L80" s="66"/>
      <c r="M80"/>
      <c r="N80"/>
      <c r="O80"/>
      <c r="P80"/>
    </row>
    <row r="81" spans="2:16">
      <c r="B81" s="374" t="s">
        <v>309</v>
      </c>
      <c r="C81" s="38" t="str">
        <f>Data!$C$9</f>
        <v>£m 18/19</v>
      </c>
      <c r="D81" s="204">
        <v>-2.8953609667131115</v>
      </c>
      <c r="E81" s="204">
        <v>-5.0715086314573643</v>
      </c>
      <c r="F81" s="204">
        <v>-5.6200389599674043</v>
      </c>
      <c r="G81" s="204">
        <v>-5.4849437454966639</v>
      </c>
      <c r="H81" s="204">
        <v>-5.4743519471037416</v>
      </c>
      <c r="I81" s="43">
        <f>SUM(D81:INDEX(D81:H81,0,MATCH('RFPR cover'!$C$9,$D$6:$H$6,0)))</f>
        <v>-2.8953609667131115</v>
      </c>
      <c r="J81" s="45">
        <f>SUM(D81:H81)</f>
        <v>-24.546204250738285</v>
      </c>
      <c r="K81" s="66"/>
      <c r="L81" s="66"/>
      <c r="M81"/>
      <c r="N81"/>
      <c r="O81"/>
      <c r="P81"/>
    </row>
    <row r="82" spans="2:16">
      <c r="B82" s="374" t="s">
        <v>310</v>
      </c>
      <c r="C82" s="38" t="str">
        <f>Data!$C$9</f>
        <v>£m 18/19</v>
      </c>
      <c r="D82" s="204">
        <v>-5.8979866004245327</v>
      </c>
      <c r="E82" s="204">
        <v>9.2923790597875797</v>
      </c>
      <c r="F82" s="204">
        <v>-0.4115381244190513</v>
      </c>
      <c r="G82" s="204">
        <v>-1.5068397195589123</v>
      </c>
      <c r="H82" s="204">
        <v>-1.4760146153850826</v>
      </c>
      <c r="I82" s="43">
        <f>SUM(D82:INDEX(D82:H82,0,MATCH('RFPR cover'!$C$9,$D$6:$H$6,0)))</f>
        <v>-5.8979866004245327</v>
      </c>
      <c r="J82" s="45">
        <f t="shared" ref="J82:J83" si="36">SUM(D82:H82)</f>
        <v>0</v>
      </c>
      <c r="K82" s="66"/>
      <c r="L82" s="66"/>
      <c r="M82"/>
      <c r="N82"/>
      <c r="O82"/>
      <c r="P82"/>
    </row>
    <row r="83" spans="2:16">
      <c r="B83" s="153" t="s">
        <v>311</v>
      </c>
      <c r="C83" s="38" t="str">
        <f>Data!$C$9</f>
        <v>£m 18/19</v>
      </c>
      <c r="D83" s="636">
        <f>SUM(D81:D82)</f>
        <v>-8.7933475671376442</v>
      </c>
      <c r="E83" s="636">
        <f t="shared" ref="E83" si="37">SUM(E81:E82)</f>
        <v>4.2208704283302154</v>
      </c>
      <c r="F83" s="636">
        <f t="shared" ref="F83" si="38">SUM(F81:F82)</f>
        <v>-6.0315770843864556</v>
      </c>
      <c r="G83" s="636">
        <f t="shared" ref="G83" si="39">SUM(G81:G82)</f>
        <v>-6.9917834650555761</v>
      </c>
      <c r="H83" s="636">
        <f t="shared" ref="H83" si="40">SUM(H81:H82)</f>
        <v>-6.9503665624888242</v>
      </c>
      <c r="I83" s="43">
        <f>SUM(D83:INDEX(D83:H83,0,MATCH('RFPR cover'!$C$9,$D$6:$H$6,0)))</f>
        <v>-8.7933475671376442</v>
      </c>
      <c r="J83" s="45">
        <f t="shared" si="36"/>
        <v>-24.546204250738285</v>
      </c>
      <c r="K83" s="66"/>
      <c r="L83" s="66"/>
      <c r="M83"/>
      <c r="N83"/>
      <c r="O83"/>
      <c r="P83"/>
    </row>
    <row r="84" spans="2:16">
      <c r="B84" s="153"/>
      <c r="C84" s="153"/>
      <c r="D84" s="153"/>
      <c r="E84" s="153"/>
      <c r="F84" s="153"/>
      <c r="G84" s="153"/>
      <c r="H84" s="153"/>
      <c r="I84" s="153"/>
      <c r="J84" s="153"/>
      <c r="K84" s="66"/>
      <c r="L84" s="66"/>
      <c r="M84"/>
      <c r="N84"/>
      <c r="O84"/>
      <c r="P84"/>
    </row>
    <row r="85" spans="2:16">
      <c r="B85" s="66" t="s">
        <v>313</v>
      </c>
      <c r="C85" s="38"/>
      <c r="D85" s="636">
        <f>D83*D75</f>
        <v>-4.3966737835688221</v>
      </c>
      <c r="E85" s="636">
        <f t="shared" ref="E85:H85" si="41">E83*E75</f>
        <v>2.1104352141651077</v>
      </c>
      <c r="F85" s="636">
        <f t="shared" si="41"/>
        <v>-3.0157885421932278</v>
      </c>
      <c r="G85" s="636">
        <f t="shared" si="41"/>
        <v>-3.4958917325277881</v>
      </c>
      <c r="H85" s="636">
        <f t="shared" si="41"/>
        <v>-3.4751832812444121</v>
      </c>
      <c r="I85" s="46">
        <f>SUM(D85:INDEX(D85:H85,0,MATCH('RFPR cover'!$C$9,$D$6:$H$6,0)))</f>
        <v>-4.3966737835688221</v>
      </c>
      <c r="J85" s="48">
        <f>SUM(D85:H85)</f>
        <v>-12.273102125369142</v>
      </c>
      <c r="K85" s="66"/>
      <c r="L85" s="66"/>
      <c r="M85"/>
      <c r="N85"/>
      <c r="O85"/>
      <c r="P85"/>
    </row>
    <row r="86" spans="2:16">
      <c r="B86" s="66" t="s">
        <v>314</v>
      </c>
      <c r="C86" s="38"/>
      <c r="D86" s="636">
        <f>D83*(1-D75)</f>
        <v>-4.3966737835688221</v>
      </c>
      <c r="E86" s="636">
        <f t="shared" ref="E86:H86" si="42">E83*(1-E75)</f>
        <v>2.1104352141651077</v>
      </c>
      <c r="F86" s="636">
        <f t="shared" si="42"/>
        <v>-3.0157885421932278</v>
      </c>
      <c r="G86" s="636">
        <f t="shared" si="42"/>
        <v>-3.4958917325277881</v>
      </c>
      <c r="H86" s="636">
        <f t="shared" si="42"/>
        <v>-3.4751832812444121</v>
      </c>
      <c r="I86" s="43">
        <v>0</v>
      </c>
      <c r="J86" s="45">
        <f>SUM(D86:H86)</f>
        <v>-12.273102125369142</v>
      </c>
      <c r="K86" s="66"/>
      <c r="L86" s="66"/>
      <c r="M86"/>
      <c r="N86"/>
      <c r="O86"/>
      <c r="P86"/>
    </row>
    <row r="87" spans="2:16">
      <c r="B87" s="153"/>
      <c r="C87" s="153"/>
      <c r="D87" s="153"/>
      <c r="E87" s="153"/>
      <c r="F87" s="153"/>
      <c r="G87" s="153"/>
      <c r="H87" s="153"/>
      <c r="I87" s="153"/>
      <c r="J87" s="153"/>
      <c r="K87" s="66"/>
      <c r="L87" s="66"/>
      <c r="M87"/>
      <c r="N87"/>
      <c r="O87"/>
      <c r="P87"/>
    </row>
    <row r="88" spans="2:16">
      <c r="B88" s="153" t="s">
        <v>315</v>
      </c>
      <c r="C88" s="153"/>
      <c r="D88" s="153"/>
      <c r="E88" s="153"/>
      <c r="F88" s="153"/>
      <c r="G88" s="153"/>
      <c r="H88" s="153"/>
      <c r="I88" s="153"/>
      <c r="J88" s="153"/>
      <c r="K88" s="66"/>
      <c r="L88" s="66"/>
      <c r="M88"/>
      <c r="N88"/>
      <c r="O88"/>
      <c r="P88"/>
    </row>
    <row r="89" spans="2:16">
      <c r="B89" s="66" t="s">
        <v>306</v>
      </c>
      <c r="C89" s="38" t="str">
        <f>Data!$C$9</f>
        <v>£m 18/19</v>
      </c>
      <c r="D89" s="636">
        <f>D85+D77</f>
        <v>-0.23505469571271931</v>
      </c>
      <c r="E89" s="636">
        <f t="shared" ref="E89:H89" si="43">E85+E77</f>
        <v>9.0049602162234024</v>
      </c>
      <c r="F89" s="636">
        <f t="shared" si="43"/>
        <v>1.4471674392647031</v>
      </c>
      <c r="G89" s="636">
        <f t="shared" si="43"/>
        <v>0.42457487410027994</v>
      </c>
      <c r="H89" s="636">
        <f t="shared" si="43"/>
        <v>2.3058225812072166</v>
      </c>
      <c r="I89" s="43">
        <f>SUM(D89:INDEX(D89:H89,0,MATCH('RFPR cover'!$C$9,$D$6:$H$6,0)))</f>
        <v>-0.23505469571271931</v>
      </c>
      <c r="J89" s="45">
        <f>SUM(D89:H89)</f>
        <v>12.947470415082883</v>
      </c>
      <c r="K89" s="66"/>
      <c r="L89" s="66"/>
      <c r="M89"/>
      <c r="N89"/>
      <c r="O89"/>
      <c r="P89"/>
    </row>
    <row r="90" spans="2:16">
      <c r="B90" s="66" t="s">
        <v>307</v>
      </c>
      <c r="C90" s="38" t="str">
        <f>Data!$C$9</f>
        <v>£m 18/19</v>
      </c>
      <c r="D90" s="636">
        <f>D78+D86</f>
        <v>-0.23505469571271931</v>
      </c>
      <c r="E90" s="636">
        <f t="shared" ref="E90:H90" si="44">E78+E86</f>
        <v>9.0049602162234024</v>
      </c>
      <c r="F90" s="636">
        <f t="shared" si="44"/>
        <v>1.4471674392647031</v>
      </c>
      <c r="G90" s="636">
        <f t="shared" si="44"/>
        <v>0.42457487410027994</v>
      </c>
      <c r="H90" s="636">
        <f t="shared" si="44"/>
        <v>2.3058225812072166</v>
      </c>
      <c r="I90" s="43">
        <f>SUM(D90:INDEX(D90:H90,0,MATCH('RFPR cover'!$C$9,$D$6:$H$6,0)))</f>
        <v>-0.23505469571271931</v>
      </c>
      <c r="J90" s="45">
        <f t="shared" ref="J90:J91" si="45">SUM(D90:H90)</f>
        <v>12.947470415082883</v>
      </c>
      <c r="K90" s="66"/>
      <c r="L90" s="66"/>
      <c r="M90"/>
      <c r="N90"/>
      <c r="O90"/>
      <c r="P90"/>
    </row>
    <row r="91" spans="2:16">
      <c r="B91" s="153" t="s">
        <v>316</v>
      </c>
      <c r="C91" s="77" t="str">
        <f>Data!$C$9</f>
        <v>£m 18/19</v>
      </c>
      <c r="D91" s="636">
        <f>SUM(D89:D90)</f>
        <v>-0.47010939142543862</v>
      </c>
      <c r="E91" s="636">
        <f t="shared" ref="E91:H91" si="46">SUM(E89:E90)</f>
        <v>18.009920432446805</v>
      </c>
      <c r="F91" s="636">
        <f t="shared" si="46"/>
        <v>2.8943348785294063</v>
      </c>
      <c r="G91" s="636">
        <f t="shared" si="46"/>
        <v>0.84914974820055988</v>
      </c>
      <c r="H91" s="636">
        <f t="shared" si="46"/>
        <v>4.6116451624144332</v>
      </c>
      <c r="I91" s="43">
        <f>SUM(D91:INDEX(D91:H91,0,MATCH('RFPR cover'!$C$9,$D$6:$H$6,0)))</f>
        <v>-0.47010939142543862</v>
      </c>
      <c r="J91" s="45">
        <f t="shared" si="45"/>
        <v>25.894940830165766</v>
      </c>
      <c r="K91"/>
      <c r="L91"/>
      <c r="M91"/>
      <c r="N91"/>
      <c r="O91"/>
      <c r="P91"/>
    </row>
    <row r="92" spans="2:16">
      <c r="K92"/>
      <c r="L92"/>
      <c r="M92"/>
      <c r="N92"/>
      <c r="O92"/>
      <c r="P92"/>
    </row>
    <row r="93" spans="2:16">
      <c r="B93" s="239" t="s">
        <v>322</v>
      </c>
      <c r="C93" s="73"/>
      <c r="D93" s="41"/>
      <c r="E93" s="41"/>
      <c r="F93" s="41"/>
      <c r="G93" s="41"/>
      <c r="H93" s="41"/>
      <c r="I93" s="41"/>
      <c r="J93" s="41"/>
      <c r="N93"/>
      <c r="O93"/>
      <c r="P93"/>
    </row>
    <row r="94" spans="2:16">
      <c r="K94"/>
      <c r="L94"/>
      <c r="M94"/>
      <c r="N94"/>
      <c r="O94"/>
      <c r="P94"/>
    </row>
    <row r="95" spans="2:16">
      <c r="B95" s="153" t="s">
        <v>323</v>
      </c>
      <c r="N95"/>
      <c r="O95"/>
      <c r="P95"/>
    </row>
    <row r="96" spans="2:16">
      <c r="B96" s="66" t="s">
        <v>324</v>
      </c>
      <c r="C96" s="38" t="str">
        <f>Data!$C$9</f>
        <v>£m 18/19</v>
      </c>
      <c r="D96" s="636">
        <f t="shared" ref="D96:H97" si="47">D36+D65+D89</f>
        <v>10.658508490372409</v>
      </c>
      <c r="E96" s="636">
        <f t="shared" si="47"/>
        <v>9.6535019575127503</v>
      </c>
      <c r="F96" s="636">
        <f t="shared" si="47"/>
        <v>6.3387033196742202</v>
      </c>
      <c r="G96" s="636">
        <f t="shared" si="47"/>
        <v>2.0528098806024242</v>
      </c>
      <c r="H96" s="636">
        <f t="shared" si="47"/>
        <v>4.5356740298020881</v>
      </c>
      <c r="I96" s="43">
        <f>SUM(D96:INDEX(D96:H96,0,MATCH('RFPR cover'!$C$9,$D$6:$H$6,0)))</f>
        <v>10.658508490372409</v>
      </c>
      <c r="J96" s="45">
        <f>SUM(D96:H96)</f>
        <v>33.239197677963887</v>
      </c>
      <c r="N96"/>
      <c r="O96" s="349"/>
      <c r="P96"/>
    </row>
    <row r="97" spans="2:16">
      <c r="B97" s="66" t="s">
        <v>307</v>
      </c>
      <c r="C97" s="38" t="str">
        <f>Data!$C$9</f>
        <v>£m 18/19</v>
      </c>
      <c r="D97" s="636">
        <f t="shared" si="47"/>
        <v>11.150994178764829</v>
      </c>
      <c r="E97" s="636">
        <f t="shared" si="47"/>
        <v>9.5303805354146451</v>
      </c>
      <c r="F97" s="636">
        <f t="shared" si="47"/>
        <v>6.215581897576115</v>
      </c>
      <c r="G97" s="636">
        <f t="shared" si="47"/>
        <v>1.929688458504319</v>
      </c>
      <c r="H97" s="636">
        <f t="shared" si="47"/>
        <v>4.4125526077039829</v>
      </c>
      <c r="I97" s="43">
        <f>SUM(D97:INDEX(D97:H97,0,MATCH('RFPR cover'!$C$9,$D$6:$H$6,0)))</f>
        <v>11.150994178764829</v>
      </c>
      <c r="J97" s="45">
        <f t="shared" ref="J97:J98" si="48">SUM(D97:H97)</f>
        <v>33.239197677963894</v>
      </c>
      <c r="N97"/>
      <c r="O97"/>
      <c r="P97"/>
    </row>
    <row r="98" spans="2:16">
      <c r="B98" s="153" t="s">
        <v>325</v>
      </c>
      <c r="C98" s="77" t="str">
        <f>Data!$C$9</f>
        <v>£m 18/19</v>
      </c>
      <c r="D98" s="636">
        <f>SUM(D96:D97)</f>
        <v>21.809502669137238</v>
      </c>
      <c r="E98" s="636">
        <f t="shared" ref="E98:H98" si="49">SUM(E96:E97)</f>
        <v>19.183882492927395</v>
      </c>
      <c r="F98" s="636">
        <f t="shared" si="49"/>
        <v>12.554285217250335</v>
      </c>
      <c r="G98" s="636">
        <f t="shared" si="49"/>
        <v>3.9824983391067432</v>
      </c>
      <c r="H98" s="636">
        <f t="shared" si="49"/>
        <v>8.9482266375060711</v>
      </c>
      <c r="I98" s="43">
        <f>SUM(D98:INDEX(D98:H98,0,MATCH('RFPR cover'!$C$9,$D$6:$H$6,0)))</f>
        <v>21.809502669137238</v>
      </c>
      <c r="J98" s="45">
        <f t="shared" si="48"/>
        <v>66.478395355927773</v>
      </c>
      <c r="N98"/>
      <c r="O98"/>
      <c r="P98"/>
    </row>
    <row r="99" spans="2:16">
      <c r="B99" s="153"/>
      <c r="C99" s="77"/>
      <c r="D99" s="77"/>
      <c r="E99" s="77"/>
      <c r="F99" s="77"/>
      <c r="G99" s="77"/>
      <c r="H99" s="77"/>
      <c r="I99" s="77"/>
      <c r="J99" s="77"/>
      <c r="N99"/>
      <c r="O99"/>
      <c r="P99"/>
    </row>
    <row r="100" spans="2:16">
      <c r="B100" s="510" t="s">
        <v>326</v>
      </c>
      <c r="C100" s="128"/>
      <c r="D100" s="128"/>
      <c r="E100" s="128"/>
      <c r="F100" s="128"/>
      <c r="G100" s="128"/>
      <c r="H100" s="129"/>
      <c r="I100" s="129"/>
      <c r="J100" s="129"/>
    </row>
    <row r="102" spans="2:16">
      <c r="B102" s="2"/>
    </row>
    <row r="103" spans="2:16">
      <c r="B103" s="3"/>
      <c r="D103" s="151" t="str">
        <f t="shared" ref="D103:H103" si="50">IF(D104&lt;=Reporting_Year,"Actuals","N/A")</f>
        <v>Actuals</v>
      </c>
      <c r="E103" s="152" t="str">
        <f t="shared" si="50"/>
        <v>N/A</v>
      </c>
      <c r="F103" s="152" t="str">
        <f t="shared" si="50"/>
        <v>N/A</v>
      </c>
      <c r="G103" s="152" t="str">
        <f t="shared" si="50"/>
        <v>N/A</v>
      </c>
      <c r="H103" s="152" t="str">
        <f t="shared" si="50"/>
        <v>N/A</v>
      </c>
    </row>
    <row r="104" spans="2:16">
      <c r="B104" s="2"/>
      <c r="D104" s="62">
        <f>'RFPR cover'!$C$6</f>
        <v>2022</v>
      </c>
      <c r="E104" s="63">
        <f t="shared" ref="E104:H104" si="51">D104+1</f>
        <v>2023</v>
      </c>
      <c r="F104" s="63">
        <f t="shared" si="51"/>
        <v>2024</v>
      </c>
      <c r="G104" s="63">
        <f t="shared" si="51"/>
        <v>2025</v>
      </c>
      <c r="H104" s="63">
        <f t="shared" si="51"/>
        <v>2026</v>
      </c>
    </row>
    <row r="105" spans="2:16">
      <c r="B105" s="2"/>
      <c r="D105" s="42" t="str">
        <f>RIIO_2_start_date-1&amp;"/"&amp;RIGHT(RIIO_2_start_date,2)</f>
        <v>2021/22</v>
      </c>
      <c r="E105" s="42" t="str">
        <f>RIIO_2_start_date&amp;"/"&amp;RIGHT(RIIO_2_start_date+1,2)</f>
        <v>2022/23</v>
      </c>
      <c r="F105" s="42" t="str">
        <f>RIIO_2_start_date+1&amp;"/"&amp;RIGHT(RIIO_2_start_date+2,2)</f>
        <v>2023/24</v>
      </c>
      <c r="G105" s="42" t="str">
        <f>RIIO_2_start_date+2&amp;"/"&amp;RIGHT(RIIO_2_start_date+3,2)</f>
        <v>2024/25</v>
      </c>
      <c r="H105" s="42" t="str">
        <f>RIIO_2_start_date+3&amp;"/"&amp;RIGHT(RIIO_2_start_date+4,2)</f>
        <v>2025/26</v>
      </c>
    </row>
    <row r="106" spans="2:16">
      <c r="B106" s="2"/>
      <c r="D106" s="69"/>
      <c r="E106" s="69"/>
      <c r="F106" s="69"/>
      <c r="G106" s="69"/>
      <c r="H106" s="69"/>
      <c r="I106" s="69"/>
    </row>
    <row r="107" spans="2:16">
      <c r="B107" s="5" t="s">
        <v>327</v>
      </c>
      <c r="C107" s="70"/>
      <c r="D107" s="5"/>
      <c r="E107" s="5"/>
      <c r="F107" s="5"/>
      <c r="G107" s="5"/>
      <c r="H107" s="5"/>
      <c r="N107"/>
    </row>
    <row r="108" spans="2:16">
      <c r="B108" s="66" t="s">
        <v>328</v>
      </c>
      <c r="C108" s="75" t="s">
        <v>230</v>
      </c>
      <c r="D108" s="202">
        <v>778</v>
      </c>
      <c r="E108" s="202"/>
      <c r="F108" s="202"/>
      <c r="G108" s="202"/>
      <c r="H108" s="202"/>
    </row>
    <row r="109" spans="2:16">
      <c r="B109" s="66" t="s">
        <v>329</v>
      </c>
      <c r="C109" s="75" t="s">
        <v>230</v>
      </c>
      <c r="D109" s="202">
        <v>3</v>
      </c>
      <c r="E109" s="204"/>
      <c r="F109" s="204"/>
      <c r="G109" s="202"/>
      <c r="H109" s="202"/>
    </row>
    <row r="110" spans="2:16" ht="37.15">
      <c r="B110" s="67" t="s">
        <v>330</v>
      </c>
      <c r="C110" s="75" t="s">
        <v>230</v>
      </c>
      <c r="D110" s="202">
        <v>-2</v>
      </c>
      <c r="E110" s="204"/>
      <c r="F110" s="204"/>
      <c r="G110" s="204"/>
      <c r="H110" s="204"/>
    </row>
    <row r="111" spans="2:16">
      <c r="B111" s="66" t="s">
        <v>331</v>
      </c>
      <c r="C111" s="75" t="s">
        <v>230</v>
      </c>
      <c r="D111" s="202">
        <v>-52.795570429999998</v>
      </c>
      <c r="E111" s="202"/>
      <c r="F111" s="202"/>
      <c r="G111" s="202"/>
      <c r="H111" s="202"/>
    </row>
    <row r="112" spans="2:16">
      <c r="B112" s="66" t="s">
        <v>332</v>
      </c>
      <c r="C112" s="75" t="s">
        <v>230</v>
      </c>
      <c r="D112" s="202">
        <v>0</v>
      </c>
      <c r="E112" s="204"/>
      <c r="F112" s="204"/>
      <c r="G112" s="204"/>
      <c r="H112" s="204"/>
      <c r="O112"/>
      <c r="P112"/>
    </row>
    <row r="113" spans="1:8">
      <c r="B113" s="66" t="s">
        <v>333</v>
      </c>
      <c r="C113" s="75" t="s">
        <v>230</v>
      </c>
      <c r="D113" s="202">
        <v>0</v>
      </c>
      <c r="E113" s="208"/>
      <c r="F113" s="208"/>
      <c r="G113" s="208"/>
      <c r="H113" s="208"/>
    </row>
    <row r="114" spans="1:8">
      <c r="A114" s="3">
        <v>1</v>
      </c>
      <c r="B114" s="374" t="s">
        <v>334</v>
      </c>
      <c r="C114" s="75" t="s">
        <v>230</v>
      </c>
      <c r="D114" s="202">
        <v>0</v>
      </c>
      <c r="E114" s="203"/>
      <c r="F114" s="203"/>
      <c r="G114" s="203"/>
      <c r="H114" s="203"/>
    </row>
    <row r="115" spans="1:8">
      <c r="A115" s="3">
        <v>2</v>
      </c>
      <c r="B115" s="374" t="s">
        <v>334</v>
      </c>
      <c r="C115" s="75" t="s">
        <v>230</v>
      </c>
      <c r="D115" s="202">
        <v>0</v>
      </c>
      <c r="E115" s="204"/>
      <c r="F115" s="204"/>
      <c r="G115" s="204"/>
      <c r="H115" s="204"/>
    </row>
    <row r="116" spans="1:8">
      <c r="A116" s="3">
        <v>3</v>
      </c>
      <c r="B116" s="374" t="s">
        <v>334</v>
      </c>
      <c r="C116" s="75" t="s">
        <v>230</v>
      </c>
      <c r="D116" s="202">
        <v>0</v>
      </c>
      <c r="E116" s="204"/>
      <c r="F116" s="204"/>
      <c r="G116" s="204"/>
      <c r="H116" s="204"/>
    </row>
    <row r="117" spans="1:8">
      <c r="B117" s="5" t="s">
        <v>335</v>
      </c>
      <c r="C117" s="75" t="s">
        <v>230</v>
      </c>
      <c r="D117" s="209">
        <f t="shared" ref="D117:H117" si="52">SUM(D108:D116)</f>
        <v>726.20442957</v>
      </c>
      <c r="E117" s="636">
        <f t="shared" si="52"/>
        <v>0</v>
      </c>
      <c r="F117" s="636">
        <f t="shared" si="52"/>
        <v>0</v>
      </c>
      <c r="G117" s="636">
        <f t="shared" si="52"/>
        <v>0</v>
      </c>
      <c r="H117" s="636">
        <f t="shared" si="52"/>
        <v>0</v>
      </c>
    </row>
    <row r="118" spans="1:8">
      <c r="B118" s="66" t="s">
        <v>336</v>
      </c>
      <c r="C118" s="75" t="s">
        <v>230</v>
      </c>
      <c r="D118" s="202">
        <v>1299</v>
      </c>
      <c r="E118" s="202"/>
      <c r="F118" s="202"/>
      <c r="G118" s="202"/>
      <c r="H118" s="202"/>
    </row>
    <row r="119" spans="1:8">
      <c r="A119" s="3">
        <v>1</v>
      </c>
      <c r="B119" s="374" t="s">
        <v>334</v>
      </c>
      <c r="C119" s="75" t="s">
        <v>230</v>
      </c>
      <c r="D119" s="202">
        <v>0</v>
      </c>
      <c r="E119" s="203"/>
      <c r="F119" s="203"/>
      <c r="G119" s="203"/>
      <c r="H119" s="203"/>
    </row>
    <row r="120" spans="1:8">
      <c r="A120" s="3">
        <v>2</v>
      </c>
      <c r="B120" s="374" t="s">
        <v>334</v>
      </c>
      <c r="C120" s="75" t="s">
        <v>230</v>
      </c>
      <c r="D120" s="202">
        <v>0</v>
      </c>
      <c r="E120" s="204"/>
      <c r="F120" s="204"/>
      <c r="G120" s="204"/>
      <c r="H120" s="204"/>
    </row>
    <row r="121" spans="1:8">
      <c r="A121" s="3">
        <v>3</v>
      </c>
      <c r="B121" s="374" t="s">
        <v>334</v>
      </c>
      <c r="C121" s="75" t="s">
        <v>230</v>
      </c>
      <c r="D121" s="202">
        <v>0</v>
      </c>
      <c r="E121" s="204"/>
      <c r="F121" s="204"/>
      <c r="G121" s="204"/>
      <c r="H121" s="204"/>
    </row>
    <row r="122" spans="1:8">
      <c r="A122" s="3"/>
      <c r="B122" s="5" t="s">
        <v>337</v>
      </c>
      <c r="C122" s="75" t="s">
        <v>230</v>
      </c>
      <c r="D122" s="636">
        <f>SUM(D118:D121)</f>
        <v>1299</v>
      </c>
      <c r="E122" s="636">
        <f t="shared" ref="E122:H122" si="53">SUM(E118:E121)</f>
        <v>0</v>
      </c>
      <c r="F122" s="636">
        <f t="shared" si="53"/>
        <v>0</v>
      </c>
      <c r="G122" s="636">
        <f t="shared" si="53"/>
        <v>0</v>
      </c>
      <c r="H122" s="636">
        <f t="shared" si="53"/>
        <v>0</v>
      </c>
    </row>
    <row r="123" spans="1:8" s="165" customFormat="1" ht="15" customHeight="1">
      <c r="B123" s="254" t="s">
        <v>338</v>
      </c>
      <c r="C123" s="370" t="s">
        <v>230</v>
      </c>
      <c r="D123" s="636">
        <f>SUM(D117,D122)</f>
        <v>2025.20442957</v>
      </c>
      <c r="E123" s="636">
        <f t="shared" ref="E123:H123" si="54">SUM(E117,E122)</f>
        <v>0</v>
      </c>
      <c r="F123" s="636">
        <f t="shared" si="54"/>
        <v>0</v>
      </c>
      <c r="G123" s="636">
        <f t="shared" si="54"/>
        <v>0</v>
      </c>
      <c r="H123" s="636">
        <f t="shared" si="54"/>
        <v>0</v>
      </c>
    </row>
    <row r="124" spans="1:8" ht="7.5" customHeight="1">
      <c r="B124" s="2"/>
      <c r="D124" s="29"/>
      <c r="E124" s="29"/>
      <c r="F124" s="29"/>
      <c r="G124" s="29"/>
      <c r="H124" s="29"/>
    </row>
    <row r="125" spans="1:8" ht="26.65" customHeight="1">
      <c r="B125" s="5" t="s">
        <v>339</v>
      </c>
      <c r="C125" s="75"/>
    </row>
    <row r="126" spans="1:8">
      <c r="B126" s="650" t="s">
        <v>340</v>
      </c>
      <c r="C126" s="75"/>
    </row>
    <row r="127" spans="1:8">
      <c r="A127" s="3">
        <v>1</v>
      </c>
      <c r="B127" s="374" t="s">
        <v>341</v>
      </c>
      <c r="C127" s="75" t="s">
        <v>230</v>
      </c>
      <c r="D127" s="202">
        <v>-10.403745859999999</v>
      </c>
      <c r="E127" s="202"/>
      <c r="F127" s="202"/>
      <c r="G127" s="202"/>
      <c r="H127" s="202"/>
    </row>
    <row r="128" spans="1:8">
      <c r="A128" s="3">
        <v>2</v>
      </c>
      <c r="B128" s="374" t="s">
        <v>342</v>
      </c>
      <c r="C128" s="75" t="s">
        <v>230</v>
      </c>
      <c r="D128" s="202">
        <v>1.79347046</v>
      </c>
      <c r="E128" s="202"/>
      <c r="F128" s="202"/>
      <c r="G128" s="202"/>
      <c r="H128" s="202"/>
    </row>
    <row r="129" spans="1:8">
      <c r="A129" s="3">
        <v>3</v>
      </c>
      <c r="B129" s="374" t="s">
        <v>343</v>
      </c>
      <c r="C129" s="75" t="s">
        <v>230</v>
      </c>
      <c r="D129" s="202">
        <v>-4.6525753400000003</v>
      </c>
      <c r="E129" s="202"/>
      <c r="F129" s="202"/>
      <c r="G129" s="202"/>
      <c r="H129" s="202"/>
    </row>
    <row r="130" spans="1:8">
      <c r="A130" s="3">
        <v>4</v>
      </c>
      <c r="B130" s="374" t="s">
        <v>344</v>
      </c>
      <c r="C130" s="75" t="s">
        <v>230</v>
      </c>
      <c r="D130" s="202">
        <v>-9.5392999500000002</v>
      </c>
      <c r="E130" s="202"/>
      <c r="F130" s="202"/>
      <c r="G130" s="202"/>
      <c r="H130" s="202"/>
    </row>
    <row r="131" spans="1:8">
      <c r="A131" s="3">
        <v>5</v>
      </c>
      <c r="B131" s="374" t="s">
        <v>345</v>
      </c>
      <c r="C131" s="75" t="s">
        <v>230</v>
      </c>
      <c r="D131" s="202">
        <v>2.271888659203237</v>
      </c>
      <c r="E131" s="202"/>
      <c r="F131" s="202"/>
      <c r="G131" s="202"/>
      <c r="H131" s="202"/>
    </row>
    <row r="132" spans="1:8">
      <c r="A132" s="3">
        <v>6</v>
      </c>
      <c r="B132" s="374" t="s">
        <v>346</v>
      </c>
      <c r="C132" s="75" t="s">
        <v>230</v>
      </c>
      <c r="D132" s="202">
        <v>1.3708620000000005E-2</v>
      </c>
      <c r="E132" s="202"/>
      <c r="F132" s="202"/>
      <c r="G132" s="202"/>
      <c r="H132" s="202"/>
    </row>
    <row r="133" spans="1:8">
      <c r="A133" s="3">
        <v>7</v>
      </c>
      <c r="B133" s="374" t="s">
        <v>347</v>
      </c>
      <c r="C133" s="75" t="s">
        <v>230</v>
      </c>
      <c r="D133" s="202">
        <v>10.0745662</v>
      </c>
      <c r="E133" s="202"/>
      <c r="F133" s="202"/>
      <c r="G133" s="202"/>
      <c r="H133" s="202"/>
    </row>
    <row r="134" spans="1:8">
      <c r="A134" s="3">
        <v>8</v>
      </c>
      <c r="B134" s="374" t="s">
        <v>348</v>
      </c>
      <c r="C134" s="75" t="s">
        <v>230</v>
      </c>
      <c r="D134" s="202">
        <v>-8.8624058323207784</v>
      </c>
      <c r="E134" s="202"/>
      <c r="F134" s="202"/>
      <c r="G134" s="202"/>
      <c r="H134" s="202"/>
    </row>
    <row r="135" spans="1:8">
      <c r="A135" s="3">
        <v>9</v>
      </c>
      <c r="B135" s="374" t="s">
        <v>349</v>
      </c>
      <c r="C135" s="75" t="s">
        <v>230</v>
      </c>
      <c r="D135" s="202">
        <v>-7.1329575300000014</v>
      </c>
      <c r="E135" s="202"/>
      <c r="F135" s="202"/>
      <c r="G135" s="202"/>
      <c r="H135" s="202"/>
    </row>
    <row r="136" spans="1:8">
      <c r="A136" s="3">
        <v>10</v>
      </c>
      <c r="B136" s="374" t="s">
        <v>350</v>
      </c>
      <c r="C136" s="75" t="s">
        <v>230</v>
      </c>
      <c r="D136" s="202">
        <v>-3.1436647999999998</v>
      </c>
      <c r="E136" s="202"/>
      <c r="F136" s="202"/>
      <c r="G136" s="202"/>
      <c r="H136" s="202"/>
    </row>
    <row r="137" spans="1:8">
      <c r="A137" s="3">
        <v>11</v>
      </c>
      <c r="B137" s="374" t="s">
        <v>351</v>
      </c>
      <c r="C137" s="75" t="s">
        <v>230</v>
      </c>
      <c r="D137" s="202">
        <v>-1.2276182099999999</v>
      </c>
      <c r="E137" s="202"/>
      <c r="F137" s="202"/>
      <c r="G137" s="202"/>
      <c r="H137" s="202"/>
    </row>
    <row r="138" spans="1:8">
      <c r="A138" s="3">
        <v>12</v>
      </c>
      <c r="B138" s="374" t="s">
        <v>352</v>
      </c>
      <c r="C138" s="75" t="s">
        <v>230</v>
      </c>
      <c r="D138" s="202">
        <v>0.62262600000000001</v>
      </c>
      <c r="E138" s="202"/>
      <c r="F138" s="202"/>
      <c r="G138" s="202"/>
      <c r="H138" s="202"/>
    </row>
    <row r="139" spans="1:8">
      <c r="A139" s="3">
        <v>13</v>
      </c>
      <c r="B139" s="374" t="s">
        <v>353</v>
      </c>
      <c r="C139" s="75" t="s">
        <v>230</v>
      </c>
      <c r="D139" s="202">
        <v>5.7517872397326855</v>
      </c>
      <c r="E139" s="202"/>
      <c r="F139" s="202"/>
      <c r="G139" s="202"/>
      <c r="H139" s="202"/>
    </row>
    <row r="140" spans="1:8">
      <c r="A140" s="3">
        <v>14</v>
      </c>
      <c r="B140" s="374" t="s">
        <v>354</v>
      </c>
      <c r="C140" s="75" t="s">
        <v>230</v>
      </c>
      <c r="D140" s="202">
        <v>0.70757203000000002</v>
      </c>
      <c r="E140" s="202"/>
      <c r="F140" s="202"/>
      <c r="G140" s="202"/>
      <c r="H140" s="202"/>
    </row>
    <row r="141" spans="1:8">
      <c r="A141" s="3">
        <v>15</v>
      </c>
      <c r="B141" s="374" t="s">
        <v>355</v>
      </c>
      <c r="C141" s="75" t="s">
        <v>230</v>
      </c>
      <c r="D141" s="202">
        <v>-3.2457352284438898E-2</v>
      </c>
      <c r="E141" s="202"/>
      <c r="F141" s="202"/>
      <c r="G141" s="202"/>
      <c r="H141" s="202"/>
    </row>
    <row r="142" spans="1:8">
      <c r="A142" s="3">
        <v>16</v>
      </c>
      <c r="B142" s="374" t="s">
        <v>356</v>
      </c>
      <c r="C142" s="75" t="s">
        <v>230</v>
      </c>
      <c r="D142" s="202">
        <v>-1273.626806679935</v>
      </c>
      <c r="E142" s="202"/>
      <c r="F142" s="202"/>
      <c r="G142" s="202"/>
      <c r="H142" s="202"/>
    </row>
    <row r="143" spans="1:8" ht="18.75" customHeight="1">
      <c r="A143" s="3"/>
      <c r="B143" s="2" t="s">
        <v>357</v>
      </c>
      <c r="C143" s="75" t="s">
        <v>230</v>
      </c>
      <c r="D143" s="636">
        <f>SUM(D127:D142)</f>
        <v>-1297.3859123456043</v>
      </c>
      <c r="E143" s="636">
        <f>SUM(E127:E142)</f>
        <v>0</v>
      </c>
      <c r="F143" s="636">
        <f>SUM(F127:F142)</f>
        <v>0</v>
      </c>
      <c r="G143" s="636">
        <f>SUM(G127:G142)</f>
        <v>0</v>
      </c>
      <c r="H143" s="636">
        <f>SUM(H127:H142)</f>
        <v>0</v>
      </c>
    </row>
    <row r="144" spans="1:8">
      <c r="A144" s="3"/>
      <c r="B144" s="650" t="s">
        <v>358</v>
      </c>
      <c r="C144" s="5"/>
      <c r="D144" s="5"/>
      <c r="E144" s="5"/>
      <c r="F144" s="5"/>
      <c r="G144" s="5"/>
      <c r="H144" s="5"/>
    </row>
    <row r="145" spans="1:16">
      <c r="A145" s="3">
        <v>17</v>
      </c>
      <c r="B145" s="374" t="s">
        <v>359</v>
      </c>
      <c r="C145" s="75" t="s">
        <v>230</v>
      </c>
      <c r="D145" s="202">
        <v>-2.50674624</v>
      </c>
      <c r="E145" s="202"/>
      <c r="F145" s="202"/>
      <c r="G145" s="202"/>
      <c r="H145" s="202"/>
    </row>
    <row r="146" spans="1:16">
      <c r="A146" s="3">
        <v>18</v>
      </c>
      <c r="B146" s="374" t="s">
        <v>360</v>
      </c>
      <c r="C146" s="75" t="s">
        <v>230</v>
      </c>
      <c r="D146" s="202">
        <v>-56</v>
      </c>
      <c r="E146" s="202"/>
      <c r="F146" s="202"/>
      <c r="G146" s="202"/>
      <c r="H146" s="202"/>
    </row>
    <row r="147" spans="1:16">
      <c r="A147" s="3">
        <v>19</v>
      </c>
      <c r="B147" s="374" t="s">
        <v>361</v>
      </c>
      <c r="C147" s="75" t="s">
        <v>230</v>
      </c>
      <c r="D147" s="202">
        <v>-2.5877505599999999</v>
      </c>
      <c r="E147" s="202"/>
      <c r="F147" s="202"/>
      <c r="G147" s="202"/>
      <c r="H147" s="202"/>
    </row>
    <row r="148" spans="1:16">
      <c r="A148" s="3">
        <v>20</v>
      </c>
      <c r="B148" s="374" t="s">
        <v>362</v>
      </c>
      <c r="C148" s="75" t="s">
        <v>230</v>
      </c>
      <c r="D148" s="202">
        <v>-402.46512377000005</v>
      </c>
      <c r="E148" s="202"/>
      <c r="F148" s="202"/>
      <c r="G148" s="202"/>
      <c r="H148" s="202"/>
      <c r="O148"/>
      <c r="P148"/>
    </row>
    <row r="149" spans="1:16">
      <c r="A149" s="3">
        <v>21</v>
      </c>
      <c r="B149" s="374" t="s">
        <v>334</v>
      </c>
      <c r="C149" s="75" t="s">
        <v>230</v>
      </c>
      <c r="D149" s="202">
        <v>0</v>
      </c>
      <c r="E149" s="202"/>
      <c r="F149" s="202"/>
      <c r="G149" s="202"/>
      <c r="H149" s="202"/>
      <c r="O149"/>
      <c r="P149"/>
    </row>
    <row r="150" spans="1:16">
      <c r="A150" s="3">
        <v>22</v>
      </c>
      <c r="B150" s="374" t="s">
        <v>334</v>
      </c>
      <c r="C150" s="75" t="s">
        <v>230</v>
      </c>
      <c r="D150" s="202">
        <v>0</v>
      </c>
      <c r="E150" s="202"/>
      <c r="F150" s="202"/>
      <c r="G150" s="202"/>
      <c r="H150" s="202"/>
      <c r="O150"/>
      <c r="P150"/>
    </row>
    <row r="151" spans="1:16">
      <c r="A151" s="3">
        <v>23</v>
      </c>
      <c r="B151" s="374" t="s">
        <v>334</v>
      </c>
      <c r="C151" s="75" t="s">
        <v>230</v>
      </c>
      <c r="D151" s="202">
        <v>0</v>
      </c>
      <c r="E151" s="202"/>
      <c r="F151" s="202"/>
      <c r="G151" s="202"/>
      <c r="H151" s="202"/>
      <c r="O151"/>
      <c r="P151"/>
    </row>
    <row r="152" spans="1:16" ht="19.5" customHeight="1">
      <c r="A152" s="3"/>
      <c r="B152" s="2" t="s">
        <v>357</v>
      </c>
      <c r="C152" s="75" t="s">
        <v>230</v>
      </c>
      <c r="D152" s="636">
        <f>SUM(D145:D151)</f>
        <v>-463.55962057000005</v>
      </c>
      <c r="E152" s="636">
        <f t="shared" ref="E152:H152" si="55">SUM(E145:E151)</f>
        <v>0</v>
      </c>
      <c r="F152" s="636">
        <f t="shared" si="55"/>
        <v>0</v>
      </c>
      <c r="G152" s="636">
        <f t="shared" si="55"/>
        <v>0</v>
      </c>
      <c r="H152" s="636">
        <f t="shared" si="55"/>
        <v>0</v>
      </c>
      <c r="O152"/>
      <c r="P152"/>
    </row>
    <row r="153" spans="1:16" ht="17.649999999999999" customHeight="1">
      <c r="B153" s="5" t="s">
        <v>363</v>
      </c>
      <c r="C153" s="75" t="s">
        <v>230</v>
      </c>
      <c r="D153" s="636">
        <f>D143+D152</f>
        <v>-1760.9455329156044</v>
      </c>
      <c r="E153" s="636">
        <f t="shared" ref="E153:H153" si="56">E143+E152</f>
        <v>0</v>
      </c>
      <c r="F153" s="636">
        <f t="shared" si="56"/>
        <v>0</v>
      </c>
      <c r="G153" s="636">
        <f t="shared" si="56"/>
        <v>0</v>
      </c>
      <c r="H153" s="636">
        <f t="shared" si="56"/>
        <v>0</v>
      </c>
      <c r="O153"/>
      <c r="P153"/>
    </row>
    <row r="154" spans="1:16">
      <c r="B154" s="2"/>
      <c r="D154" s="29"/>
      <c r="E154" s="29"/>
      <c r="F154" s="29"/>
      <c r="G154" s="29"/>
      <c r="H154" s="29"/>
      <c r="O154"/>
      <c r="P154"/>
    </row>
    <row r="155" spans="1:16">
      <c r="B155" s="5" t="s">
        <v>364</v>
      </c>
      <c r="C155" s="75" t="s">
        <v>230</v>
      </c>
      <c r="D155" s="636">
        <f>D153+D123</f>
        <v>264.25889665439558</v>
      </c>
      <c r="E155" s="636">
        <f>E153+E123</f>
        <v>0</v>
      </c>
      <c r="F155" s="636">
        <f>F153+F123</f>
        <v>0</v>
      </c>
      <c r="G155" s="636">
        <f>G153+G123</f>
        <v>0</v>
      </c>
      <c r="H155" s="636">
        <f>H153+H123</f>
        <v>0</v>
      </c>
      <c r="O155" s="349"/>
      <c r="P155"/>
    </row>
    <row r="156" spans="1:16">
      <c r="B156" s="2" t="s">
        <v>365</v>
      </c>
      <c r="C156" s="75" t="s">
        <v>23</v>
      </c>
      <c r="D156" s="655">
        <v>243.60518876862628</v>
      </c>
      <c r="E156" s="655"/>
      <c r="F156" s="655"/>
      <c r="G156" s="655"/>
      <c r="H156" s="655"/>
      <c r="I156" s="2" t="s">
        <v>366</v>
      </c>
      <c r="O156"/>
      <c r="P156"/>
    </row>
    <row r="157" spans="1:16">
      <c r="B157" s="2" t="s">
        <v>367</v>
      </c>
      <c r="C157" s="75" t="s">
        <v>230</v>
      </c>
      <c r="D157" s="655">
        <v>0</v>
      </c>
      <c r="E157" s="655"/>
      <c r="F157" s="655"/>
      <c r="G157" s="655"/>
      <c r="H157" s="655"/>
      <c r="I157" s="2" t="s">
        <v>366</v>
      </c>
    </row>
    <row r="158" spans="1:16">
      <c r="B158" s="2" t="s">
        <v>368</v>
      </c>
      <c r="C158" s="75" t="s">
        <v>230</v>
      </c>
      <c r="D158" s="602">
        <f>IF(A2="Cadent",D157,D156*INDEX(real_to_nominal_CF,MATCH(D6,calendar_year,0)))</f>
        <v>264.25889665439553</v>
      </c>
      <c r="E158" s="602">
        <f>IF(B2="Cadent",E157,E156*INDEX(real_to_nominal_CF,MATCH(E6,calendar_year,0)))</f>
        <v>0</v>
      </c>
      <c r="F158" s="602">
        <f>IF(C2="Cadent",F157,F156*INDEX(real_to_nominal_CF,MATCH(F6,calendar_year,0)))</f>
        <v>0</v>
      </c>
      <c r="G158" s="602">
        <f>IF(D2="Cadent",G157,G156*INDEX(real_to_nominal_CF,MATCH(G6,calendar_year,0)))</f>
        <v>0</v>
      </c>
      <c r="H158" s="602">
        <f>IF(E2="Cadent",H157,H156*INDEX(real_to_nominal_CF,MATCH(H6,calendar_year,0)))</f>
        <v>0</v>
      </c>
      <c r="I158"/>
      <c r="O158"/>
      <c r="P158"/>
    </row>
    <row r="159" spans="1:16">
      <c r="B159" s="2"/>
      <c r="C159" s="69" t="s">
        <v>369</v>
      </c>
      <c r="D159" s="210" t="str">
        <f>IF(D$103="Actuals",IF(ABS(D155-D158)&lt;materiality_threshold,"OK","ERROR"),"N/A")</f>
        <v>OK</v>
      </c>
      <c r="E159" s="210" t="str">
        <f>IF(E$103="Actuals",IF(ABS(E155-E158)&lt;materiality_threshold,"OK","ERROR"),"N/A")</f>
        <v>N/A</v>
      </c>
      <c r="F159" s="210" t="str">
        <f>IF(F$103="Actuals",IF(ABS(F155-F158)&lt;materiality_threshold,"OK","ERROR"),"N/A")</f>
        <v>N/A</v>
      </c>
      <c r="G159" s="210" t="str">
        <f>IF(G$103="Actuals",IF(ABS(G155-G158)&lt;materiality_threshold,"OK","ERROR"),"N/A")</f>
        <v>N/A</v>
      </c>
      <c r="H159" s="210" t="str">
        <f>IF(H$103="Actuals",IF(ABS(H155-H158)&lt;materiality_threshold,"OK","ERROR"),"N/A")</f>
        <v>N/A</v>
      </c>
      <c r="O159"/>
      <c r="P159"/>
    </row>
    <row r="160" spans="1:16">
      <c r="B160" s="2" t="s">
        <v>157</v>
      </c>
      <c r="O160"/>
      <c r="P160"/>
    </row>
    <row r="161" spans="1:16">
      <c r="B161" s="5" t="s">
        <v>370</v>
      </c>
      <c r="C161" s="75"/>
    </row>
    <row r="162" spans="1:16">
      <c r="A162" s="3">
        <v>1</v>
      </c>
      <c r="B162" s="374" t="s">
        <v>371</v>
      </c>
      <c r="C162" s="75" t="s">
        <v>230</v>
      </c>
      <c r="D162" s="202">
        <v>13.159114836665713</v>
      </c>
      <c r="E162" s="202"/>
      <c r="F162" s="202"/>
      <c r="G162" s="202"/>
      <c r="H162" s="202"/>
    </row>
    <row r="163" spans="1:16">
      <c r="A163" s="3">
        <v>2</v>
      </c>
      <c r="B163" s="374" t="s">
        <v>372</v>
      </c>
      <c r="C163" s="75" t="s">
        <v>230</v>
      </c>
      <c r="D163" s="202">
        <v>1.9317941339999998</v>
      </c>
      <c r="E163" s="204"/>
      <c r="F163" s="204"/>
      <c r="G163" s="204"/>
      <c r="H163" s="204"/>
    </row>
    <row r="164" spans="1:16">
      <c r="A164" s="3">
        <v>3</v>
      </c>
      <c r="B164" s="374" t="s">
        <v>373</v>
      </c>
      <c r="C164" s="75" t="s">
        <v>230</v>
      </c>
      <c r="D164" s="202">
        <v>37.990297599999998</v>
      </c>
      <c r="E164" s="204"/>
      <c r="F164" s="204"/>
      <c r="G164" s="204"/>
      <c r="H164" s="204"/>
    </row>
    <row r="165" spans="1:16">
      <c r="A165" s="3">
        <v>4</v>
      </c>
      <c r="B165" s="374" t="s">
        <v>353</v>
      </c>
      <c r="C165" s="75" t="s">
        <v>230</v>
      </c>
      <c r="D165" s="202">
        <v>5.7517872397326855</v>
      </c>
      <c r="E165" s="204"/>
      <c r="F165" s="204"/>
      <c r="G165" s="204"/>
      <c r="H165" s="204"/>
    </row>
    <row r="166" spans="1:16">
      <c r="A166" s="3">
        <v>5</v>
      </c>
      <c r="B166" s="374" t="s">
        <v>374</v>
      </c>
      <c r="C166" s="75" t="s">
        <v>230</v>
      </c>
      <c r="D166" s="202">
        <v>28.41453482</v>
      </c>
      <c r="E166" s="204"/>
      <c r="F166" s="204"/>
      <c r="G166" s="204"/>
      <c r="H166" s="204"/>
    </row>
    <row r="167" spans="1:16">
      <c r="A167" s="3">
        <v>6</v>
      </c>
      <c r="B167" s="374" t="s">
        <v>256</v>
      </c>
      <c r="C167" s="75" t="s">
        <v>230</v>
      </c>
      <c r="D167" s="202">
        <v>2.7816029014078176</v>
      </c>
      <c r="E167" s="204"/>
      <c r="F167" s="204"/>
      <c r="G167" s="204"/>
      <c r="H167" s="204"/>
    </row>
    <row r="168" spans="1:16">
      <c r="A168" s="3">
        <v>7</v>
      </c>
      <c r="B168" s="374" t="s">
        <v>375</v>
      </c>
      <c r="C168" s="75" t="s">
        <v>230</v>
      </c>
      <c r="D168" s="202">
        <v>0.5011021567837477</v>
      </c>
      <c r="E168" s="204"/>
      <c r="F168" s="204"/>
      <c r="G168" s="204"/>
      <c r="H168" s="204"/>
    </row>
    <row r="169" spans="1:16">
      <c r="A169" s="3">
        <v>8</v>
      </c>
      <c r="B169" s="374" t="s">
        <v>376</v>
      </c>
      <c r="C169" s="75" t="s">
        <v>230</v>
      </c>
      <c r="D169" s="202">
        <v>0.34420000000000006</v>
      </c>
      <c r="E169" s="204"/>
      <c r="F169" s="204"/>
      <c r="G169" s="204"/>
      <c r="H169" s="204"/>
    </row>
    <row r="170" spans="1:16">
      <c r="A170" s="3">
        <v>9</v>
      </c>
      <c r="B170" s="374" t="s">
        <v>352</v>
      </c>
      <c r="C170" s="75" t="s">
        <v>230</v>
      </c>
      <c r="D170" s="202">
        <v>0.62262600000000001</v>
      </c>
      <c r="E170" s="204"/>
      <c r="F170" s="204"/>
      <c r="G170" s="204"/>
      <c r="H170" s="204"/>
    </row>
    <row r="171" spans="1:16">
      <c r="A171" s="3">
        <v>10</v>
      </c>
      <c r="B171" s="374" t="s">
        <v>334</v>
      </c>
      <c r="C171" s="75" t="s">
        <v>230</v>
      </c>
      <c r="D171" s="202">
        <v>0</v>
      </c>
      <c r="E171" s="204"/>
      <c r="F171" s="204"/>
      <c r="G171" s="204"/>
      <c r="H171" s="204"/>
    </row>
    <row r="172" spans="1:16">
      <c r="A172" s="3">
        <v>11</v>
      </c>
      <c r="B172" s="374" t="s">
        <v>334</v>
      </c>
      <c r="C172" s="75" t="s">
        <v>230</v>
      </c>
      <c r="D172" s="202">
        <v>0</v>
      </c>
      <c r="E172" s="204"/>
      <c r="F172" s="204"/>
      <c r="G172" s="204"/>
      <c r="H172" s="204"/>
    </row>
    <row r="173" spans="1:16">
      <c r="A173" s="3">
        <v>12</v>
      </c>
      <c r="B173" s="374" t="s">
        <v>334</v>
      </c>
      <c r="C173" s="75" t="s">
        <v>230</v>
      </c>
      <c r="D173" s="202">
        <v>0</v>
      </c>
      <c r="E173" s="204"/>
      <c r="F173" s="204"/>
      <c r="G173" s="204"/>
      <c r="H173" s="204"/>
    </row>
    <row r="174" spans="1:16">
      <c r="A174" s="3">
        <v>13</v>
      </c>
      <c r="B174" s="374" t="s">
        <v>334</v>
      </c>
      <c r="C174" s="75" t="s">
        <v>230</v>
      </c>
      <c r="D174" s="202">
        <v>0</v>
      </c>
      <c r="E174" s="204"/>
      <c r="F174" s="204"/>
      <c r="G174" s="204"/>
      <c r="H174" s="204"/>
    </row>
    <row r="175" spans="1:16">
      <c r="A175" s="3">
        <v>14</v>
      </c>
      <c r="B175" s="374" t="s">
        <v>334</v>
      </c>
      <c r="C175" s="75" t="s">
        <v>230</v>
      </c>
      <c r="D175" s="202">
        <v>0</v>
      </c>
      <c r="E175" s="204"/>
      <c r="F175" s="204"/>
      <c r="G175" s="204"/>
      <c r="H175" s="204"/>
      <c r="O175"/>
      <c r="P175"/>
    </row>
    <row r="176" spans="1:16">
      <c r="A176" s="3">
        <v>15</v>
      </c>
      <c r="B176" s="374" t="s">
        <v>334</v>
      </c>
      <c r="C176" s="75" t="s">
        <v>230</v>
      </c>
      <c r="D176" s="202">
        <v>0</v>
      </c>
      <c r="E176" s="204"/>
      <c r="F176" s="204"/>
      <c r="G176" s="204"/>
      <c r="H176" s="204"/>
      <c r="O176"/>
      <c r="P176"/>
    </row>
    <row r="177" spans="1:16">
      <c r="A177" s="3">
        <v>16</v>
      </c>
      <c r="B177" s="374" t="s">
        <v>334</v>
      </c>
      <c r="C177" s="75" t="s">
        <v>230</v>
      </c>
      <c r="D177" s="202">
        <v>0</v>
      </c>
      <c r="E177" s="204"/>
      <c r="F177" s="204"/>
      <c r="G177" s="204"/>
      <c r="H177" s="204"/>
      <c r="O177"/>
      <c r="P177"/>
    </row>
    <row r="178" spans="1:16">
      <c r="A178" s="3">
        <v>17</v>
      </c>
      <c r="B178" s="374" t="s">
        <v>334</v>
      </c>
      <c r="C178" s="75" t="s">
        <v>230</v>
      </c>
      <c r="D178" s="202">
        <v>0</v>
      </c>
      <c r="E178" s="204"/>
      <c r="F178" s="204"/>
      <c r="G178" s="204"/>
      <c r="H178" s="204"/>
      <c r="O178"/>
      <c r="P178"/>
    </row>
    <row r="179" spans="1:16">
      <c r="A179" s="3">
        <v>18</v>
      </c>
      <c r="B179" s="374" t="s">
        <v>334</v>
      </c>
      <c r="C179" s="75" t="s">
        <v>230</v>
      </c>
      <c r="D179" s="202">
        <v>0</v>
      </c>
      <c r="E179" s="204"/>
      <c r="F179" s="204"/>
      <c r="G179" s="204"/>
      <c r="H179" s="204"/>
      <c r="O179"/>
      <c r="P179"/>
    </row>
    <row r="180" spans="1:16">
      <c r="A180" s="3">
        <v>19</v>
      </c>
      <c r="B180" s="374" t="s">
        <v>334</v>
      </c>
      <c r="C180" s="75" t="s">
        <v>230</v>
      </c>
      <c r="D180" s="202">
        <v>0</v>
      </c>
      <c r="E180" s="204"/>
      <c r="F180" s="204"/>
      <c r="G180" s="204"/>
      <c r="H180" s="204"/>
      <c r="O180"/>
      <c r="P180"/>
    </row>
    <row r="181" spans="1:16">
      <c r="A181" s="3">
        <v>20</v>
      </c>
      <c r="B181" s="374" t="s">
        <v>334</v>
      </c>
      <c r="C181" s="75" t="s">
        <v>230</v>
      </c>
      <c r="D181" s="202">
        <v>0</v>
      </c>
      <c r="E181" s="204"/>
      <c r="F181" s="204"/>
      <c r="G181" s="204"/>
      <c r="H181" s="204"/>
      <c r="O181"/>
      <c r="P181"/>
    </row>
    <row r="182" spans="1:16">
      <c r="A182" s="3">
        <v>21</v>
      </c>
      <c r="B182" s="374" t="s">
        <v>334</v>
      </c>
      <c r="C182" s="75" t="s">
        <v>230</v>
      </c>
      <c r="D182" s="202">
        <v>0</v>
      </c>
      <c r="E182" s="204"/>
      <c r="F182" s="204"/>
      <c r="G182" s="204"/>
      <c r="H182" s="204"/>
      <c r="O182"/>
      <c r="P182"/>
    </row>
    <row r="183" spans="1:16">
      <c r="A183" s="3">
        <v>22</v>
      </c>
      <c r="B183" s="374" t="s">
        <v>334</v>
      </c>
      <c r="C183" s="75" t="s">
        <v>230</v>
      </c>
      <c r="D183" s="202">
        <v>0</v>
      </c>
      <c r="E183" s="204"/>
      <c r="F183" s="204"/>
      <c r="G183" s="204"/>
      <c r="H183" s="204"/>
      <c r="O183"/>
      <c r="P183"/>
    </row>
    <row r="184" spans="1:16">
      <c r="A184" s="3">
        <v>23</v>
      </c>
      <c r="B184" s="374" t="s">
        <v>334</v>
      </c>
      <c r="C184" s="75" t="s">
        <v>230</v>
      </c>
      <c r="D184" s="202">
        <v>0</v>
      </c>
      <c r="E184" s="204"/>
      <c r="F184" s="204"/>
      <c r="G184" s="204"/>
      <c r="H184" s="204"/>
      <c r="O184"/>
      <c r="P184"/>
    </row>
    <row r="185" spans="1:16">
      <c r="A185" s="3">
        <v>24</v>
      </c>
      <c r="B185" s="374" t="s">
        <v>334</v>
      </c>
      <c r="C185" s="75" t="s">
        <v>230</v>
      </c>
      <c r="D185" s="202">
        <v>0</v>
      </c>
      <c r="E185" s="204"/>
      <c r="F185" s="204"/>
      <c r="G185" s="204"/>
      <c r="H185" s="204"/>
      <c r="O185" s="349"/>
      <c r="P185"/>
    </row>
    <row r="186" spans="1:16">
      <c r="A186" s="3">
        <v>25</v>
      </c>
      <c r="B186" s="374" t="s">
        <v>334</v>
      </c>
      <c r="C186" s="75" t="s">
        <v>230</v>
      </c>
      <c r="D186" s="202">
        <v>0</v>
      </c>
      <c r="E186" s="204"/>
      <c r="F186" s="204"/>
      <c r="G186" s="204"/>
      <c r="H186" s="204"/>
      <c r="O186"/>
      <c r="P186"/>
    </row>
    <row r="187" spans="1:16">
      <c r="B187" s="5" t="s">
        <v>377</v>
      </c>
      <c r="C187" s="75" t="s">
        <v>230</v>
      </c>
      <c r="D187" s="636">
        <f>SUM(D162:D186)</f>
        <v>91.497059688589957</v>
      </c>
      <c r="E187" s="636">
        <v>0</v>
      </c>
      <c r="F187" s="636">
        <v>0</v>
      </c>
      <c r="G187" s="636">
        <v>0</v>
      </c>
      <c r="H187" s="636">
        <v>0</v>
      </c>
      <c r="O187"/>
      <c r="P187"/>
    </row>
    <row r="188" spans="1:16">
      <c r="B188" s="2"/>
      <c r="D188" s="69"/>
      <c r="E188" s="69"/>
      <c r="F188" s="69"/>
      <c r="G188" s="69"/>
      <c r="H188" s="69"/>
      <c r="I188" s="69"/>
      <c r="J188" s="69"/>
      <c r="O188"/>
      <c r="P188"/>
    </row>
    <row r="189" spans="1:16">
      <c r="B189" s="5" t="s">
        <v>378</v>
      </c>
      <c r="C189" s="75" t="s">
        <v>230</v>
      </c>
      <c r="D189" s="636">
        <f>D155-D187</f>
        <v>172.76183696580563</v>
      </c>
      <c r="E189" s="636">
        <f>E155-E185</f>
        <v>0</v>
      </c>
      <c r="F189" s="636">
        <f>F155-F185</f>
        <v>0</v>
      </c>
      <c r="G189" s="636">
        <f>G155-G185</f>
        <v>0</v>
      </c>
      <c r="H189" s="636">
        <f>H155-H185</f>
        <v>0</v>
      </c>
    </row>
    <row r="190" spans="1:16">
      <c r="B190" s="5" t="s">
        <v>379</v>
      </c>
      <c r="C190" s="75" t="s">
        <v>230</v>
      </c>
      <c r="D190" s="637">
        <v>172.76183696580566</v>
      </c>
      <c r="E190" s="637">
        <v>208.18461566237337</v>
      </c>
      <c r="F190" s="637">
        <v>209.49671592857592</v>
      </c>
      <c r="G190" s="637">
        <v>212.39793471119637</v>
      </c>
      <c r="H190" s="666">
        <v>206.07233183229073</v>
      </c>
      <c r="I190" s="2" t="s">
        <v>380</v>
      </c>
    </row>
    <row r="191" spans="1:16">
      <c r="B191" s="2"/>
      <c r="C191" s="69" t="s">
        <v>369</v>
      </c>
      <c r="D191" s="195" t="str">
        <f>IF(D$103="Actuals",IF(ABS(D189-('R3 - Totex - Reconciliation'!D13+'R3 - Totex - Reconciliation'!D42+D71)*INDEX(real_to_nominal_CF,MATCH(D6,Data!$E$25:$L$25,0)))&lt;materiality_threshold,"OK","Error"),"N/A")</f>
        <v>OK</v>
      </c>
      <c r="E191" s="195" t="str">
        <f>IF(E$103="Actuals",IF(ABS(E187-('R3 - Totex - Reconciliation'!E13+'R3 - Totex - Reconciliation'!E42+E71)*INDEX(real_to_nominal_CF,MATCH(E6,Data!$E$25:$L$25,0)))&lt;materiality_threshold,"OK","Error"),"N/A")</f>
        <v>N/A</v>
      </c>
      <c r="F191" s="195" t="str">
        <f>IF(F$103="Actuals",IF(ABS(F187-('R3 - Totex - Reconciliation'!F13+'R3 - Totex - Reconciliation'!F42+F71)*INDEX(real_to_nominal_CF,MATCH(F6,Data!$E$25:$L$25,0)))&lt;materiality_threshold,"OK","Error"),"N/A")</f>
        <v>N/A</v>
      </c>
      <c r="G191" s="195" t="str">
        <f>IF(G$103="Actuals",IF(ABS(G187-('R3 - Totex - Reconciliation'!G13+'R3 - Totex - Reconciliation'!G42+G71)*INDEX(real_to_nominal_CF,MATCH(G6,Data!$E$25:$L$25,0)))&lt;materiality_threshold,"OK","Error"),"N/A")</f>
        <v>N/A</v>
      </c>
      <c r="H191" s="195" t="str">
        <f>IF(H$103="Actuals",IF(ABS(H187-('R3 - Totex - Reconciliation'!H13+'R3 - Totex - Reconciliation'!H42+H71)*INDEX(real_to_nominal_CF,MATCH(H6,Data!$E$25:$L$25,0)))&lt;materiality_threshold,"OK","Error"),"N/A")</f>
        <v>N/A</v>
      </c>
    </row>
    <row r="192" spans="1:16">
      <c r="B192" s="2"/>
      <c r="C192" s="2"/>
    </row>
    <row r="193" spans="2:16">
      <c r="B193" s="349" t="s">
        <v>381</v>
      </c>
    </row>
    <row r="195" spans="2:16">
      <c r="B195" s="6" t="s">
        <v>297</v>
      </c>
      <c r="C195"/>
      <c r="D195"/>
      <c r="E195"/>
      <c r="F195"/>
    </row>
    <row r="196" spans="2:16">
      <c r="B196" s="847" t="s">
        <v>382</v>
      </c>
      <c r="C196" s="848"/>
      <c r="D196" s="848"/>
      <c r="E196" s="848"/>
      <c r="F196" s="849"/>
    </row>
    <row r="197" spans="2:16">
      <c r="B197" s="360" t="s">
        <v>383</v>
      </c>
      <c r="C197" s="361"/>
      <c r="D197" s="362"/>
      <c r="E197" s="335"/>
      <c r="F197" s="363"/>
    </row>
    <row r="198" spans="2:16">
      <c r="B198" s="360"/>
      <c r="C198" s="361"/>
      <c r="D198" s="362"/>
      <c r="E198" s="335"/>
      <c r="F198" s="363"/>
    </row>
    <row r="199" spans="2:16">
      <c r="B199" s="360"/>
      <c r="C199" s="361"/>
      <c r="D199" s="362"/>
      <c r="E199" s="335"/>
      <c r="F199" s="363"/>
    </row>
    <row r="200" spans="2:16">
      <c r="B200" s="360"/>
      <c r="C200" s="361"/>
      <c r="D200" s="362"/>
      <c r="E200" s="335"/>
      <c r="F200" s="363"/>
      <c r="O200"/>
      <c r="P200"/>
    </row>
    <row r="201" spans="2:16">
      <c r="B201" s="364"/>
      <c r="C201" s="580"/>
      <c r="D201" s="581"/>
      <c r="E201" s="582"/>
      <c r="F201" s="365"/>
    </row>
    <row r="218" s="2" customFormat="1"/>
    <row r="219" s="2" customFormat="1"/>
    <row r="220" s="2" customFormat="1"/>
    <row r="221" s="2" customFormat="1"/>
    <row r="222" s="2" customFormat="1"/>
    <row r="223" s="2" customFormat="1"/>
    <row r="224" s="2" customFormat="1"/>
    <row r="225" spans="2:3">
      <c r="B225" s="2"/>
      <c r="C225" s="2"/>
    </row>
    <row r="229" spans="2:3" ht="12.75" customHeight="1"/>
    <row r="236" spans="2:3" ht="29.25" customHeight="1"/>
  </sheetData>
  <mergeCells count="2">
    <mergeCell ref="K15:M15"/>
    <mergeCell ref="B196:F196"/>
  </mergeCells>
  <phoneticPr fontId="251" type="noConversion"/>
  <conditionalFormatting sqref="I5 D5:G6">
    <cfRule type="expression" dxfId="82" priority="71">
      <formula>AND(D$5="Actuals",E$5="Forecast")</formula>
    </cfRule>
  </conditionalFormatting>
  <conditionalFormatting sqref="B92:C92 C40 C69 B68:C68 B41:C49 B70:C79 N68:Q68">
    <cfRule type="expression" dxfId="81" priority="67">
      <formula>$B$40="n/a"</formula>
    </cfRule>
  </conditionalFormatting>
  <conditionalFormatting sqref="D103:G104">
    <cfRule type="expression" dxfId="80" priority="63">
      <formula>AND(D$5="Actuals",E$5="N/A")</formula>
    </cfRule>
  </conditionalFormatting>
  <conditionalFormatting sqref="H5:H6">
    <cfRule type="expression" dxfId="79" priority="272">
      <formula>AND(H$5="Actuals",#REF!="Forecast")</formula>
    </cfRule>
  </conditionalFormatting>
  <conditionalFormatting sqref="H103:H104">
    <cfRule type="expression" dxfId="78" priority="289">
      <formula>AND(H$5="Actuals",#REF!="N/A")</formula>
    </cfRule>
  </conditionalFormatting>
  <conditionalFormatting sqref="D7:H7">
    <cfRule type="expression" dxfId="77" priority="56">
      <formula>AND(D$5="Actuals",E$5="Forecast")</formula>
    </cfRule>
  </conditionalFormatting>
  <conditionalFormatting sqref="D105:H105">
    <cfRule type="expression" dxfId="76" priority="55">
      <formula>AND(D$5="Actuals",E$5="Forecast")</formula>
    </cfRule>
  </conditionalFormatting>
  <conditionalFormatting sqref="D160:H162 D108:H116 D118:H121 D127:H142 D145:H151 E163:H184 D163:D186">
    <cfRule type="expression" dxfId="75" priority="53">
      <formula>D$103="N/A"</formula>
    </cfRule>
  </conditionalFormatting>
  <conditionalFormatting sqref="C23:C24">
    <cfRule type="expression" dxfId="74" priority="52">
      <formula>$B$40="n/a"</formula>
    </cfRule>
  </conditionalFormatting>
  <conditionalFormatting sqref="C52:C53">
    <cfRule type="expression" dxfId="73" priority="51">
      <formula>$B$40="n/a"</formula>
    </cfRule>
  </conditionalFormatting>
  <conditionalFormatting sqref="C25">
    <cfRule type="expression" dxfId="72" priority="50">
      <formula>$B$40="n/a"</formula>
    </cfRule>
  </conditionalFormatting>
  <conditionalFormatting sqref="C54">
    <cfRule type="expression" dxfId="71" priority="49">
      <formula>$B$40="n/a"</formula>
    </cfRule>
  </conditionalFormatting>
  <conditionalFormatting sqref="C81:C82">
    <cfRule type="expression" dxfId="70" priority="48">
      <formula>$B$40="n/a"</formula>
    </cfRule>
  </conditionalFormatting>
  <conditionalFormatting sqref="C83">
    <cfRule type="expression" dxfId="69" priority="47">
      <formula>$B$40="n/a"</formula>
    </cfRule>
  </conditionalFormatting>
  <conditionalFormatting sqref="B35">
    <cfRule type="expression" dxfId="68" priority="46">
      <formula>$B$46="n/a"</formula>
    </cfRule>
  </conditionalFormatting>
  <conditionalFormatting sqref="B64">
    <cfRule type="expression" dxfId="67" priority="45">
      <formula>$B$46="n/a"</formula>
    </cfRule>
  </conditionalFormatting>
  <conditionalFormatting sqref="B88">
    <cfRule type="expression" dxfId="66" priority="44">
      <formula>$B$46="n/a"</formula>
    </cfRule>
  </conditionalFormatting>
  <conditionalFormatting sqref="E117:H117">
    <cfRule type="expression" dxfId="65" priority="43">
      <formula>E$103="N/A"</formula>
    </cfRule>
  </conditionalFormatting>
  <conditionalFormatting sqref="D122:H123">
    <cfRule type="expression" dxfId="64" priority="25">
      <formula>D$103="N/A"</formula>
    </cfRule>
  </conditionalFormatting>
  <conditionalFormatting sqref="D153:H153">
    <cfRule type="expression" dxfId="63" priority="24">
      <formula>D$103="N/A"</formula>
    </cfRule>
  </conditionalFormatting>
  <conditionalFormatting sqref="D155:H155">
    <cfRule type="expression" dxfId="62" priority="23">
      <formula>D$103="N/A"</formula>
    </cfRule>
  </conditionalFormatting>
  <conditionalFormatting sqref="E185:H186">
    <cfRule type="expression" dxfId="61" priority="22">
      <formula>E$103="N/A"</formula>
    </cfRule>
  </conditionalFormatting>
  <conditionalFormatting sqref="D187:H187">
    <cfRule type="expression" dxfId="60" priority="21">
      <formula>D$103="N/A"</formula>
    </cfRule>
  </conditionalFormatting>
  <conditionalFormatting sqref="D156:H157">
    <cfRule type="expression" dxfId="59" priority="16">
      <formula>D$103="N/A"</formula>
    </cfRule>
  </conditionalFormatting>
  <conditionalFormatting sqref="D143:H143">
    <cfRule type="expression" dxfId="58" priority="11">
      <formula>D$103="N/A"</formula>
    </cfRule>
  </conditionalFormatting>
  <conditionalFormatting sqref="D152:H152">
    <cfRule type="expression" dxfId="57" priority="10">
      <formula>D$103="N/A"</formula>
    </cfRule>
  </conditionalFormatting>
  <conditionalFormatting sqref="C32:C33">
    <cfRule type="expression" dxfId="56" priority="8">
      <formula>$B$39="n/a"</formula>
    </cfRule>
  </conditionalFormatting>
  <conditionalFormatting sqref="C61:C62">
    <cfRule type="expression" dxfId="55" priority="7">
      <formula>$B$39="n/a"</formula>
    </cfRule>
  </conditionalFormatting>
  <conditionalFormatting sqref="C85:C86">
    <cfRule type="expression" dxfId="54" priority="6">
      <formula>$B$39="n/a"</formula>
    </cfRule>
  </conditionalFormatting>
  <conditionalFormatting sqref="C28:C29">
    <cfRule type="expression" dxfId="53" priority="4">
      <formula>$B$40="n/a"</formula>
    </cfRule>
  </conditionalFormatting>
  <conditionalFormatting sqref="C30">
    <cfRule type="expression" dxfId="52" priority="3">
      <formula>$B$40="n/a"</formula>
    </cfRule>
  </conditionalFormatting>
  <conditionalFormatting sqref="C57:C58">
    <cfRule type="expression" dxfId="51" priority="2">
      <formula>$B$40="n/a"</formula>
    </cfRule>
  </conditionalFormatting>
  <conditionalFormatting sqref="C59">
    <cfRule type="expression" dxfId="50" priority="1">
      <formula>$B$40="n/a"</formula>
    </cfRule>
  </conditionalFormatting>
  <pageMargins left="0.70866141732283472" right="0.70866141732283472" top="0.74803149606299213" bottom="0.74803149606299213" header="0.31496062992125984" footer="0.31496062992125984"/>
  <pageSetup paperSize="8" scale="53" orientation="landscape" r:id="rId1"/>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FFCC"/>
    <pageSetUpPr fitToPage="1"/>
  </sheetPr>
  <dimension ref="A1:M78"/>
  <sheetViews>
    <sheetView showGridLines="0" zoomScaleNormal="100" workbookViewId="0">
      <pane ySplit="7" topLeftCell="A8" activePane="bottomLeft" state="frozen"/>
      <selection pane="bottomLeft" activeCell="E18" sqref="E18"/>
    </sheetView>
  </sheetViews>
  <sheetFormatPr defaultRowHeight="12.4"/>
  <cols>
    <col min="1" max="1" width="8.3515625" customWidth="1"/>
    <col min="2" max="2" width="71.3515625" bestFit="1" customWidth="1"/>
    <col min="3" max="3" width="13.3515625" style="69" customWidth="1"/>
    <col min="4" max="8" width="11.1171875" customWidth="1"/>
    <col min="9" max="9" width="12.87890625" customWidth="1"/>
    <col min="10" max="10" width="12.76171875" customWidth="1"/>
    <col min="11" max="11" width="5.76171875" bestFit="1" customWidth="1"/>
  </cols>
  <sheetData>
    <row r="1" spans="1:11" ht="20.65">
      <c r="A1" s="786" t="s">
        <v>384</v>
      </c>
      <c r="B1" s="403"/>
      <c r="C1" s="404"/>
      <c r="D1" s="405"/>
      <c r="E1" s="405"/>
      <c r="F1" s="405"/>
      <c r="G1" s="405"/>
      <c r="H1" s="405"/>
      <c r="I1" s="397"/>
      <c r="J1" s="397"/>
      <c r="K1" s="785"/>
    </row>
    <row r="2" spans="1:11" ht="20.65">
      <c r="A2" s="293" t="str">
        <f>Licensee</f>
        <v>Cadent-WM</v>
      </c>
      <c r="B2" s="297"/>
      <c r="C2" s="76"/>
      <c r="D2" s="20"/>
      <c r="E2" s="20"/>
      <c r="F2" s="20"/>
      <c r="G2" s="20"/>
      <c r="H2" s="20"/>
      <c r="I2" s="15"/>
      <c r="J2" s="15"/>
      <c r="K2" s="65"/>
    </row>
    <row r="3" spans="1:11" ht="20.65">
      <c r="A3" s="288">
        <f>Reporting_Year</f>
        <v>2022</v>
      </c>
      <c r="B3" s="16" t="str">
        <f>IF(Licensee=Data!$B$81,"not required to be completed","")</f>
        <v/>
      </c>
      <c r="C3" s="584"/>
      <c r="D3" s="585"/>
      <c r="E3" s="585"/>
      <c r="F3" s="585"/>
      <c r="G3" s="585"/>
      <c r="H3" s="585"/>
      <c r="I3" s="576"/>
      <c r="J3" s="576"/>
      <c r="K3" s="119"/>
    </row>
    <row r="4" spans="1:11" s="2" customFormat="1" ht="12.75" customHeight="1">
      <c r="B4" s="3"/>
      <c r="C4" s="69"/>
    </row>
    <row r="5" spans="1:11" s="2" customFormat="1" ht="21.75" customHeight="1">
      <c r="B5" s="3"/>
      <c r="C5" s="69"/>
      <c r="D5" s="151" t="str">
        <f t="shared" ref="D5:I5" si="0">IF(D6&lt;=Reporting_Year,"Actuals","Forecast")</f>
        <v>Actuals</v>
      </c>
      <c r="E5" s="151" t="str">
        <f t="shared" si="0"/>
        <v>Forecast</v>
      </c>
      <c r="F5" s="151" t="str">
        <f t="shared" si="0"/>
        <v>Forecast</v>
      </c>
      <c r="G5" s="151" t="str">
        <f t="shared" si="0"/>
        <v>Forecast</v>
      </c>
      <c r="H5" s="151" t="str">
        <f t="shared" si="0"/>
        <v>Forecast</v>
      </c>
      <c r="I5" s="151" t="str">
        <f t="shared" si="0"/>
        <v>Forecast</v>
      </c>
    </row>
    <row r="6" spans="1:11" s="2" customFormat="1" ht="29.25" customHeight="1">
      <c r="C6" s="69"/>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1" s="2" customFormat="1">
      <c r="C7" s="6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1" s="2" customFormat="1" ht="17.649999999999999">
      <c r="B8" s="447" t="s">
        <v>385</v>
      </c>
      <c r="C8" s="73"/>
      <c r="D8" s="40"/>
      <c r="E8" s="40"/>
      <c r="F8" s="40"/>
      <c r="G8" s="40"/>
      <c r="H8" s="40"/>
      <c r="I8" s="40"/>
      <c r="J8" s="40"/>
      <c r="K8" s="40"/>
    </row>
    <row r="9" spans="1:11" s="2" customFormat="1"/>
    <row r="10" spans="1:11" s="2" customFormat="1"/>
    <row r="11" spans="1:11" s="2" customFormat="1"/>
    <row r="12" spans="1:11" s="2" customFormat="1">
      <c r="A12" s="78" t="s">
        <v>195</v>
      </c>
      <c r="B12" s="5" t="s">
        <v>386</v>
      </c>
      <c r="C12" s="38" t="str">
        <f>Data!$C$9</f>
        <v>£m 18/19</v>
      </c>
      <c r="D12" s="800">
        <v>-7.0993072540795777E-3</v>
      </c>
      <c r="E12" s="800">
        <v>-7.0993072540795777E-3</v>
      </c>
      <c r="F12" s="800">
        <v>-7.0993072540795777E-3</v>
      </c>
      <c r="G12" s="800">
        <v>-7.0993072540795777E-3</v>
      </c>
      <c r="H12" s="800">
        <v>-7.0993072540795777E-3</v>
      </c>
    </row>
    <row r="13" spans="1:11" s="2" customFormat="1" ht="19.5" customHeight="1">
      <c r="A13" s="78"/>
      <c r="B13" s="331" t="s">
        <v>387</v>
      </c>
      <c r="D13" s="106"/>
      <c r="E13" s="106"/>
      <c r="F13" s="106"/>
      <c r="G13" s="106"/>
      <c r="H13" s="106"/>
    </row>
    <row r="14" spans="1:11" s="2" customFormat="1">
      <c r="A14" s="78" t="s">
        <v>196</v>
      </c>
      <c r="B14" s="509" t="str">
        <f>Data!B124</f>
        <v>Customer Satisfaction Survey ODI</v>
      </c>
      <c r="C14" s="38" t="str">
        <f>Data!$C$9</f>
        <v>£m 18/19</v>
      </c>
      <c r="D14" s="801">
        <v>0.51503520948066805</v>
      </c>
      <c r="E14" s="801">
        <v>0.91467023172905271</v>
      </c>
      <c r="F14" s="801">
        <v>1.0962210338680893</v>
      </c>
      <c r="G14" s="801">
        <v>1.3622794117647055</v>
      </c>
      <c r="H14" s="801">
        <v>1.4550000000000001</v>
      </c>
    </row>
    <row r="15" spans="1:11" s="2" customFormat="1">
      <c r="A15" s="78" t="s">
        <v>197</v>
      </c>
      <c r="B15" s="509" t="str">
        <f>Data!B125</f>
        <v>Complaints metric ODI</v>
      </c>
      <c r="C15" s="38" t="str">
        <f>Data!$C$9</f>
        <v>£m 18/19</v>
      </c>
      <c r="D15" s="801">
        <v>0</v>
      </c>
      <c r="E15" s="801">
        <v>0</v>
      </c>
      <c r="F15" s="801">
        <v>0</v>
      </c>
      <c r="G15" s="801">
        <v>0</v>
      </c>
      <c r="H15" s="801">
        <v>0</v>
      </c>
    </row>
    <row r="16" spans="1:11" s="2" customFormat="1">
      <c r="A16" s="78" t="s">
        <v>198</v>
      </c>
      <c r="B16" s="509" t="str">
        <f>Data!B126</f>
        <v>Unplanned Interruption Mean Duration ODI [NGN, SGN and WWU]</v>
      </c>
      <c r="C16" s="38" t="str">
        <f>Data!$C$9</f>
        <v>£m 18/19</v>
      </c>
      <c r="D16" s="801">
        <v>0</v>
      </c>
      <c r="E16" s="801">
        <v>0</v>
      </c>
      <c r="F16" s="801">
        <v>0</v>
      </c>
      <c r="G16" s="801">
        <v>0</v>
      </c>
      <c r="H16" s="801">
        <v>0</v>
      </c>
    </row>
    <row r="17" spans="1:11" s="2" customFormat="1">
      <c r="A17" s="78" t="s">
        <v>199</v>
      </c>
      <c r="B17" s="509" t="str">
        <f>Data!B127</f>
        <v>Unplanned Interruption Mean Duration ODI [Cadent only]</v>
      </c>
      <c r="C17" s="38" t="str">
        <f>Data!$C$9</f>
        <v>£m 18/19</v>
      </c>
      <c r="D17" s="801">
        <v>0</v>
      </c>
      <c r="E17" s="801">
        <v>0</v>
      </c>
      <c r="F17" s="801">
        <v>0</v>
      </c>
      <c r="G17" s="801">
        <v>0</v>
      </c>
      <c r="H17" s="801">
        <v>0</v>
      </c>
    </row>
    <row r="18" spans="1:11" s="2" customFormat="1">
      <c r="A18" s="78" t="s">
        <v>200</v>
      </c>
      <c r="B18" s="509" t="str">
        <f>Data!B128</f>
        <v>Shrinkage Management ODI</v>
      </c>
      <c r="C18" s="38" t="str">
        <f>Data!$C$9</f>
        <v>£m 18/19</v>
      </c>
      <c r="D18" s="801">
        <v>-4.6783422400071299E-3</v>
      </c>
      <c r="E18" s="801">
        <v>0</v>
      </c>
      <c r="F18" s="801">
        <v>0</v>
      </c>
      <c r="G18" s="801">
        <v>0</v>
      </c>
      <c r="H18" s="801">
        <v>0</v>
      </c>
    </row>
    <row r="19" spans="1:11" s="2" customFormat="1">
      <c r="A19" s="78" t="s">
        <v>201</v>
      </c>
      <c r="B19" s="509" t="str">
        <f>Data!B129</f>
        <v>Collaborative streetworks ODI [Cadent Lon &amp; EoE, SGN So only]</v>
      </c>
      <c r="C19" s="38" t="str">
        <f>Data!$C$9</f>
        <v>£m 18/19</v>
      </c>
      <c r="D19" s="801">
        <v>0</v>
      </c>
      <c r="E19" s="801">
        <v>0</v>
      </c>
      <c r="F19" s="801">
        <v>0</v>
      </c>
      <c r="G19" s="801">
        <v>0</v>
      </c>
      <c r="H19" s="801">
        <v>0</v>
      </c>
    </row>
    <row r="20" spans="1:11" s="2" customFormat="1">
      <c r="B20" s="5" t="s">
        <v>388</v>
      </c>
      <c r="C20" s="77" t="str">
        <f>Data!$C$9</f>
        <v>£m 18/19</v>
      </c>
      <c r="D20" s="206">
        <f>SUM(D14:D19)</f>
        <v>0.51035686724066087</v>
      </c>
      <c r="E20" s="206">
        <f>SUM(E14:E19)</f>
        <v>0.91467023172905271</v>
      </c>
      <c r="F20" s="206">
        <f>SUM(F14:F19)</f>
        <v>1.0962210338680893</v>
      </c>
      <c r="G20" s="206">
        <f>SUM(G14:G19)</f>
        <v>1.3622794117647055</v>
      </c>
      <c r="H20" s="206">
        <f>SUM(H14:H19)</f>
        <v>1.4550000000000001</v>
      </c>
    </row>
    <row r="21" spans="1:11" s="2" customFormat="1"/>
    <row r="22" spans="1:11" s="190" customFormat="1" ht="14.25" customHeight="1">
      <c r="A22" s="189"/>
    </row>
    <row r="23" spans="1:11" s="2" customFormat="1">
      <c r="A23" s="415"/>
      <c r="B23" s="416" t="s">
        <v>389</v>
      </c>
      <c r="C23" s="417"/>
      <c r="D23" s="417"/>
      <c r="E23" s="417"/>
      <c r="F23" s="417"/>
      <c r="G23" s="417"/>
      <c r="H23" s="417"/>
      <c r="I23" s="417"/>
      <c r="J23" s="417"/>
    </row>
    <row r="24" spans="1:11" s="2" customFormat="1">
      <c r="A24" s="418" t="s">
        <v>195</v>
      </c>
      <c r="B24" s="850"/>
      <c r="C24" s="850"/>
      <c r="D24" s="850"/>
      <c r="E24" s="850"/>
      <c r="F24" s="850"/>
      <c r="G24" s="850"/>
      <c r="H24" s="850"/>
      <c r="I24" s="850"/>
      <c r="J24" s="850"/>
    </row>
    <row r="25" spans="1:11" s="2" customFormat="1">
      <c r="A25" s="418" t="s">
        <v>196</v>
      </c>
      <c r="B25" s="850"/>
      <c r="C25" s="850"/>
      <c r="D25" s="850"/>
      <c r="E25" s="850"/>
      <c r="F25" s="850"/>
      <c r="G25" s="850"/>
      <c r="H25" s="850"/>
      <c r="I25" s="850"/>
      <c r="J25" s="850"/>
    </row>
    <row r="26" spans="1:11" s="2" customFormat="1">
      <c r="A26" s="418" t="s">
        <v>197</v>
      </c>
      <c r="B26" s="850"/>
      <c r="C26" s="850"/>
      <c r="D26" s="850"/>
      <c r="E26" s="850"/>
      <c r="F26" s="850"/>
      <c r="G26" s="850"/>
      <c r="H26" s="850"/>
      <c r="I26" s="850"/>
      <c r="J26" s="850"/>
    </row>
    <row r="27" spans="1:11" s="2" customFormat="1">
      <c r="A27" s="418" t="s">
        <v>198</v>
      </c>
      <c r="B27" s="850"/>
      <c r="C27" s="850"/>
      <c r="D27" s="850"/>
      <c r="E27" s="850"/>
      <c r="F27" s="850"/>
      <c r="G27" s="850"/>
      <c r="H27" s="850"/>
      <c r="I27" s="850"/>
      <c r="J27" s="850"/>
    </row>
    <row r="28" spans="1:11" s="2" customFormat="1">
      <c r="A28" s="418" t="s">
        <v>199</v>
      </c>
      <c r="B28" s="850"/>
      <c r="C28" s="850"/>
      <c r="D28" s="850"/>
      <c r="E28" s="850"/>
      <c r="F28" s="850"/>
      <c r="G28" s="850"/>
      <c r="H28" s="850"/>
      <c r="I28" s="850"/>
      <c r="J28" s="850"/>
    </row>
    <row r="29" spans="1:11" s="2" customFormat="1">
      <c r="A29" s="418" t="s">
        <v>200</v>
      </c>
      <c r="B29" s="850"/>
      <c r="C29" s="850"/>
      <c r="D29" s="850"/>
      <c r="E29" s="850"/>
      <c r="F29" s="850"/>
      <c r="G29" s="850"/>
      <c r="H29" s="850"/>
      <c r="I29" s="850"/>
      <c r="J29" s="850"/>
    </row>
    <row r="30" spans="1:11" s="2" customFormat="1">
      <c r="A30" s="418" t="s">
        <v>201</v>
      </c>
      <c r="B30" s="850"/>
      <c r="C30" s="850"/>
      <c r="D30" s="850"/>
      <c r="E30" s="850"/>
      <c r="F30" s="850"/>
      <c r="G30" s="850"/>
      <c r="H30" s="850"/>
      <c r="I30" s="850"/>
      <c r="J30" s="850"/>
    </row>
    <row r="31" spans="1:11" s="2" customFormat="1">
      <c r="A31" s="78"/>
      <c r="C31" s="38"/>
      <c r="D31" s="38"/>
      <c r="E31" s="38"/>
      <c r="F31" s="38"/>
      <c r="G31" s="38"/>
      <c r="H31" s="38"/>
      <c r="I31" s="38"/>
      <c r="J31" s="38"/>
    </row>
    <row r="32" spans="1:11" s="2" customFormat="1" ht="20.65">
      <c r="B32" s="447" t="s">
        <v>390</v>
      </c>
      <c r="C32" s="73"/>
      <c r="D32" s="40"/>
      <c r="E32" s="40"/>
      <c r="F32" s="40"/>
      <c r="G32" s="40"/>
      <c r="H32" s="40"/>
      <c r="I32" s="40"/>
      <c r="J32" s="40"/>
      <c r="K32" s="40"/>
    </row>
    <row r="33" spans="1:11" s="2" customFormat="1">
      <c r="A33" s="5"/>
      <c r="C33" s="69"/>
    </row>
    <row r="34" spans="1:11">
      <c r="B34" s="466" t="s">
        <v>391</v>
      </c>
    </row>
    <row r="35" spans="1:11">
      <c r="B35" s="5"/>
    </row>
    <row r="36" spans="1:11" s="2" customFormat="1">
      <c r="A36" s="1" t="s">
        <v>202</v>
      </c>
      <c r="B36" s="5" t="s">
        <v>115</v>
      </c>
      <c r="C36" s="70"/>
      <c r="D36" s="29"/>
      <c r="E36" s="29"/>
      <c r="F36" s="29"/>
      <c r="G36" s="29"/>
      <c r="H36" s="29"/>
    </row>
    <row r="37" spans="1:11" s="2" customFormat="1">
      <c r="B37" s="66" t="s">
        <v>392</v>
      </c>
      <c r="C37" s="38" t="str">
        <f>Data!$C$9</f>
        <v>£m 18/19</v>
      </c>
      <c r="D37" s="306">
        <v>0.31729832764654575</v>
      </c>
      <c r="E37" s="306">
        <v>1.4141070151359709</v>
      </c>
      <c r="F37" s="306">
        <v>1.6445677412011552</v>
      </c>
      <c r="G37" s="306">
        <v>1.6445677412011552</v>
      </c>
      <c r="H37" s="306">
        <v>1.6445677412011552</v>
      </c>
      <c r="I37" s="2" t="s">
        <v>393</v>
      </c>
    </row>
    <row r="38" spans="1:11" s="2" customFormat="1">
      <c r="B38" s="66" t="s">
        <v>394</v>
      </c>
      <c r="C38" s="38" t="str">
        <f>Data!$C$9</f>
        <v>£m 18/19</v>
      </c>
      <c r="D38" s="658">
        <v>0</v>
      </c>
      <c r="E38" s="658">
        <v>0</v>
      </c>
      <c r="F38" s="658">
        <v>0</v>
      </c>
      <c r="G38" s="658">
        <v>0</v>
      </c>
      <c r="H38" s="658">
        <v>0</v>
      </c>
    </row>
    <row r="39" spans="1:11" s="2" customFormat="1">
      <c r="B39" s="66" t="s">
        <v>395</v>
      </c>
      <c r="C39" s="38" t="str">
        <f>Data!$C$9</f>
        <v>£m 18/19</v>
      </c>
      <c r="D39" s="202">
        <v>3.1729832764654575E-2</v>
      </c>
      <c r="E39" s="202">
        <v>0.14141070151359703</v>
      </c>
      <c r="F39" s="202">
        <v>0.1644567741201155</v>
      </c>
      <c r="G39" s="202">
        <v>0.1644567741201155</v>
      </c>
      <c r="H39" s="202">
        <v>0.1644567741201155</v>
      </c>
    </row>
    <row r="40" spans="1:11" s="5" customFormat="1">
      <c r="B40" s="2" t="s">
        <v>396</v>
      </c>
      <c r="C40" s="38" t="str">
        <f>Data!$C$9</f>
        <v>£m 18/19</v>
      </c>
      <c r="D40" s="206">
        <f>D37-D38-D39</f>
        <v>0.28556849488189118</v>
      </c>
      <c r="E40" s="207">
        <f t="shared" ref="E40:H40" si="2">E37-E38-E39</f>
        <v>1.2726963136223739</v>
      </c>
      <c r="F40" s="207">
        <f t="shared" si="2"/>
        <v>1.4801109670810397</v>
      </c>
      <c r="G40" s="207">
        <f t="shared" si="2"/>
        <v>1.4801109670810397</v>
      </c>
      <c r="H40" s="207">
        <f t="shared" si="2"/>
        <v>1.4801109670810397</v>
      </c>
      <c r="I40" s="2"/>
      <c r="J40" s="2"/>
      <c r="K40" s="2"/>
    </row>
    <row r="41" spans="1:11" s="2" customFormat="1">
      <c r="A41" s="3"/>
      <c r="B41" s="5" t="s">
        <v>397</v>
      </c>
      <c r="C41" s="38" t="str">
        <f>Data!$C$9</f>
        <v>£m 18/19</v>
      </c>
      <c r="D41" s="211">
        <f>D38+D39</f>
        <v>3.1729832764654575E-2</v>
      </c>
      <c r="E41" s="211">
        <f t="shared" ref="E41:H41" si="3">E38+E39</f>
        <v>0.14141070151359703</v>
      </c>
      <c r="F41" s="211">
        <f t="shared" si="3"/>
        <v>0.1644567741201155</v>
      </c>
      <c r="G41" s="211">
        <f t="shared" si="3"/>
        <v>0.1644567741201155</v>
      </c>
      <c r="H41" s="211">
        <f t="shared" si="3"/>
        <v>0.1644567741201155</v>
      </c>
    </row>
    <row r="42" spans="1:11" s="2" customFormat="1">
      <c r="A42" s="3"/>
      <c r="B42" s="5"/>
      <c r="C42" s="38"/>
      <c r="D42" s="414"/>
      <c r="E42" s="414"/>
      <c r="F42" s="414"/>
      <c r="G42" s="414"/>
      <c r="H42" s="414"/>
    </row>
    <row r="43" spans="1:11" s="2" customFormat="1">
      <c r="A43" s="1" t="s">
        <v>203</v>
      </c>
      <c r="B43" s="5" t="s">
        <v>116</v>
      </c>
      <c r="C43" s="38"/>
      <c r="D43" s="414"/>
      <c r="E43" s="414"/>
      <c r="F43" s="414"/>
      <c r="G43" s="414"/>
      <c r="H43" s="414"/>
    </row>
    <row r="44" spans="1:11" s="2" customFormat="1" ht="13.5">
      <c r="A44" s="3"/>
      <c r="B44" s="66" t="s">
        <v>398</v>
      </c>
      <c r="C44" s="38" t="str">
        <f>Data!$C$9</f>
        <v>£m 18/19</v>
      </c>
      <c r="D44" s="306">
        <v>0.56045279327622521</v>
      </c>
      <c r="E44" s="554"/>
      <c r="F44" s="554"/>
      <c r="G44" s="554"/>
      <c r="H44" s="554"/>
      <c r="I44" s="2" t="s">
        <v>393</v>
      </c>
    </row>
    <row r="45" spans="1:11" s="2" customFormat="1" ht="13.5">
      <c r="A45" s="3"/>
      <c r="B45" s="66" t="s">
        <v>394</v>
      </c>
      <c r="C45" s="38" t="str">
        <f>Data!$C$9</f>
        <v>£m 18/19</v>
      </c>
      <c r="D45" s="306">
        <v>0</v>
      </c>
      <c r="E45" s="554"/>
      <c r="F45" s="554"/>
      <c r="G45" s="554"/>
      <c r="H45" s="554"/>
    </row>
    <row r="46" spans="1:11" s="2" customFormat="1" ht="13.5">
      <c r="A46" s="3"/>
      <c r="B46" s="66" t="s">
        <v>395</v>
      </c>
      <c r="C46" s="38" t="str">
        <f>Data!$C$9</f>
        <v>£m 18/19</v>
      </c>
      <c r="D46" s="202">
        <v>5.601380660704991E-2</v>
      </c>
      <c r="E46" s="554"/>
      <c r="F46" s="554"/>
      <c r="G46" s="554"/>
      <c r="H46" s="554"/>
    </row>
    <row r="47" spans="1:11" s="2" customFormat="1" ht="13.5">
      <c r="A47" s="3"/>
      <c r="B47" s="2" t="s">
        <v>399</v>
      </c>
      <c r="C47" s="38" t="str">
        <f>Data!$C$9</f>
        <v>£m 18/19</v>
      </c>
      <c r="D47" s="206">
        <f>D44-D45-D46</f>
        <v>0.5044389866691753</v>
      </c>
      <c r="E47" s="554"/>
      <c r="F47" s="554"/>
      <c r="G47" s="554"/>
      <c r="H47" s="554"/>
    </row>
    <row r="48" spans="1:11" ht="13.5">
      <c r="A48" s="91"/>
      <c r="B48" s="5" t="s">
        <v>400</v>
      </c>
      <c r="C48" s="38" t="str">
        <f>Data!$C$9</f>
        <v>£m 18/19</v>
      </c>
      <c r="D48" s="207">
        <f>D45+D46</f>
        <v>5.601380660704991E-2</v>
      </c>
      <c r="E48" s="554"/>
      <c r="F48" s="554"/>
      <c r="G48" s="554"/>
      <c r="H48" s="554"/>
      <c r="I48" s="2"/>
    </row>
    <row r="49" spans="1:11">
      <c r="B49" s="5"/>
      <c r="C49" s="38"/>
      <c r="D49" s="38"/>
      <c r="E49" s="38"/>
      <c r="F49" s="38"/>
      <c r="G49" s="38"/>
      <c r="H49" s="38"/>
      <c r="I49" s="38"/>
    </row>
    <row r="50" spans="1:11">
      <c r="A50" s="1" t="s">
        <v>204</v>
      </c>
      <c r="B50" s="5" t="s">
        <v>117</v>
      </c>
      <c r="C50" s="38"/>
      <c r="D50" s="414"/>
      <c r="E50" s="414"/>
      <c r="F50" s="414"/>
      <c r="G50" s="414"/>
      <c r="H50" s="414"/>
      <c r="I50" s="2"/>
    </row>
    <row r="51" spans="1:11">
      <c r="A51" s="3"/>
      <c r="B51" s="66" t="s">
        <v>401</v>
      </c>
      <c r="C51" s="38" t="str">
        <f>Data!$C$9</f>
        <v>£m 18/19</v>
      </c>
      <c r="D51" s="306">
        <v>0</v>
      </c>
      <c r="E51" s="306">
        <v>9.2646637811764937E-2</v>
      </c>
      <c r="F51" s="306">
        <v>0</v>
      </c>
      <c r="G51" s="306">
        <v>0</v>
      </c>
      <c r="H51" s="306">
        <v>0</v>
      </c>
      <c r="I51" s="2" t="s">
        <v>393</v>
      </c>
    </row>
    <row r="52" spans="1:11">
      <c r="A52" s="3"/>
      <c r="B52" s="66" t="s">
        <v>402</v>
      </c>
      <c r="C52" s="38" t="str">
        <f>Data!$C$9</f>
        <v>£m 18/19</v>
      </c>
      <c r="D52" s="306">
        <v>0</v>
      </c>
      <c r="E52" s="306">
        <v>0</v>
      </c>
      <c r="F52" s="306">
        <v>0</v>
      </c>
      <c r="G52" s="306">
        <v>0</v>
      </c>
      <c r="H52" s="306">
        <v>0</v>
      </c>
      <c r="I52" s="2"/>
    </row>
    <row r="53" spans="1:11">
      <c r="A53" s="3"/>
      <c r="B53" s="66" t="s">
        <v>395</v>
      </c>
      <c r="C53" s="38" t="str">
        <f>Data!$C$9</f>
        <v>£m 18/19</v>
      </c>
      <c r="D53" s="202">
        <v>0</v>
      </c>
      <c r="E53" s="202">
        <v>0</v>
      </c>
      <c r="F53" s="202">
        <v>0</v>
      </c>
      <c r="G53" s="202">
        <v>0</v>
      </c>
      <c r="H53" s="202">
        <v>0</v>
      </c>
      <c r="I53" s="2"/>
    </row>
    <row r="54" spans="1:11">
      <c r="A54" s="3"/>
      <c r="B54" s="2" t="s">
        <v>403</v>
      </c>
      <c r="C54" s="38" t="str">
        <f>Data!$C$9</f>
        <v>£m 18/19</v>
      </c>
      <c r="D54" s="206">
        <f>D51-D52-D53</f>
        <v>0</v>
      </c>
      <c r="E54" s="207">
        <f>E51-E52-E53</f>
        <v>9.2646637811764937E-2</v>
      </c>
      <c r="F54" s="207">
        <f>F51-F52-F53</f>
        <v>0</v>
      </c>
      <c r="G54" s="207">
        <f>G51-G52-G53</f>
        <v>0</v>
      </c>
      <c r="H54" s="207">
        <f>H51-H52-H53</f>
        <v>0</v>
      </c>
      <c r="I54" s="2"/>
    </row>
    <row r="55" spans="1:11">
      <c r="A55" s="91"/>
      <c r="B55" s="5" t="s">
        <v>404</v>
      </c>
      <c r="C55" s="38" t="str">
        <f>Data!$C$9</f>
        <v>£m 18/19</v>
      </c>
      <c r="D55" s="207">
        <f>D52+D53</f>
        <v>0</v>
      </c>
      <c r="E55" s="207">
        <f>E52+E53</f>
        <v>0</v>
      </c>
      <c r="F55" s="207">
        <f>F52+F53</f>
        <v>0</v>
      </c>
      <c r="G55" s="207">
        <f>G52+G53</f>
        <v>0</v>
      </c>
      <c r="H55" s="207">
        <f>H52+H53</f>
        <v>0</v>
      </c>
      <c r="I55" s="2"/>
    </row>
    <row r="56" spans="1:11">
      <c r="B56" s="5"/>
      <c r="C56" s="38"/>
      <c r="D56" s="38"/>
      <c r="E56" s="38"/>
      <c r="F56" s="38"/>
      <c r="G56" s="38"/>
      <c r="H56" s="38"/>
      <c r="I56" s="38"/>
    </row>
    <row r="57" spans="1:11">
      <c r="B57" s="5"/>
      <c r="C57" s="38"/>
      <c r="D57" s="38"/>
      <c r="E57" s="38"/>
      <c r="F57" s="38"/>
      <c r="G57" s="38"/>
      <c r="H57" s="38"/>
      <c r="I57" s="38"/>
    </row>
    <row r="58" spans="1:11" s="2" customFormat="1">
      <c r="B58" s="466" t="s">
        <v>405</v>
      </c>
      <c r="C58" s="69"/>
    </row>
    <row r="59" spans="1:11" s="2" customFormat="1" ht="15.4">
      <c r="B59" s="139" t="s">
        <v>406</v>
      </c>
      <c r="C59" s="649" t="s">
        <v>407</v>
      </c>
      <c r="D59" s="139"/>
      <c r="E59" s="139"/>
      <c r="F59" s="139"/>
      <c r="G59" s="139"/>
      <c r="H59" s="139"/>
      <c r="I59" s="139"/>
      <c r="J59" s="139"/>
      <c r="K59" s="139"/>
    </row>
    <row r="60" spans="1:11" s="2" customFormat="1">
      <c r="B60" s="511" t="s">
        <v>408</v>
      </c>
      <c r="C60" s="69"/>
    </row>
    <row r="61" spans="1:11" s="2" customFormat="1" ht="19.149999999999999" customHeight="1">
      <c r="A61" s="78"/>
      <c r="B61" s="331" t="s">
        <v>409</v>
      </c>
    </row>
    <row r="62" spans="1:11" s="2" customFormat="1" ht="14.65" customHeight="1">
      <c r="A62" s="78" t="s">
        <v>205</v>
      </c>
      <c r="B62" s="448" t="str">
        <f>Data!B187</f>
        <v/>
      </c>
      <c r="C62" s="38" t="str">
        <f>Data!$C$9</f>
        <v>£m 18/19</v>
      </c>
      <c r="D62" s="586">
        <v>0</v>
      </c>
      <c r="E62" s="586">
        <v>0</v>
      </c>
      <c r="F62" s="586">
        <v>0</v>
      </c>
      <c r="G62" s="586">
        <v>0</v>
      </c>
      <c r="H62" s="586">
        <v>0</v>
      </c>
    </row>
    <row r="63" spans="1:11" s="2" customFormat="1" ht="14.65" customHeight="1">
      <c r="A63" s="78" t="s">
        <v>206</v>
      </c>
      <c r="B63" s="448" t="str">
        <f>Data!B188</f>
        <v/>
      </c>
      <c r="C63" s="38" t="str">
        <f>Data!$C$9</f>
        <v>£m 18/19</v>
      </c>
      <c r="D63" s="586">
        <v>0</v>
      </c>
      <c r="E63" s="586">
        <v>0</v>
      </c>
      <c r="F63" s="586">
        <v>0</v>
      </c>
      <c r="G63" s="586">
        <v>0</v>
      </c>
      <c r="H63" s="586">
        <v>0</v>
      </c>
    </row>
    <row r="64" spans="1:11" s="2" customFormat="1" ht="14.65" customHeight="1">
      <c r="A64" s="78" t="s">
        <v>207</v>
      </c>
      <c r="B64" s="448" t="str">
        <f>Data!B189</f>
        <v/>
      </c>
      <c r="C64" s="38" t="str">
        <f>Data!$C$9</f>
        <v>£m 18/19</v>
      </c>
      <c r="D64" s="586">
        <v>0</v>
      </c>
      <c r="E64" s="586">
        <v>0</v>
      </c>
      <c r="F64" s="586">
        <v>0</v>
      </c>
      <c r="G64" s="586">
        <v>0</v>
      </c>
      <c r="H64" s="586">
        <v>0</v>
      </c>
    </row>
    <row r="65" spans="1:13" s="2" customFormat="1" ht="14.65" customHeight="1">
      <c r="A65" s="78" t="s">
        <v>208</v>
      </c>
      <c r="B65" s="448" t="str">
        <f>Data!B190</f>
        <v/>
      </c>
      <c r="C65" s="38" t="str">
        <f>Data!$C$9</f>
        <v>£m 18/19</v>
      </c>
      <c r="D65" s="586">
        <v>0</v>
      </c>
      <c r="E65" s="586">
        <v>0</v>
      </c>
      <c r="F65" s="586">
        <v>0</v>
      </c>
      <c r="G65" s="586">
        <v>0</v>
      </c>
      <c r="H65" s="586">
        <v>0</v>
      </c>
    </row>
    <row r="66" spans="1:13" s="2" customFormat="1" ht="14.65" customHeight="1">
      <c r="A66" s="78" t="s">
        <v>209</v>
      </c>
      <c r="B66" s="448" t="str">
        <f>Data!B191</f>
        <v/>
      </c>
      <c r="C66" s="38" t="str">
        <f>Data!$C$9</f>
        <v>£m 18/19</v>
      </c>
      <c r="D66" s="586">
        <v>0</v>
      </c>
      <c r="E66" s="586">
        <v>0</v>
      </c>
      <c r="F66" s="586">
        <v>0</v>
      </c>
      <c r="G66" s="586">
        <v>0</v>
      </c>
      <c r="H66" s="586">
        <v>0</v>
      </c>
    </row>
    <row r="67" spans="1:13" s="2" customFormat="1" ht="14.65" customHeight="1">
      <c r="B67" s="5"/>
      <c r="C67" s="77" t="str">
        <f>Data!$C$9</f>
        <v>£m 18/19</v>
      </c>
      <c r="D67" s="206">
        <f>SUM(D62:D66)</f>
        <v>0</v>
      </c>
      <c r="E67" s="206">
        <f>SUM(E62:E66)</f>
        <v>0</v>
      </c>
      <c r="F67" s="206">
        <f>SUM(F62:F66)</f>
        <v>0</v>
      </c>
      <c r="G67" s="206">
        <f>SUM(G62:G66)</f>
        <v>0</v>
      </c>
      <c r="H67" s="206">
        <f>SUM(H62:H66)</f>
        <v>0</v>
      </c>
    </row>
    <row r="68" spans="1:13" s="2" customFormat="1" ht="14.65" customHeight="1">
      <c r="B68" s="5"/>
      <c r="C68" s="77"/>
      <c r="D68" s="77"/>
      <c r="E68" s="77"/>
      <c r="F68" s="77"/>
      <c r="G68" s="77"/>
      <c r="H68" s="77"/>
      <c r="I68" s="77"/>
    </row>
    <row r="69" spans="1:13" s="190" customFormat="1" ht="14.25" customHeight="1">
      <c r="A69" s="189"/>
      <c r="M69" s="2"/>
    </row>
    <row r="70" spans="1:13" s="2" customFormat="1">
      <c r="A70" s="415"/>
      <c r="B70" s="416" t="s">
        <v>389</v>
      </c>
      <c r="C70" s="417"/>
      <c r="D70" s="417"/>
      <c r="E70" s="417"/>
      <c r="F70" s="417"/>
      <c r="G70" s="417"/>
      <c r="H70" s="417"/>
      <c r="I70" s="417"/>
      <c r="J70" s="417"/>
    </row>
    <row r="71" spans="1:13" s="2" customFormat="1">
      <c r="A71" s="418" t="s">
        <v>202</v>
      </c>
      <c r="B71" s="416"/>
      <c r="C71" s="417"/>
      <c r="D71" s="417"/>
      <c r="E71" s="417"/>
      <c r="F71" s="417"/>
      <c r="G71" s="417"/>
      <c r="H71" s="417"/>
      <c r="I71" s="417"/>
      <c r="J71" s="417"/>
    </row>
    <row r="72" spans="1:13" s="2" customFormat="1">
      <c r="A72" s="418" t="s">
        <v>203</v>
      </c>
      <c r="B72" s="416"/>
      <c r="C72" s="417"/>
      <c r="D72" s="417"/>
      <c r="E72" s="417"/>
      <c r="F72" s="417"/>
      <c r="G72" s="417"/>
      <c r="H72" s="417"/>
      <c r="I72" s="417"/>
      <c r="J72" s="417"/>
    </row>
    <row r="73" spans="1:13" s="2" customFormat="1">
      <c r="A73" s="418" t="s">
        <v>204</v>
      </c>
      <c r="B73" s="850"/>
      <c r="C73" s="850"/>
      <c r="D73" s="850"/>
      <c r="E73" s="850"/>
      <c r="F73" s="850"/>
      <c r="G73" s="850"/>
      <c r="H73" s="850"/>
      <c r="I73" s="850"/>
      <c r="J73" s="850"/>
    </row>
    <row r="74" spans="1:13" s="2" customFormat="1">
      <c r="A74" s="418" t="s">
        <v>205</v>
      </c>
      <c r="B74" s="850"/>
      <c r="C74" s="850"/>
      <c r="D74" s="850"/>
      <c r="E74" s="850"/>
      <c r="F74" s="850"/>
      <c r="G74" s="850"/>
      <c r="H74" s="850"/>
      <c r="I74" s="850"/>
      <c r="J74" s="850"/>
    </row>
    <row r="75" spans="1:13" s="2" customFormat="1">
      <c r="A75" s="418" t="s">
        <v>206</v>
      </c>
      <c r="B75" s="850"/>
      <c r="C75" s="850"/>
      <c r="D75" s="850"/>
      <c r="E75" s="850"/>
      <c r="F75" s="850"/>
      <c r="G75" s="850"/>
      <c r="H75" s="850"/>
      <c r="I75" s="850"/>
      <c r="J75" s="850"/>
    </row>
    <row r="76" spans="1:13" s="2" customFormat="1">
      <c r="A76" s="418" t="s">
        <v>207</v>
      </c>
      <c r="B76" s="850"/>
      <c r="C76" s="850"/>
      <c r="D76" s="850"/>
      <c r="E76" s="850"/>
      <c r="F76" s="850"/>
      <c r="G76" s="850"/>
      <c r="H76" s="850"/>
      <c r="I76" s="850"/>
      <c r="J76" s="850"/>
    </row>
    <row r="77" spans="1:13" s="2" customFormat="1">
      <c r="A77" s="418" t="s">
        <v>208</v>
      </c>
      <c r="B77" s="374"/>
      <c r="C77" s="374"/>
      <c r="D77" s="374"/>
      <c r="E77" s="374"/>
      <c r="F77" s="374"/>
      <c r="G77" s="374"/>
      <c r="H77" s="374"/>
      <c r="I77" s="374"/>
      <c r="J77" s="374"/>
    </row>
    <row r="78" spans="1:13" s="2" customFormat="1">
      <c r="A78" s="418" t="s">
        <v>209</v>
      </c>
      <c r="B78" s="850"/>
      <c r="C78" s="850"/>
      <c r="D78" s="850"/>
      <c r="E78" s="850"/>
      <c r="F78" s="850"/>
      <c r="G78" s="850"/>
      <c r="H78" s="850"/>
      <c r="I78" s="850"/>
      <c r="J78" s="850"/>
    </row>
  </sheetData>
  <mergeCells count="12">
    <mergeCell ref="B24:J24"/>
    <mergeCell ref="B78:J78"/>
    <mergeCell ref="B73:J73"/>
    <mergeCell ref="B74:J74"/>
    <mergeCell ref="B75:J75"/>
    <mergeCell ref="B76:J76"/>
    <mergeCell ref="B30:J30"/>
    <mergeCell ref="B25:J25"/>
    <mergeCell ref="B26:J26"/>
    <mergeCell ref="B27:J27"/>
    <mergeCell ref="B28:J28"/>
    <mergeCell ref="B29:J29"/>
  </mergeCells>
  <conditionalFormatting sqref="D5:G6 I5">
    <cfRule type="expression" dxfId="49" priority="33">
      <formula>AND(D$5="Actuals",E$5="Forecast")</formula>
    </cfRule>
  </conditionalFormatting>
  <conditionalFormatting sqref="H5:H6">
    <cfRule type="expression" dxfId="48" priority="237">
      <formula>AND(H$5="Actuals",#REF!="Forecast")</formula>
    </cfRule>
  </conditionalFormatting>
  <conditionalFormatting sqref="D7:H7">
    <cfRule type="expression" dxfId="47" priority="1">
      <formula>AND(D$5="Actuals",E$5="Forecast")</formula>
    </cfRule>
  </conditionalFormatting>
  <pageMargins left="0.70866141732283472" right="0.70866141732283472" top="0.74803149606299213" bottom="0.74803149606299213" header="0.31496062992125984" footer="0.31496062992125984"/>
  <pageSetup paperSize="8" fitToHeight="2" orientation="landscape" r:id="rId1"/>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FFFFCC"/>
    <pageSetUpPr fitToPage="1"/>
  </sheetPr>
  <dimension ref="A1:L91"/>
  <sheetViews>
    <sheetView showGridLines="0" tabSelected="1" zoomScale="67" zoomScaleNormal="100" workbookViewId="0">
      <pane ySplit="7" topLeftCell="A8" activePane="bottomLeft" state="frozen"/>
      <selection activeCell="B1" sqref="B1"/>
      <selection pane="bottomLeft" activeCell="B26" sqref="B26"/>
    </sheetView>
  </sheetViews>
  <sheetFormatPr defaultRowHeight="12.4"/>
  <cols>
    <col min="1" max="1" width="8.3515625" customWidth="1"/>
    <col min="2" max="2" width="101.76171875" customWidth="1"/>
    <col min="3" max="3" width="14.1171875" customWidth="1"/>
    <col min="4" max="8" width="11.1171875" customWidth="1"/>
    <col min="9" max="10" width="12.87890625" customWidth="1"/>
    <col min="11" max="11" width="5" customWidth="1"/>
  </cols>
  <sheetData>
    <row r="1" spans="1:11" ht="20.65">
      <c r="A1" s="776" t="s">
        <v>177</v>
      </c>
      <c r="B1" s="395"/>
      <c r="C1" s="396"/>
      <c r="D1" s="396"/>
      <c r="E1" s="396"/>
      <c r="F1" s="396"/>
      <c r="G1" s="396"/>
      <c r="H1" s="396"/>
      <c r="I1" s="397"/>
      <c r="J1" s="397"/>
      <c r="K1" s="785"/>
    </row>
    <row r="2" spans="1:11" ht="20.65">
      <c r="A2" s="293" t="str">
        <f>Licensee</f>
        <v>Cadent-WM</v>
      </c>
      <c r="B2" s="288"/>
      <c r="C2" s="16"/>
      <c r="D2" s="16"/>
      <c r="E2" s="16"/>
      <c r="F2" s="16"/>
      <c r="G2" s="16"/>
      <c r="H2" s="16"/>
      <c r="I2" s="15"/>
      <c r="J2" s="15"/>
      <c r="K2" s="65"/>
    </row>
    <row r="3" spans="1:11" ht="20.65">
      <c r="A3" s="288">
        <f>Reporting_Year</f>
        <v>2022</v>
      </c>
      <c r="B3" s="587" t="str">
        <f>IF('RFPR cover'!C7=Data!B78,"Not required to be completed for System Operator","")</f>
        <v/>
      </c>
      <c r="C3" s="588"/>
      <c r="D3" s="575"/>
      <c r="E3" s="575"/>
      <c r="F3" s="575"/>
      <c r="G3" s="575"/>
      <c r="H3" s="575"/>
      <c r="I3" s="576"/>
      <c r="J3" s="576"/>
      <c r="K3" s="119"/>
    </row>
    <row r="4" spans="1:11" ht="12.75" customHeight="1">
      <c r="A4" s="22"/>
      <c r="B4" s="22"/>
      <c r="C4" s="22"/>
      <c r="D4" s="22"/>
      <c r="E4" s="22"/>
      <c r="F4" s="22"/>
      <c r="G4" s="22"/>
      <c r="H4" s="22"/>
      <c r="I4" s="19"/>
    </row>
    <row r="5" spans="1:11" s="2" customFormat="1">
      <c r="B5" s="3"/>
      <c r="C5" s="3"/>
      <c r="D5" s="151" t="str">
        <f t="shared" ref="D5:I5" si="0">IF(D6&lt;=Reporting_Year,"Actuals","Forecast")</f>
        <v>Actuals</v>
      </c>
      <c r="E5" s="151" t="str">
        <f t="shared" si="0"/>
        <v>Forecast</v>
      </c>
      <c r="F5" s="151" t="str">
        <f t="shared" si="0"/>
        <v>Forecast</v>
      </c>
      <c r="G5" s="151" t="str">
        <f t="shared" si="0"/>
        <v>Forecast</v>
      </c>
      <c r="H5" s="151" t="str">
        <f t="shared" si="0"/>
        <v>Forecast</v>
      </c>
      <c r="I5" s="151" t="str">
        <f t="shared" si="0"/>
        <v>Forecast</v>
      </c>
    </row>
    <row r="6" spans="1:11" s="2" customFormat="1" ht="24.75">
      <c r="D6" s="62">
        <f>'RFPR cover'!$C$6</f>
        <v>2022</v>
      </c>
      <c r="E6" s="63">
        <f>D6+1</f>
        <v>2023</v>
      </c>
      <c r="F6" s="63">
        <f t="shared" ref="F6:H6" si="1">E6+1</f>
        <v>2024</v>
      </c>
      <c r="G6" s="63">
        <f t="shared" si="1"/>
        <v>2025</v>
      </c>
      <c r="H6" s="87">
        <f t="shared" si="1"/>
        <v>2026</v>
      </c>
      <c r="I6" s="419" t="str">
        <f>"Cumulative to "&amp;'RFPR cover'!$C$9</f>
        <v>Cumulative to 2022</v>
      </c>
      <c r="J6" s="124" t="s">
        <v>191</v>
      </c>
    </row>
    <row r="7" spans="1:11"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row>
    <row r="8" spans="1:11" s="2" customFormat="1"/>
    <row r="9" spans="1:11">
      <c r="B9" s="173" t="str">
        <f>'[7]R5a - Financing input (8)'!C494</f>
        <v>Net Interest Per Statutory Accounts</v>
      </c>
      <c r="C9" s="75" t="s">
        <v>230</v>
      </c>
      <c r="D9" s="141">
        <v>316.35346812999995</v>
      </c>
      <c r="E9" s="150">
        <v>349.81853859483914</v>
      </c>
      <c r="F9" s="150">
        <v>223.14880333349785</v>
      </c>
      <c r="G9" s="150">
        <v>142.31765986945587</v>
      </c>
      <c r="H9" s="150">
        <v>135.82065220276215</v>
      </c>
      <c r="I9" s="2"/>
      <c r="J9" s="2"/>
    </row>
    <row r="10" spans="1:11">
      <c r="B10" s="6"/>
      <c r="C10" s="75"/>
      <c r="D10" s="105"/>
      <c r="E10" s="105"/>
      <c r="F10" s="105"/>
      <c r="G10" s="105"/>
      <c r="H10" s="105"/>
      <c r="I10" s="2"/>
      <c r="J10" s="2"/>
    </row>
    <row r="11" spans="1:11">
      <c r="B11" s="6" t="s">
        <v>410</v>
      </c>
      <c r="C11" s="8"/>
      <c r="D11" s="106"/>
      <c r="E11" s="106"/>
      <c r="F11" s="106"/>
      <c r="G11" s="106"/>
      <c r="H11" s="106"/>
      <c r="I11" s="2"/>
      <c r="J11" s="2"/>
    </row>
    <row r="12" spans="1:11">
      <c r="B12" s="146" t="s">
        <v>711</v>
      </c>
      <c r="C12" s="75" t="s">
        <v>230</v>
      </c>
      <c r="D12" s="141">
        <v>0</v>
      </c>
      <c r="E12" s="150">
        <v>0</v>
      </c>
      <c r="F12" s="150">
        <v>0</v>
      </c>
      <c r="G12" s="150">
        <v>0</v>
      </c>
      <c r="H12" s="150">
        <v>0</v>
      </c>
      <c r="I12" s="2"/>
      <c r="J12" s="2"/>
    </row>
    <row r="13" spans="1:11">
      <c r="B13" s="146" t="s">
        <v>712</v>
      </c>
      <c r="C13" s="75" t="s">
        <v>230</v>
      </c>
      <c r="D13" s="141">
        <v>13.819698439999998</v>
      </c>
      <c r="E13" s="150">
        <v>14.96322958010192</v>
      </c>
      <c r="F13" s="150">
        <v>14.905348456756219</v>
      </c>
      <c r="G13" s="150">
        <v>4.3884096321586084</v>
      </c>
      <c r="H13" s="150">
        <v>3.2317871291445783</v>
      </c>
      <c r="I13" s="2"/>
      <c r="J13" s="2"/>
    </row>
    <row r="14" spans="1:11">
      <c r="B14" s="146" t="s">
        <v>713</v>
      </c>
      <c r="C14" s="75" t="s">
        <v>230</v>
      </c>
      <c r="D14" s="141">
        <v>0</v>
      </c>
      <c r="E14" s="150">
        <v>0</v>
      </c>
      <c r="F14" s="150">
        <v>0</v>
      </c>
      <c r="G14" s="150">
        <v>0</v>
      </c>
      <c r="H14" s="150">
        <v>0</v>
      </c>
      <c r="I14" s="2"/>
      <c r="J14" s="2"/>
    </row>
    <row r="15" spans="1:11">
      <c r="B15" s="146" t="s">
        <v>714</v>
      </c>
      <c r="C15" s="75" t="s">
        <v>230</v>
      </c>
      <c r="D15" s="141">
        <v>0</v>
      </c>
      <c r="E15" s="150">
        <v>0</v>
      </c>
      <c r="F15" s="150">
        <v>0</v>
      </c>
      <c r="G15" s="150">
        <v>0</v>
      </c>
      <c r="H15" s="150">
        <v>0</v>
      </c>
      <c r="I15" s="2"/>
      <c r="J15" s="2"/>
    </row>
    <row r="16" spans="1:11">
      <c r="B16" s="146" t="s">
        <v>715</v>
      </c>
      <c r="C16" s="75" t="s">
        <v>230</v>
      </c>
      <c r="D16" s="141">
        <v>0</v>
      </c>
      <c r="E16" s="150">
        <v>0</v>
      </c>
      <c r="F16" s="150">
        <v>0</v>
      </c>
      <c r="G16" s="150">
        <v>0</v>
      </c>
      <c r="H16" s="150">
        <v>0</v>
      </c>
      <c r="I16" s="2"/>
      <c r="J16" s="2"/>
    </row>
    <row r="17" spans="2:9">
      <c r="B17" s="146" t="s">
        <v>716</v>
      </c>
      <c r="C17" s="75" t="s">
        <v>230</v>
      </c>
      <c r="D17" s="141">
        <v>9</v>
      </c>
      <c r="E17" s="150">
        <v>8.8368363520757018</v>
      </c>
      <c r="F17" s="150">
        <v>8.7918003117010972</v>
      </c>
      <c r="G17" s="150">
        <v>8.7367111929130274</v>
      </c>
      <c r="H17" s="150">
        <v>8.7081470177787939</v>
      </c>
      <c r="I17" s="2"/>
    </row>
    <row r="18" spans="2:9">
      <c r="B18" s="146" t="s">
        <v>717</v>
      </c>
      <c r="C18" s="75" t="s">
        <v>230</v>
      </c>
      <c r="D18" s="141">
        <v>-4.5332836099999936</v>
      </c>
      <c r="E18" s="150">
        <v>-4.8526937819064493</v>
      </c>
      <c r="F18" s="150">
        <v>-5.0141185718352901</v>
      </c>
      <c r="G18" s="150">
        <v>-4.714381550817734</v>
      </c>
      <c r="H18" s="150">
        <v>-3.9335758278285597</v>
      </c>
      <c r="I18" s="2"/>
    </row>
    <row r="19" spans="2:9" ht="12.75" customHeight="1">
      <c r="B19" s="146" t="s">
        <v>718</v>
      </c>
      <c r="C19" s="75" t="s">
        <v>230</v>
      </c>
      <c r="D19" s="141">
        <v>-0.2824158799999999</v>
      </c>
      <c r="E19" s="150">
        <v>-0.6590467065819986</v>
      </c>
      <c r="F19" s="150">
        <v>-0.65904689418199869</v>
      </c>
      <c r="G19" s="150">
        <v>-0.65904689418199869</v>
      </c>
      <c r="H19" s="150">
        <v>-0.33074689418199871</v>
      </c>
      <c r="I19" s="2"/>
    </row>
    <row r="20" spans="2:9">
      <c r="B20" s="146" t="s">
        <v>719</v>
      </c>
      <c r="C20" s="75" t="s">
        <v>230</v>
      </c>
      <c r="D20" s="141">
        <v>0</v>
      </c>
      <c r="E20" s="150">
        <v>0</v>
      </c>
      <c r="F20" s="150">
        <v>0</v>
      </c>
      <c r="G20" s="150">
        <v>0</v>
      </c>
      <c r="H20" s="150">
        <v>0</v>
      </c>
      <c r="I20" s="2"/>
    </row>
    <row r="21" spans="2:9">
      <c r="B21" s="146" t="s">
        <v>720</v>
      </c>
      <c r="C21" s="75" t="s">
        <v>230</v>
      </c>
      <c r="D21" s="141">
        <v>-0.28329284999999998</v>
      </c>
      <c r="E21" s="150">
        <v>-0.3</v>
      </c>
      <c r="F21" s="150">
        <v>-0.3</v>
      </c>
      <c r="G21" s="150">
        <v>-0.3</v>
      </c>
      <c r="H21" s="150">
        <v>-0.3</v>
      </c>
      <c r="I21" s="2"/>
    </row>
    <row r="22" spans="2:9">
      <c r="B22" s="146" t="s">
        <v>721</v>
      </c>
      <c r="C22" s="75" t="s">
        <v>230</v>
      </c>
      <c r="D22" s="141">
        <v>-2.0715935500000002</v>
      </c>
      <c r="E22" s="150">
        <v>-1.5596520808686549</v>
      </c>
      <c r="F22" s="150">
        <v>-1.5596518008686546</v>
      </c>
      <c r="G22" s="150">
        <v>-1.5596520808686549</v>
      </c>
      <c r="H22" s="150">
        <v>-1.5596520808686549</v>
      </c>
      <c r="I22" s="2"/>
    </row>
    <row r="23" spans="2:9">
      <c r="B23" s="146" t="s">
        <v>722</v>
      </c>
      <c r="C23" s="75" t="s">
        <v>230</v>
      </c>
      <c r="D23" s="141">
        <v>-77.819520879999999</v>
      </c>
      <c r="E23" s="150">
        <v>0</v>
      </c>
      <c r="F23" s="150">
        <v>0</v>
      </c>
      <c r="G23" s="150">
        <v>0</v>
      </c>
      <c r="H23" s="150">
        <v>0</v>
      </c>
      <c r="I23" s="2"/>
    </row>
    <row r="24" spans="2:9">
      <c r="B24" s="146" t="s">
        <v>723</v>
      </c>
      <c r="C24" s="75" t="s">
        <v>230</v>
      </c>
      <c r="D24" s="141">
        <v>0</v>
      </c>
      <c r="E24" s="150">
        <v>0</v>
      </c>
      <c r="F24" s="150">
        <v>0</v>
      </c>
      <c r="G24" s="150">
        <v>0</v>
      </c>
      <c r="H24" s="150">
        <v>0</v>
      </c>
      <c r="I24" s="2"/>
    </row>
    <row r="25" spans="2:9">
      <c r="B25" s="146" t="s">
        <v>724</v>
      </c>
      <c r="C25" s="75" t="s">
        <v>230</v>
      </c>
      <c r="D25" s="141">
        <v>76.301751127434784</v>
      </c>
      <c r="E25" s="150">
        <v>68.25365874256029</v>
      </c>
      <c r="F25" s="150">
        <v>54.487363216055257</v>
      </c>
      <c r="G25" s="150">
        <v>44.605492299657257</v>
      </c>
      <c r="H25" s="150">
        <v>43.356358075206941</v>
      </c>
      <c r="I25" s="2"/>
    </row>
    <row r="26" spans="2:9">
      <c r="B26" s="146" t="s">
        <v>725</v>
      </c>
      <c r="C26" s="75" t="s">
        <v>230</v>
      </c>
      <c r="D26" s="141">
        <v>-271.20176415173052</v>
      </c>
      <c r="E26" s="150">
        <v>-356.63052763643412</v>
      </c>
      <c r="F26" s="150">
        <v>-241.32772909919365</v>
      </c>
      <c r="G26" s="150">
        <v>-158.49408820895604</v>
      </c>
      <c r="H26" s="150">
        <v>-152.11643126634593</v>
      </c>
      <c r="I26" s="2"/>
    </row>
    <row r="27" spans="2:9">
      <c r="B27" s="146" t="s">
        <v>726</v>
      </c>
      <c r="C27" s="75" t="s">
        <v>230</v>
      </c>
      <c r="D27" s="141">
        <v>0</v>
      </c>
      <c r="E27" s="150">
        <v>0</v>
      </c>
      <c r="F27" s="150">
        <v>0</v>
      </c>
      <c r="G27" s="150">
        <v>0</v>
      </c>
      <c r="H27" s="150">
        <v>0</v>
      </c>
      <c r="I27" s="2"/>
    </row>
    <row r="28" spans="2:9">
      <c r="B28" s="146" t="s">
        <v>726</v>
      </c>
      <c r="C28" s="75" t="s">
        <v>230</v>
      </c>
      <c r="D28" s="141">
        <v>0</v>
      </c>
      <c r="E28" s="150">
        <v>0</v>
      </c>
      <c r="F28" s="150">
        <v>0</v>
      </c>
      <c r="G28" s="150">
        <v>0</v>
      </c>
      <c r="H28" s="150">
        <v>0</v>
      </c>
      <c r="I28" s="2"/>
    </row>
    <row r="29" spans="2:9">
      <c r="B29" s="375" t="s">
        <v>290</v>
      </c>
      <c r="C29" s="75" t="s">
        <v>230</v>
      </c>
      <c r="D29" s="71">
        <f>SUM(D9,D12:D28)</f>
        <v>59.283046775704236</v>
      </c>
      <c r="E29" s="72">
        <f t="shared" ref="E29:H29" si="2">SUM(E9,E12:E28)</f>
        <v>77.870343063785811</v>
      </c>
      <c r="F29" s="72">
        <f t="shared" si="2"/>
        <v>52.472768951930817</v>
      </c>
      <c r="G29" s="72">
        <f t="shared" si="2"/>
        <v>34.321104259360311</v>
      </c>
      <c r="H29" s="72">
        <f t="shared" si="2"/>
        <v>32.876538355667321</v>
      </c>
      <c r="I29" s="2"/>
    </row>
    <row r="30" spans="2:9" ht="13.5">
      <c r="B30" s="147" t="s">
        <v>411</v>
      </c>
      <c r="C30" s="75" t="s">
        <v>230</v>
      </c>
      <c r="D30" s="554"/>
      <c r="E30" s="201">
        <v>0.45713908279638926</v>
      </c>
      <c r="F30" s="201">
        <v>2.818308</v>
      </c>
      <c r="G30" s="201">
        <v>4.1655897223178417</v>
      </c>
      <c r="H30" s="201">
        <v>6.905434232832711</v>
      </c>
      <c r="I30" s="2"/>
    </row>
    <row r="31" spans="2:9">
      <c r="B31" s="375" t="s">
        <v>412</v>
      </c>
      <c r="C31" s="75" t="s">
        <v>230</v>
      </c>
      <c r="D31" s="71">
        <f>SUM(D29:D30)</f>
        <v>59.283046775704236</v>
      </c>
      <c r="E31" s="72">
        <f t="shared" ref="E31:H31" si="3">SUM(E29:E30)</f>
        <v>78.327482146582199</v>
      </c>
      <c r="F31" s="72">
        <f t="shared" si="3"/>
        <v>55.291076951930819</v>
      </c>
      <c r="G31" s="72">
        <f t="shared" si="3"/>
        <v>38.486693981678151</v>
      </c>
      <c r="H31" s="72">
        <f t="shared" si="3"/>
        <v>39.781972588500032</v>
      </c>
      <c r="I31" s="2"/>
    </row>
    <row r="32" spans="2:9">
      <c r="B32" s="88" t="s">
        <v>413</v>
      </c>
      <c r="C32" s="75" t="s">
        <v>230</v>
      </c>
      <c r="D32" s="201">
        <v>59.283046775704236</v>
      </c>
      <c r="E32" s="201">
        <v>78.327482146582199</v>
      </c>
      <c r="F32" s="201">
        <v>55.291076951930819</v>
      </c>
      <c r="G32" s="201">
        <v>38.486693981678151</v>
      </c>
      <c r="H32" s="201">
        <v>39.781972588500032</v>
      </c>
      <c r="I32" s="2"/>
    </row>
    <row r="33" spans="2:11">
      <c r="B33" s="88" t="s">
        <v>414</v>
      </c>
      <c r="C33" s="75" t="s">
        <v>230</v>
      </c>
      <c r="D33" s="201">
        <v>0</v>
      </c>
      <c r="E33" s="201">
        <v>0</v>
      </c>
      <c r="F33" s="201">
        <v>0</v>
      </c>
      <c r="G33" s="201">
        <v>0</v>
      </c>
      <c r="H33" s="201">
        <v>0</v>
      </c>
      <c r="I33" s="2"/>
    </row>
    <row r="34" spans="2:11">
      <c r="B34" s="88"/>
      <c r="D34" s="103" t="str">
        <f>IF(ABS(D31-SUM(D32:D33))&lt;Data!$F$7,"OK","ERROR")</f>
        <v>OK</v>
      </c>
      <c r="E34" s="104" t="str">
        <f>IF(ABS(E31-SUM(E32:E33))&lt;Data!$F$7,"OK","ERROR")</f>
        <v>OK</v>
      </c>
      <c r="F34" s="104" t="str">
        <f>IF(ABS(F31-SUM(F32:F33))&lt;Data!$F$7,"OK","ERROR")</f>
        <v>OK</v>
      </c>
      <c r="G34" s="104" t="str">
        <f>IF(ABS(G31-SUM(G32:G33))&lt;Data!$F$7,"OK","ERROR")</f>
        <v>OK</v>
      </c>
      <c r="H34" s="104" t="str">
        <f>IF(ABS(H31-SUM(H32:H33))&lt;Data!$F$7,"OK","ERROR")</f>
        <v>OK</v>
      </c>
      <c r="I34" s="2"/>
    </row>
    <row r="35" spans="2:11">
      <c r="D35" s="12"/>
      <c r="E35" s="12"/>
      <c r="F35" s="12"/>
      <c r="G35" s="12"/>
      <c r="H35" s="12"/>
      <c r="I35" s="2"/>
    </row>
    <row r="36" spans="2:11">
      <c r="B36" s="88" t="s">
        <v>415</v>
      </c>
      <c r="C36" s="75" t="s">
        <v>230</v>
      </c>
      <c r="D36" s="201">
        <v>142.33550731</v>
      </c>
      <c r="E36" s="201">
        <v>230.41611053432803</v>
      </c>
      <c r="F36" s="201">
        <v>103.66260741758725</v>
      </c>
      <c r="G36" s="201">
        <v>49.016580479587539</v>
      </c>
      <c r="H36" s="201">
        <v>56.678255914292322</v>
      </c>
      <c r="I36" s="2"/>
    </row>
    <row r="37" spans="2:11">
      <c r="D37" s="12"/>
      <c r="E37" s="12"/>
      <c r="F37" s="12"/>
      <c r="G37" s="12"/>
      <c r="H37" s="12"/>
      <c r="I37" s="2"/>
    </row>
    <row r="38" spans="2:11">
      <c r="B38" s="88" t="s">
        <v>416</v>
      </c>
      <c r="C38" s="75" t="s">
        <v>230</v>
      </c>
      <c r="D38" s="281">
        <v>55.007952382935358</v>
      </c>
      <c r="E38" s="281">
        <v>105.40600587316787</v>
      </c>
      <c r="F38" s="281">
        <v>47.51824794683202</v>
      </c>
      <c r="G38" s="281">
        <v>24.067912547587746</v>
      </c>
      <c r="H38" s="281">
        <v>27.04972850040166</v>
      </c>
      <c r="I38" s="2"/>
      <c r="K38" s="130"/>
    </row>
    <row r="39" spans="2:11">
      <c r="B39" s="88"/>
      <c r="C39" s="75"/>
      <c r="D39" s="251"/>
      <c r="E39" s="251"/>
      <c r="F39" s="251"/>
      <c r="G39" s="251"/>
      <c r="H39" s="251"/>
      <c r="I39" s="2"/>
      <c r="K39" s="130"/>
    </row>
    <row r="40" spans="2:11">
      <c r="B40" s="88" t="s">
        <v>417</v>
      </c>
      <c r="C40" s="75" t="s">
        <v>230</v>
      </c>
      <c r="D40" s="50">
        <f>D31-D38</f>
        <v>4.275094392768878</v>
      </c>
      <c r="E40" s="50">
        <f t="shared" ref="E40:H40" si="4">E31-E38</f>
        <v>-27.078523726585672</v>
      </c>
      <c r="F40" s="50">
        <f t="shared" si="4"/>
        <v>7.7728290050987994</v>
      </c>
      <c r="G40" s="50">
        <f t="shared" si="4"/>
        <v>14.418781434090405</v>
      </c>
      <c r="H40" s="50">
        <f t="shared" si="4"/>
        <v>12.732244088098373</v>
      </c>
    </row>
    <row r="41" spans="2:11">
      <c r="B41" s="88"/>
      <c r="C41" s="75"/>
      <c r="D41" s="75"/>
      <c r="E41" s="75"/>
      <c r="F41" s="75"/>
      <c r="G41" s="75"/>
      <c r="H41" s="75"/>
      <c r="I41" s="75"/>
      <c r="K41" s="130"/>
    </row>
    <row r="42" spans="2:11">
      <c r="B42" s="268" t="s">
        <v>418</v>
      </c>
      <c r="C42" s="75" t="s">
        <v>419</v>
      </c>
      <c r="D42" s="176">
        <v>1.0847835302284383</v>
      </c>
      <c r="E42" s="176">
        <v>1.1682111694202062</v>
      </c>
      <c r="F42" s="176">
        <v>1.2070548174037865</v>
      </c>
      <c r="G42" s="176">
        <v>1.2275072378847331</v>
      </c>
      <c r="H42" s="176">
        <v>1.2509585044470788</v>
      </c>
      <c r="I42" s="75"/>
      <c r="K42" s="130"/>
    </row>
    <row r="43" spans="2:11">
      <c r="I43" s="38"/>
      <c r="J43" s="38"/>
      <c r="K43" s="38"/>
    </row>
    <row r="44" spans="2:11">
      <c r="B44" s="241" t="s">
        <v>420</v>
      </c>
      <c r="C44" s="77" t="str">
        <f>Data!$C$9</f>
        <v>£m 18/19</v>
      </c>
      <c r="D44" s="71">
        <f t="shared" ref="D44:H44" si="5">D40/D42</f>
        <v>3.94096543101886</v>
      </c>
      <c r="E44" s="72">
        <f t="shared" si="5"/>
        <v>-23.179476823548082</v>
      </c>
      <c r="F44" s="72">
        <f t="shared" si="5"/>
        <v>6.4394995927501579</v>
      </c>
      <c r="G44" s="72">
        <f t="shared" si="5"/>
        <v>11.74639219149303</v>
      </c>
      <c r="H44" s="72">
        <f t="shared" si="5"/>
        <v>10.177990750960999</v>
      </c>
      <c r="I44" s="222">
        <f>SUM(D44:INDEX(D44:H44,0,MATCH('RFPR cover'!$C$9,$D$6:$H$6,0)))</f>
        <v>3.94096543101886</v>
      </c>
      <c r="J44" s="223">
        <f>SUM(D44:H44)</f>
        <v>9.1253711426749646</v>
      </c>
    </row>
    <row r="45" spans="2:11">
      <c r="B45" s="88"/>
      <c r="C45" s="38"/>
      <c r="D45" s="249"/>
      <c r="E45" s="249"/>
      <c r="F45" s="249"/>
      <c r="G45" s="249"/>
      <c r="H45" s="249"/>
      <c r="I45" s="255"/>
      <c r="J45" s="255"/>
    </row>
    <row r="46" spans="2:11">
      <c r="B46" s="241" t="s">
        <v>421</v>
      </c>
      <c r="C46" s="75"/>
      <c r="D46" s="249"/>
      <c r="E46" s="249"/>
      <c r="F46" s="249"/>
      <c r="G46" s="249"/>
      <c r="H46" s="249"/>
      <c r="I46" s="255"/>
      <c r="J46" s="255"/>
    </row>
    <row r="47" spans="2:11">
      <c r="B47" s="146" t="s">
        <v>727</v>
      </c>
      <c r="C47" s="75" t="s">
        <v>230</v>
      </c>
      <c r="D47" s="280">
        <v>4.5332836099999936</v>
      </c>
      <c r="E47" s="280">
        <v>4.8526937819064493</v>
      </c>
      <c r="F47" s="280">
        <v>5.0141185718352901</v>
      </c>
      <c r="G47" s="280">
        <v>4.714381550817734</v>
      </c>
      <c r="H47" s="280">
        <v>3.9335758278285597</v>
      </c>
      <c r="I47" s="222">
        <f>SUM(D47:INDEX(D47:H47,0,MATCH('RFPR cover'!$C$9,$D$6:$H$6,0)))</f>
        <v>4.5332836099999936</v>
      </c>
      <c r="J47" s="222">
        <f t="shared" ref="J47:J54" si="6">SUM(D47:H47)</f>
        <v>23.048053342388027</v>
      </c>
    </row>
    <row r="48" spans="2:11" ht="13.5">
      <c r="B48" s="146" t="s">
        <v>422</v>
      </c>
      <c r="C48" s="75" t="s">
        <v>230</v>
      </c>
      <c r="D48" s="554"/>
      <c r="E48" s="201">
        <v>5.2145050121450501E-3</v>
      </c>
      <c r="F48" s="201">
        <v>3.2148000000000003E-2</v>
      </c>
      <c r="G48" s="201">
        <v>5.0678794520547937E-2</v>
      </c>
      <c r="H48" s="201">
        <v>6.9309930993099303E-2</v>
      </c>
      <c r="I48" s="222">
        <f>SUM(D48:INDEX(D48:H48,0,MATCH('RFPR cover'!$C$9,$D$6:$H$6,0)))</f>
        <v>0</v>
      </c>
      <c r="J48" s="222">
        <f t="shared" si="6"/>
        <v>0.15735123052579231</v>
      </c>
    </row>
    <row r="49" spans="1:11">
      <c r="B49" s="146" t="s">
        <v>728</v>
      </c>
      <c r="C49" s="75" t="s">
        <v>230</v>
      </c>
      <c r="D49" s="280">
        <v>0</v>
      </c>
      <c r="E49" s="280">
        <v>0</v>
      </c>
      <c r="F49" s="280">
        <v>0</v>
      </c>
      <c r="G49" s="280">
        <v>0</v>
      </c>
      <c r="H49" s="280">
        <v>0</v>
      </c>
      <c r="I49" s="222">
        <f>SUM(D49:INDEX(D49:H49,0,MATCH('RFPR cover'!$C$9,$D$6:$H$6,0)))</f>
        <v>0</v>
      </c>
      <c r="J49" s="222">
        <f t="shared" si="6"/>
        <v>0</v>
      </c>
    </row>
    <row r="50" spans="1:11">
      <c r="B50" s="146" t="s">
        <v>729</v>
      </c>
      <c r="C50" s="75" t="s">
        <v>230</v>
      </c>
      <c r="D50" s="280">
        <v>0</v>
      </c>
      <c r="E50" s="280">
        <v>0</v>
      </c>
      <c r="F50" s="280">
        <v>0</v>
      </c>
      <c r="G50" s="280">
        <v>0</v>
      </c>
      <c r="H50" s="280">
        <v>0</v>
      </c>
      <c r="I50" s="222">
        <f>SUM(D50:INDEX(D50:H50,0,MATCH('RFPR cover'!$C$9,$D$6:$H$6,0)))</f>
        <v>0</v>
      </c>
      <c r="J50" s="222">
        <f t="shared" si="6"/>
        <v>0</v>
      </c>
    </row>
    <row r="51" spans="1:11">
      <c r="B51" s="663" t="s">
        <v>726</v>
      </c>
      <c r="C51" s="75" t="s">
        <v>230</v>
      </c>
      <c r="D51" s="280">
        <v>0</v>
      </c>
      <c r="E51" s="280">
        <v>0</v>
      </c>
      <c r="F51" s="280">
        <v>0</v>
      </c>
      <c r="G51" s="280">
        <v>0</v>
      </c>
      <c r="H51" s="280">
        <v>0</v>
      </c>
      <c r="I51" s="222">
        <f>SUM(D51:INDEX(D51:H51,0,MATCH('RFPR cover'!$C$9,$D$6:$H$6,0)))</f>
        <v>0</v>
      </c>
      <c r="J51" s="222">
        <f t="shared" si="6"/>
        <v>0</v>
      </c>
    </row>
    <row r="52" spans="1:11">
      <c r="B52" s="663" t="s">
        <v>726</v>
      </c>
      <c r="C52" s="75" t="s">
        <v>230</v>
      </c>
      <c r="D52" s="280">
        <v>0</v>
      </c>
      <c r="E52" s="280">
        <v>0</v>
      </c>
      <c r="F52" s="280">
        <v>0</v>
      </c>
      <c r="G52" s="280">
        <v>0</v>
      </c>
      <c r="H52" s="280">
        <v>0</v>
      </c>
      <c r="I52" s="222">
        <f>SUM(D52:INDEX(D52:H52,0,MATCH('RFPR cover'!$C$9,$D$6:$H$6,0)))</f>
        <v>0</v>
      </c>
      <c r="J52" s="222">
        <f t="shared" si="6"/>
        <v>0</v>
      </c>
    </row>
    <row r="53" spans="1:11">
      <c r="B53" s="663" t="s">
        <v>726</v>
      </c>
      <c r="C53" s="75" t="s">
        <v>230</v>
      </c>
      <c r="D53" s="280">
        <v>0</v>
      </c>
      <c r="E53" s="280">
        <v>0</v>
      </c>
      <c r="F53" s="280">
        <v>0</v>
      </c>
      <c r="G53" s="280">
        <v>0</v>
      </c>
      <c r="H53" s="280">
        <v>0</v>
      </c>
      <c r="I53" s="222">
        <f>SUM(D53:INDEX(D53:H53,0,MATCH('RFPR cover'!$C$9,$D$6:$H$6,0)))</f>
        <v>0</v>
      </c>
      <c r="J53" s="222">
        <f t="shared" si="6"/>
        <v>0</v>
      </c>
    </row>
    <row r="54" spans="1:11">
      <c r="B54" s="663" t="s">
        <v>726</v>
      </c>
      <c r="C54" s="75" t="s">
        <v>230</v>
      </c>
      <c r="D54" s="280">
        <v>0</v>
      </c>
      <c r="E54" s="280">
        <v>0</v>
      </c>
      <c r="F54" s="280">
        <v>0</v>
      </c>
      <c r="G54" s="280">
        <v>0</v>
      </c>
      <c r="H54" s="280">
        <v>0</v>
      </c>
      <c r="I54" s="222">
        <f>SUM(D54:INDEX(D54:H54,0,MATCH('RFPR cover'!$C$9,$D$6:$H$6,0)))</f>
        <v>0</v>
      </c>
      <c r="J54" s="222">
        <f t="shared" si="6"/>
        <v>0</v>
      </c>
    </row>
    <row r="55" spans="1:11" s="25" customFormat="1">
      <c r="B55" s="271"/>
      <c r="C55" s="272"/>
      <c r="D55" s="589"/>
      <c r="E55" s="589"/>
      <c r="F55" s="589"/>
      <c r="G55" s="589"/>
      <c r="H55" s="589"/>
      <c r="I55" s="590"/>
      <c r="J55" s="590"/>
    </row>
    <row r="56" spans="1:11">
      <c r="B56" s="270" t="s">
        <v>423</v>
      </c>
      <c r="C56" s="109" t="s">
        <v>230</v>
      </c>
      <c r="D56" s="71">
        <f>SUM(D47:D54)</f>
        <v>4.5332836099999936</v>
      </c>
      <c r="E56" s="71">
        <f t="shared" ref="E56:H56" si="7">SUM(E47:E54)</f>
        <v>4.8579082869185948</v>
      </c>
      <c r="F56" s="71">
        <f t="shared" si="7"/>
        <v>5.0462665718352904</v>
      </c>
      <c r="G56" s="71">
        <f t="shared" si="7"/>
        <v>4.7650603453382816</v>
      </c>
      <c r="H56" s="71">
        <f t="shared" si="7"/>
        <v>4.0028857588216589</v>
      </c>
      <c r="I56" s="222">
        <f>SUM(D56:INDEX(D56:H56,0,MATCH('RFPR cover'!$C$9,$D$6:$H$6,0)))</f>
        <v>4.5332836099999936</v>
      </c>
      <c r="J56" s="223">
        <f>SUM(D56:H56)</f>
        <v>23.205404572913817</v>
      </c>
    </row>
    <row r="57" spans="1:11">
      <c r="B57" s="270" t="s">
        <v>423</v>
      </c>
      <c r="C57" s="77" t="str">
        <f>Data!$C$9</f>
        <v>£m 18/19</v>
      </c>
      <c r="D57" s="71">
        <f>D56/D42</f>
        <v>4.1789753288799982</v>
      </c>
      <c r="E57" s="71">
        <f t="shared" ref="E57:H57" si="8">E56/E42</f>
        <v>4.1584162299437857</v>
      </c>
      <c r="F57" s="71">
        <f t="shared" si="8"/>
        <v>4.1806440760405028</v>
      </c>
      <c r="G57" s="71">
        <f t="shared" si="8"/>
        <v>3.8818999988542111</v>
      </c>
      <c r="H57" s="71">
        <f t="shared" si="8"/>
        <v>3.1998549469000386</v>
      </c>
      <c r="I57" s="222">
        <f>SUM(D57:INDEX(D57:H57,0,MATCH('RFPR cover'!$C$9,$D$6:$H$6,0)))</f>
        <v>4.1789753288799982</v>
      </c>
      <c r="J57" s="223">
        <f>SUM(D57:H57)</f>
        <v>19.599790580618539</v>
      </c>
    </row>
    <row r="58" spans="1:11">
      <c r="B58" s="88"/>
      <c r="C58" s="38"/>
      <c r="D58" s="249"/>
      <c r="E58" s="249"/>
      <c r="F58" s="249"/>
      <c r="G58" s="249"/>
      <c r="H58" s="249"/>
      <c r="I58" s="255"/>
      <c r="J58" s="255"/>
    </row>
    <row r="59" spans="1:11" s="2" customFormat="1">
      <c r="A59" s="1"/>
    </row>
    <row r="60" spans="1:11" s="2" customFormat="1">
      <c r="A60" s="1"/>
      <c r="B60" s="256" t="s">
        <v>424</v>
      </c>
      <c r="C60" s="40"/>
      <c r="D60" s="40"/>
      <c r="E60" s="40"/>
      <c r="F60" s="40"/>
      <c r="G60" s="40"/>
      <c r="H60" s="40"/>
      <c r="I60" s="40"/>
      <c r="J60" s="40"/>
      <c r="K60" s="40"/>
    </row>
    <row r="61" spans="1:11" s="2" customFormat="1">
      <c r="A61" s="1"/>
      <c r="B61" s="145" t="s">
        <v>425</v>
      </c>
      <c r="C61" s="630"/>
      <c r="D61" s="630"/>
      <c r="E61" s="630"/>
      <c r="F61" s="630"/>
      <c r="G61" s="630"/>
      <c r="H61" s="630"/>
      <c r="I61" s="630"/>
      <c r="J61" s="630"/>
      <c r="K61" s="630"/>
    </row>
    <row r="62" spans="1:11" s="2" customFormat="1">
      <c r="A62" s="1"/>
    </row>
    <row r="63" spans="1:11">
      <c r="B63" s="88" t="s">
        <v>24</v>
      </c>
      <c r="C63" s="38" t="s">
        <v>194</v>
      </c>
      <c r="D63" s="282">
        <f>Data!$C$8</f>
        <v>0.6</v>
      </c>
      <c r="E63" s="283">
        <f>Data!$C$8</f>
        <v>0.6</v>
      </c>
      <c r="F63" s="283">
        <f>Data!$C$8</f>
        <v>0.6</v>
      </c>
      <c r="G63" s="283">
        <f>Data!$C$8</f>
        <v>0.6</v>
      </c>
      <c r="H63" s="283">
        <f>Data!$C$8</f>
        <v>0.6</v>
      </c>
      <c r="I63" s="2"/>
      <c r="K63" s="130"/>
    </row>
    <row r="64" spans="1:11">
      <c r="B64" s="88" t="s">
        <v>426</v>
      </c>
      <c r="C64" s="38" t="s">
        <v>194</v>
      </c>
      <c r="D64" s="283">
        <f>'R6 - Net Debt'!D65</f>
        <v>0.54904976621116541</v>
      </c>
      <c r="E64" s="283">
        <f>'R6 - Net Debt'!E65</f>
        <v>0.62763445686929531</v>
      </c>
      <c r="F64" s="283">
        <f>'R6 - Net Debt'!F65</f>
        <v>0.63483615427932005</v>
      </c>
      <c r="G64" s="283">
        <f>'R6 - Net Debt'!G65</f>
        <v>0.61590825957199369</v>
      </c>
      <c r="H64" s="283">
        <f>'R6 - Net Debt'!H65</f>
        <v>0.60112299591524621</v>
      </c>
      <c r="I64" s="2" t="s">
        <v>427</v>
      </c>
      <c r="K64" s="130"/>
    </row>
    <row r="65" spans="2:12">
      <c r="B65" s="88"/>
      <c r="C65" s="38"/>
      <c r="D65" s="38"/>
      <c r="E65" s="38"/>
      <c r="F65" s="38"/>
      <c r="G65" s="38"/>
      <c r="H65" s="38"/>
      <c r="I65" s="2"/>
      <c r="K65" s="130"/>
    </row>
    <row r="66" spans="2:12">
      <c r="B66" s="88" t="s">
        <v>420</v>
      </c>
      <c r="C66" s="75" t="s">
        <v>230</v>
      </c>
      <c r="D66" s="46">
        <f t="shared" ref="D66:H66" si="9">D40</f>
        <v>4.275094392768878</v>
      </c>
      <c r="E66" s="47">
        <f t="shared" si="9"/>
        <v>-27.078523726585672</v>
      </c>
      <c r="F66" s="47">
        <f t="shared" si="9"/>
        <v>7.7728290050987994</v>
      </c>
      <c r="G66" s="47">
        <f t="shared" si="9"/>
        <v>14.418781434090405</v>
      </c>
      <c r="H66" s="47">
        <f t="shared" si="9"/>
        <v>12.732244088098373</v>
      </c>
    </row>
    <row r="67" spans="2:12">
      <c r="B67" s="88" t="s">
        <v>428</v>
      </c>
      <c r="C67" s="75" t="s">
        <v>230</v>
      </c>
      <c r="D67" s="46">
        <f>((D63-D64)/D64)*D66</f>
        <v>0.39671642205405711</v>
      </c>
      <c r="E67" s="46">
        <f t="shared" ref="E67:H67" si="10">((E63-E64)/E64)*E66</f>
        <v>1.1922549627678509</v>
      </c>
      <c r="F67" s="46">
        <f t="shared" si="10"/>
        <v>-0.42652811844937533</v>
      </c>
      <c r="G67" s="46">
        <f t="shared" si="10"/>
        <v>-0.37242188946248717</v>
      </c>
      <c r="H67" s="46">
        <f t="shared" si="10"/>
        <v>-2.3785911036529953E-2</v>
      </c>
      <c r="K67" s="130"/>
    </row>
    <row r="68" spans="2:12">
      <c r="B68" s="88" t="s">
        <v>429</v>
      </c>
      <c r="C68" s="75" t="s">
        <v>230</v>
      </c>
      <c r="D68" s="50">
        <f>SUM(D66:D67)</f>
        <v>4.6718108148229351</v>
      </c>
      <c r="E68" s="51">
        <f t="shared" ref="E68:H68" si="11">SUM(E66:E67)</f>
        <v>-25.886268763817821</v>
      </c>
      <c r="F68" s="51">
        <f t="shared" si="11"/>
        <v>7.3463008866494244</v>
      </c>
      <c r="G68" s="51">
        <f t="shared" si="11"/>
        <v>14.046359544627919</v>
      </c>
      <c r="H68" s="51">
        <f t="shared" si="11"/>
        <v>12.708458177061843</v>
      </c>
    </row>
    <row r="69" spans="2:12">
      <c r="B69" s="88"/>
      <c r="C69" s="75"/>
      <c r="D69" s="75"/>
      <c r="E69" s="75"/>
      <c r="F69" s="75"/>
      <c r="G69" s="75"/>
      <c r="H69" s="75"/>
      <c r="I69" s="75"/>
      <c r="J69" s="75"/>
      <c r="K69" s="75"/>
      <c r="L69" s="75"/>
    </row>
    <row r="70" spans="2:12">
      <c r="B70" s="241" t="s">
        <v>429</v>
      </c>
      <c r="C70" s="77" t="str">
        <f>Data!$C$9</f>
        <v>£m 18/19</v>
      </c>
      <c r="D70" s="71">
        <f t="shared" ref="D70:H70" si="12">D68/D42</f>
        <v>4.3066756496931005</v>
      </c>
      <c r="E70" s="72">
        <f t="shared" si="12"/>
        <v>-22.158895105125051</v>
      </c>
      <c r="F70" s="72">
        <f t="shared" si="12"/>
        <v>6.0861369183301344</v>
      </c>
      <c r="G70" s="72">
        <f t="shared" si="12"/>
        <v>11.442995292502639</v>
      </c>
      <c r="H70" s="72">
        <f t="shared" si="12"/>
        <v>10.158976602248654</v>
      </c>
      <c r="I70" s="222">
        <f>SUM(D70:INDEX(D70:H70,0,MATCH('RFPR cover'!$C$9,$D$6:$H$6,0)))</f>
        <v>4.3066756496931005</v>
      </c>
      <c r="J70" s="223">
        <f>SUM(D70:H70)</f>
        <v>9.8358893576494761</v>
      </c>
    </row>
    <row r="71" spans="2:12">
      <c r="B71" s="88" t="s">
        <v>430</v>
      </c>
      <c r="C71" s="38" t="str">
        <f>Data!$C$9</f>
        <v>£m 18/19</v>
      </c>
      <c r="D71" s="46">
        <f>D57*((D63-D64)/D64)+D57</f>
        <v>4.5667721791974216</v>
      </c>
      <c r="E71" s="46">
        <f t="shared" ref="E71:H71" si="13">E57*((E63-E64)/E64)+E57</f>
        <v>3.9753230732612002</v>
      </c>
      <c r="F71" s="46">
        <f t="shared" si="13"/>
        <v>3.9512343912924699</v>
      </c>
      <c r="G71" s="46">
        <f t="shared" si="13"/>
        <v>3.7816346235250848</v>
      </c>
      <c r="H71" s="46">
        <f t="shared" si="13"/>
        <v>3.1938770953469167</v>
      </c>
      <c r="I71" s="220">
        <f>SUM(D71:INDEX(D71:H71,0,MATCH('RFPR cover'!$C$9,$D$6:$H$6,0)))</f>
        <v>4.5667721791974216</v>
      </c>
      <c r="J71" s="221">
        <f>SUM(D71:H71)</f>
        <v>19.468841362623095</v>
      </c>
      <c r="K71" s="38"/>
    </row>
    <row r="73" spans="2:12">
      <c r="B73" s="252" t="s">
        <v>431</v>
      </c>
      <c r="C73" s="253"/>
      <c r="D73" s="253"/>
      <c r="E73" s="253"/>
      <c r="F73" s="253"/>
      <c r="G73" s="253"/>
      <c r="H73" s="253"/>
      <c r="I73" s="253"/>
      <c r="J73" s="253"/>
      <c r="K73" s="253"/>
      <c r="L73" s="38"/>
    </row>
    <row r="74" spans="2:12">
      <c r="B74" s="254"/>
      <c r="C74" s="38"/>
      <c r="D74" s="38"/>
      <c r="E74" s="38"/>
      <c r="F74" s="38"/>
      <c r="G74" s="38"/>
      <c r="H74" s="38"/>
      <c r="I74" s="38"/>
      <c r="J74" s="38"/>
      <c r="K74" s="38"/>
      <c r="L74" s="38"/>
    </row>
    <row r="75" spans="2:12">
      <c r="B75" s="145" t="s">
        <v>432</v>
      </c>
      <c r="C75" s="144"/>
      <c r="D75" s="144"/>
      <c r="E75" s="144"/>
      <c r="F75" s="144"/>
      <c r="G75" s="144"/>
      <c r="H75" s="144"/>
      <c r="I75" s="144"/>
      <c r="J75" s="144"/>
      <c r="K75" s="144"/>
      <c r="L75" s="38"/>
    </row>
    <row r="76" spans="2:12">
      <c r="B76" s="148"/>
      <c r="C76" s="148"/>
      <c r="D76" s="148"/>
      <c r="E76" s="148"/>
      <c r="F76" s="148"/>
      <c r="G76" s="148"/>
      <c r="H76" s="148"/>
      <c r="I76" s="148"/>
      <c r="J76" s="148"/>
      <c r="K76" s="148"/>
      <c r="L76" s="38"/>
    </row>
    <row r="77" spans="2:12">
      <c r="B77" s="88" t="s">
        <v>433</v>
      </c>
      <c r="C77" s="38" t="str">
        <f>Data!$C$9</f>
        <v>£m 18/19</v>
      </c>
      <c r="D77" s="637">
        <v>21.325113075531142</v>
      </c>
      <c r="E77" s="637">
        <v>19.960773276975914</v>
      </c>
      <c r="F77" s="637">
        <v>19.377197900378754</v>
      </c>
      <c r="G77" s="637">
        <v>18.941054641155105</v>
      </c>
      <c r="H77" s="637">
        <v>18.671848024776434</v>
      </c>
      <c r="I77" s="148"/>
      <c r="J77" s="287"/>
      <c r="L77" s="38"/>
    </row>
    <row r="78" spans="2:12">
      <c r="B78" s="88"/>
      <c r="C78" s="38"/>
      <c r="D78" s="257"/>
      <c r="E78" s="257"/>
      <c r="F78" s="257"/>
      <c r="G78" s="257"/>
      <c r="H78" s="257"/>
      <c r="I78" s="148"/>
      <c r="J78" s="255"/>
      <c r="L78" s="38"/>
    </row>
    <row r="79" spans="2:12">
      <c r="B79" s="88"/>
      <c r="C79" s="38"/>
      <c r="D79" s="257"/>
      <c r="E79" s="258"/>
      <c r="F79" s="258"/>
      <c r="G79" s="258"/>
      <c r="H79" s="258"/>
      <c r="I79" s="255"/>
      <c r="J79" s="255"/>
      <c r="L79" s="38"/>
    </row>
    <row r="80" spans="2:12">
      <c r="B80" s="259" t="s">
        <v>434</v>
      </c>
      <c r="C80" s="253"/>
      <c r="D80" s="253"/>
      <c r="E80" s="253"/>
      <c r="F80" s="253"/>
      <c r="G80" s="253"/>
      <c r="H80" s="253"/>
      <c r="I80" s="253"/>
      <c r="J80" s="253"/>
      <c r="K80" s="253"/>
    </row>
    <row r="81" spans="2:11">
      <c r="B81" s="88"/>
      <c r="C81" s="38"/>
      <c r="D81" s="38"/>
      <c r="E81" s="38"/>
      <c r="F81" s="38"/>
      <c r="G81" s="38"/>
      <c r="H81" s="38"/>
      <c r="I81" s="38"/>
      <c r="J81" s="38"/>
      <c r="K81" s="38"/>
    </row>
    <row r="82" spans="2:11">
      <c r="B82" s="8" t="s">
        <v>435</v>
      </c>
      <c r="C82" s="38"/>
      <c r="D82" s="38"/>
      <c r="E82" s="38"/>
      <c r="F82" s="38"/>
      <c r="G82" s="38"/>
      <c r="H82" s="38"/>
      <c r="I82" s="38"/>
      <c r="J82" s="38"/>
      <c r="K82" s="38"/>
    </row>
    <row r="83" spans="2:11">
      <c r="B83" s="88" t="s">
        <v>436</v>
      </c>
      <c r="C83" s="38" t="str">
        <f>Data!$C$9</f>
        <v>£m 18/19</v>
      </c>
      <c r="D83" s="71">
        <f>D77-D44-D57</f>
        <v>13.205172315632284</v>
      </c>
      <c r="E83" s="71">
        <f>E77-E44-E57</f>
        <v>38.981833870580218</v>
      </c>
      <c r="F83" s="71">
        <f>F77-F44-F57</f>
        <v>8.7570542315880928</v>
      </c>
      <c r="G83" s="71">
        <f>G77-G44-G57</f>
        <v>3.3127624508078646</v>
      </c>
      <c r="H83" s="71">
        <f>H77-H44-H57</f>
        <v>5.294002326915396</v>
      </c>
      <c r="I83" s="222">
        <f>SUM(D83:INDEX(D83:H83,0,MATCH('RFPR cover'!$C$9,$D$6:$H$6,0)))</f>
        <v>13.205172315632284</v>
      </c>
      <c r="J83" s="223">
        <f>SUM(D83:H83)</f>
        <v>69.550825195523842</v>
      </c>
      <c r="K83" s="38"/>
    </row>
    <row r="84" spans="2:11">
      <c r="B84" s="88"/>
      <c r="K84" s="38"/>
    </row>
    <row r="85" spans="2:11">
      <c r="B85" s="88" t="s">
        <v>437</v>
      </c>
      <c r="C85" s="38" t="str">
        <f>Data!$C$9</f>
        <v>£m 18/19</v>
      </c>
      <c r="D85" s="71">
        <f>D77-D70-D71</f>
        <v>12.451665246640619</v>
      </c>
      <c r="E85" s="613">
        <f>E77-E70-E71</f>
        <v>38.144345308839767</v>
      </c>
      <c r="F85" s="613">
        <f>F77-F70-F71</f>
        <v>9.3398265907561502</v>
      </c>
      <c r="G85" s="613">
        <f>G77-G70-G71</f>
        <v>3.7164247251273816</v>
      </c>
      <c r="H85" s="613">
        <f>H77-H70-H71</f>
        <v>5.3189943271808637</v>
      </c>
      <c r="I85" s="222">
        <f>SUM(D85:INDEX(D85:H85,0,MATCH('RFPR cover'!$C$9,$D$6:$H$6,0)))</f>
        <v>12.451665246640619</v>
      </c>
      <c r="J85" s="223">
        <f>SUM(D85:H85)</f>
        <v>68.971256198544779</v>
      </c>
      <c r="K85" s="38"/>
    </row>
    <row r="86" spans="2:11">
      <c r="B86" s="88"/>
      <c r="K86" s="38"/>
    </row>
    <row r="87" spans="2:11">
      <c r="B87" s="88" t="s">
        <v>438</v>
      </c>
      <c r="C87" s="38" t="str">
        <f>Data!$C$9</f>
        <v>£m 18/19</v>
      </c>
      <c r="D87" s="71">
        <f>D83-D85</f>
        <v>0.75350706899166475</v>
      </c>
      <c r="E87" s="71">
        <f t="shared" ref="E87:H87" si="14">E83-E85</f>
        <v>0.83748856174045017</v>
      </c>
      <c r="F87" s="71">
        <f t="shared" si="14"/>
        <v>-0.58277235916805736</v>
      </c>
      <c r="G87" s="71">
        <f t="shared" si="14"/>
        <v>-0.40366227431951707</v>
      </c>
      <c r="H87" s="71">
        <f t="shared" si="14"/>
        <v>-2.4992000265467773E-2</v>
      </c>
      <c r="I87" s="222">
        <f>SUM(D87:INDEX(D87:H87,0,MATCH('RFPR cover'!$C$9,$D$6:$H$6,0)))</f>
        <v>0.75350706899166475</v>
      </c>
      <c r="J87" s="223">
        <f>SUM(D87:H87)</f>
        <v>0.57956899697907271</v>
      </c>
      <c r="K87" s="38"/>
    </row>
    <row r="88" spans="2:11">
      <c r="K88" s="38"/>
    </row>
    <row r="89" spans="2:11">
      <c r="K89" s="38"/>
    </row>
    <row r="90" spans="2:11">
      <c r="K90" s="38"/>
    </row>
    <row r="91" spans="2:11">
      <c r="K91" s="38"/>
    </row>
  </sheetData>
  <conditionalFormatting sqref="D48">
    <cfRule type="expression" dxfId="46" priority="4">
      <formula>C$12="N/A"</formula>
    </cfRule>
  </conditionalFormatting>
  <conditionalFormatting sqref="D48">
    <cfRule type="expression" dxfId="45" priority="3">
      <formula>D$5="Forecast"</formula>
    </cfRule>
  </conditionalFormatting>
  <conditionalFormatting sqref="D30">
    <cfRule type="expression" dxfId="44" priority="2">
      <formula>C$12="N/A"</formula>
    </cfRule>
  </conditionalFormatting>
  <conditionalFormatting sqref="D30">
    <cfRule type="expression" dxfId="43" priority="1">
      <formula>D$5="Forecast"</formula>
    </cfRule>
  </conditionalFormatting>
  <pageMargins left="0.70866141732283472" right="0.70866141732283472" top="0.74803149606299213" bottom="0.74803149606299213" header="0.31496062992125984" footer="0.31496062992125984"/>
  <pageSetup paperSize="8" scale="65" orientation="landscape"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U D A A B Q S w M E F A A C A A g A q X D 9 U l 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K l w / 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c P 1 S K I p H u A 4 A A A A R A A A A E w A c A E Z v c m 1 1 b G F z L 1 N l Y 3 R p b 2 4 x L m 0 g o h g A K K A U A A A A A A A A A A A A A A A A A A A A A A A A A A A A K 0 5 N L s n M z 1 M I h t C G 1 g B Q S w E C L Q A U A A I A C A C p c P 1 S W Y / a I K U A A A D 1 A A A A E g A A A A A A A A A A A A A A A A A A A A A A Q 2 9 u Z m l n L 1 B h Y 2 t h Z 2 U u e G 1 s U E s B A i 0 A F A A C A A g A q X D 9 U g / K 6 a u k A A A A 6 Q A A A B M A A A A A A A A A A A A A A A A A 8 Q A A A F t D b 2 5 0 Z W 5 0 X 1 R 5 c G V z X S 5 4 b W x Q S w E C L Q A U A A I A C A C p c P 1 S 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2 s d k p O h q U 2 n G 8 Y 2 y 4 b z 8 Q A A A A A C A A A A A A A D Z g A A w A A A A B A A A A D L Z 5 + y k r P 8 f k W T 1 P H j 6 6 V Y A A A A A A S A A A C g A A A A E A A A A B Q W u J n P N V c z z 7 9 X u j k b P A p Q A A A A Q b W E l 2 K Y b K t F u X u w j k y x b K J I n a 3 z / L O a c J m 1 o s z h Y y F n I r z e O A t i U o K B X E 7 P w M r H M a z 8 g J 5 n e X D X G C C I O X U a v 8 2 t L b R 7 3 P 8 p 7 K l t O j 0 G X Q 0 U A A A A g o L i B 4 v H T p 7 A p z N + 4 G 6 L L q w o x M g = < / 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C9C06626C5264BB8E56F32CB168917" ma:contentTypeVersion="6" ma:contentTypeDescription="Create a new document." ma:contentTypeScope="" ma:versionID="b30dbfb78b388dce6bbe50e173501ab3">
  <xsd:schema xmlns:xsd="http://www.w3.org/2001/XMLSchema" xmlns:xs="http://www.w3.org/2001/XMLSchema" xmlns:p="http://schemas.microsoft.com/office/2006/metadata/properties" xmlns:ns2="77030300-7095-45eb-b01e-00dcc83af8c6" xmlns:ns3="47fb15b9-fcbf-48f2-8000-3febecb0ac87" targetNamespace="http://schemas.microsoft.com/office/2006/metadata/properties" ma:root="true" ma:fieldsID="91f2d155d5bafa72b0056698fadc1ab3" ns2:_="" ns3:_="">
    <xsd:import namespace="77030300-7095-45eb-b01e-00dcc83af8c6"/>
    <xsd:import namespace="47fb15b9-fcbf-48f2-8000-3febecb0ac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030300-7095-45eb-b01e-00dcc83af8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b15b9-fcbf-48f2-8000-3febecb0ac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5.xml><?xml version="1.0" encoding="utf-8"?>
<p:properties xmlns:p="http://schemas.microsoft.com/office/2006/metadata/properties" xmlns:xsi="http://www.w3.org/2001/XMLSchema-instance" xmlns:pc="http://schemas.microsoft.com/office/infopath/2007/PartnerControls">
  <documentManagement>
    <SharedWithUsers xmlns="47fb15b9-fcbf-48f2-8000-3febecb0ac87">
      <UserInfo>
        <DisplayName>Chiara Oppo</DisplayName>
        <AccountId>1309</AccountId>
        <AccountType/>
      </UserInfo>
    </SharedWithUsers>
  </documentManagement>
</p:properties>
</file>

<file path=customXml/itemProps1.xml><?xml version="1.0" encoding="utf-8"?>
<ds:datastoreItem xmlns:ds="http://schemas.openxmlformats.org/officeDocument/2006/customXml" ds:itemID="{ED8114B6-BDD8-4CB5-AA20-4A909702B5CF}">
  <ds:schemaRefs>
    <ds:schemaRef ds:uri="http://schemas.microsoft.com/DataMashup"/>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9AFC1F29-F63F-4033-9266-2A7D51FE3D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030300-7095-45eb-b01e-00dcc83af8c6"/>
    <ds:schemaRef ds:uri="47fb15b9-fcbf-48f2-8000-3febecb0a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FF5722E-94C6-4A73-8B73-7386EEC8250B}">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CC285FE4-1466-4BF7-8FA9-67F63A3D57B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7fb15b9-fcbf-48f2-8000-3febecb0ac87"/>
    <ds:schemaRef ds:uri="http://purl.org/dc/elements/1.1/"/>
    <ds:schemaRef ds:uri="http://schemas.microsoft.com/office/2006/metadata/properties"/>
    <ds:schemaRef ds:uri="77030300-7095-45eb-b01e-00dcc83af8c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RFPR cover</vt:lpstr>
      <vt:lpstr>Data</vt:lpstr>
      <vt:lpstr>Content &amp; Version Control</vt:lpstr>
      <vt:lpstr>Change log</vt:lpstr>
      <vt:lpstr>R1 - RoRE</vt:lpstr>
      <vt:lpstr>R2 - Rec to Revenue and Profit</vt:lpstr>
      <vt:lpstr>R3 - Totex - Reconciliation</vt:lpstr>
      <vt:lpstr>R4 - Incentives and Other Rev</vt:lpstr>
      <vt:lpstr>R5 - Financing</vt:lpstr>
      <vt:lpstr>R6 - Net Debt</vt:lpstr>
      <vt:lpstr>R7 - RAV</vt:lpstr>
      <vt:lpstr>R8 - Tax</vt:lpstr>
      <vt:lpstr>R8a - Tax Reconciliation</vt:lpstr>
      <vt:lpstr>R9 - Corporate Governance</vt:lpstr>
      <vt:lpstr>R10 - Pensions &amp; Oth Activities</vt:lpstr>
      <vt:lpstr>Adjusted_regulated_tax_liability</vt:lpstr>
      <vt:lpstr>Adjusted_regulated_tax_liability__Reporting_Year</vt:lpstr>
      <vt:lpstr>Business_Plan_Incentive</vt:lpstr>
      <vt:lpstr>calendar_year</vt:lpstr>
      <vt:lpstr>Combined_real_to_nominal_prices_conversion_factor__financial_year_end</vt:lpstr>
      <vt:lpstr>Corporate_Tax</vt:lpstr>
      <vt:lpstr>Cost_of_Equity</vt:lpstr>
      <vt:lpstr>Debt_performance___at_notional_gearing</vt:lpstr>
      <vt:lpstr>Debt_performance___impact_of_actual_gearing</vt:lpstr>
      <vt:lpstr>Equity_RAV_based_on_actual_gearing</vt:lpstr>
      <vt:lpstr>Equity_Return_on_the_RAV</vt:lpstr>
      <vt:lpstr>Licensee</vt:lpstr>
      <vt:lpstr>materiality_threshold</vt:lpstr>
      <vt:lpstr>N_A</vt:lpstr>
      <vt:lpstr>Navigate</vt:lpstr>
      <vt:lpstr>Notional_Gearing</vt:lpstr>
      <vt:lpstr>NPV_neutral_equity_element_of_RAV</vt:lpstr>
      <vt:lpstr>ODI_1</vt:lpstr>
      <vt:lpstr>ODI_2</vt:lpstr>
      <vt:lpstr>ODI_3</vt:lpstr>
      <vt:lpstr>ODI_4</vt:lpstr>
      <vt:lpstr>ODI_5</vt:lpstr>
      <vt:lpstr>ODI_6</vt:lpstr>
      <vt:lpstr>ORA_1</vt:lpstr>
      <vt:lpstr>ORA_2</vt:lpstr>
      <vt:lpstr>ORA_3</vt:lpstr>
      <vt:lpstr>ORA_4</vt:lpstr>
      <vt:lpstr>ORA_5</vt:lpstr>
      <vt:lpstr>ORA_6</vt:lpstr>
      <vt:lpstr>ORA_7</vt:lpstr>
      <vt:lpstr>ORA_8</vt:lpstr>
      <vt:lpstr>Penalties_and_fines</vt:lpstr>
      <vt:lpstr>Price_basis</vt:lpstr>
      <vt:lpstr>'Change log'!Print_Area</vt:lpstr>
      <vt:lpstr>'Content &amp; Version Control'!Print_Area</vt:lpstr>
      <vt:lpstr>'R1 - RoRE'!Print_Area</vt:lpstr>
      <vt:lpstr>'R10 - Pensions &amp; Oth Activities'!Print_Area</vt:lpstr>
      <vt:lpstr>'R2 - Rec to Revenue and Profit'!Print_Area</vt:lpstr>
      <vt:lpstr>'R3 - Totex - Reconciliation'!Print_Area</vt:lpstr>
      <vt:lpstr>'R4 - Incentives and Other Rev'!Print_Area</vt:lpstr>
      <vt:lpstr>'R5 - Financing'!Print_Area</vt:lpstr>
      <vt:lpstr>'R6 - Net Debt'!Print_Area</vt:lpstr>
      <vt:lpstr>'R7 - RAV'!Print_Area</vt:lpstr>
      <vt:lpstr>'R8 - Tax'!Print_Area</vt:lpstr>
      <vt:lpstr>'R8a - Tax Reconciliation'!Print_Area</vt:lpstr>
      <vt:lpstr>'R9 - Corporate Governance'!Print_Area</vt:lpstr>
      <vt:lpstr>'RFPR cover'!Print_Area</vt:lpstr>
      <vt:lpstr>'R8a - Tax Reconciliation'!Print_Titles</vt:lpstr>
      <vt:lpstr>real_to_nominal_CF</vt:lpstr>
      <vt:lpstr>Reporting_Year</vt:lpstr>
      <vt:lpstr>reporting_yearCov</vt:lpstr>
      <vt:lpstr>RIIO_2_start_date</vt:lpstr>
      <vt:lpstr>RoRE___including_financing_and_tax</vt:lpstr>
      <vt:lpstr>RoRE___Operational_performance</vt:lpstr>
      <vt:lpstr>Sector</vt:lpstr>
      <vt:lpstr>SectorCov</vt:lpstr>
      <vt:lpstr>Sharing_Factor</vt:lpstr>
      <vt:lpstr>Submitted_Date</vt:lpstr>
      <vt:lpstr>Tax_liability_per_latest_submitted_CT600____Reporting_Year</vt:lpstr>
      <vt:lpstr>Tax_performance___at_notional_gearing</vt:lpstr>
      <vt:lpstr>Tax_performance___impact_of_actual_gearing</vt:lpstr>
      <vt:lpstr>Totex_outperformance</vt:lpstr>
      <vt:lpstr>Version__Number</vt:lpstr>
      <vt:lpstr>YEFactor</vt:lpstr>
      <vt:lpstr>YEFactor_change</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RIIO-2 RFPR</dc:title>
  <dc:subject/>
  <dc:creator>Mick Watson</dc:creator>
  <cp:keywords/>
  <dc:description/>
  <cp:lastModifiedBy>Maurya, Shonalee</cp:lastModifiedBy>
  <cp:revision/>
  <dcterms:created xsi:type="dcterms:W3CDTF">2018-06-13T08:32:09Z</dcterms:created>
  <dcterms:modified xsi:type="dcterms:W3CDTF">2022-08-30T16:47:12Z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5d722096-b8a2-4daa-8dfd-9830cd657cb0</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0x010100D0C9C06626C5264BB8E56F32CB168917</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ClsUserRVM">
    <vt:lpwstr>[]</vt:lpwstr>
  </property>
  <property fmtid="{D5CDD505-2E9C-101B-9397-08002B2CF9AE}" pid="14" name="bjDocumentSecurityLabel">
    <vt:lpwstr>OFFICIAL</vt:lpwstr>
  </property>
  <property fmtid="{D5CDD505-2E9C-101B-9397-08002B2CF9AE}" pid="15"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6" name="bjDocumentLabelXML-0">
    <vt:lpwstr>ames.com/2008/01/sie/internal/label"&gt;&lt;element uid="id_classification_nonbusiness" value="" /&gt;&lt;/sisl&gt;</vt:lpwstr>
  </property>
  <property fmtid="{D5CDD505-2E9C-101B-9397-08002B2CF9AE}" pid="17" name="MediaServiceImageTags">
    <vt:lpwstr/>
  </property>
  <property fmtid="{D5CDD505-2E9C-101B-9397-08002B2CF9AE}" pid="18" name="MSIP_Label_7a28ff59-1dd3-406f-be87-f82473b549be_Enabled">
    <vt:lpwstr>True</vt:lpwstr>
  </property>
  <property fmtid="{D5CDD505-2E9C-101B-9397-08002B2CF9AE}" pid="19" name="MSIP_Label_7a28ff59-1dd3-406f-be87-f82473b549be_SiteId">
    <vt:lpwstr>de0d74aa-9914-4bb9-9235-fbefe83b1769</vt:lpwstr>
  </property>
  <property fmtid="{D5CDD505-2E9C-101B-9397-08002B2CF9AE}" pid="20" name="MSIP_Label_7a28ff59-1dd3-406f-be87-f82473b549be_Owner">
    <vt:lpwstr>Shonalee.Maurya@cadentgas.com</vt:lpwstr>
  </property>
  <property fmtid="{D5CDD505-2E9C-101B-9397-08002B2CF9AE}" pid="21" name="MSIP_Label_7a28ff59-1dd3-406f-be87-f82473b549be_SetDate">
    <vt:lpwstr>2022-07-19T13:10:59.4979131Z</vt:lpwstr>
  </property>
  <property fmtid="{D5CDD505-2E9C-101B-9397-08002B2CF9AE}" pid="22" name="MSIP_Label_7a28ff59-1dd3-406f-be87-f82473b549be_Name">
    <vt:lpwstr>Cadent - Official</vt:lpwstr>
  </property>
  <property fmtid="{D5CDD505-2E9C-101B-9397-08002B2CF9AE}" pid="23" name="MSIP_Label_7a28ff59-1dd3-406f-be87-f82473b549be_Application">
    <vt:lpwstr>Microsoft Azure Information Protection</vt:lpwstr>
  </property>
  <property fmtid="{D5CDD505-2E9C-101B-9397-08002B2CF9AE}" pid="24" name="MSIP_Label_7a28ff59-1dd3-406f-be87-f82473b549be_Extended_MSFT_Method">
    <vt:lpwstr>Automatic</vt:lpwstr>
  </property>
  <property fmtid="{D5CDD505-2E9C-101B-9397-08002B2CF9AE}" pid="25" name="MSIP_Label_2b73dd0b-afe1-4a46-943f-1bdb914b8a49_Enabled">
    <vt:lpwstr>True</vt:lpwstr>
  </property>
  <property fmtid="{D5CDD505-2E9C-101B-9397-08002B2CF9AE}" pid="26" name="MSIP_Label_2b73dd0b-afe1-4a46-943f-1bdb914b8a49_SiteId">
    <vt:lpwstr>b9563cbc-9874-41ab-b448-7e0f61aff3eb</vt:lpwstr>
  </property>
  <property fmtid="{D5CDD505-2E9C-101B-9397-08002B2CF9AE}" pid="27" name="MSIP_Label_2b73dd0b-afe1-4a46-943f-1bdb914b8a49_SetDate">
    <vt:lpwstr>2020-07-13T09:54:54Z</vt:lpwstr>
  </property>
  <property fmtid="{D5CDD505-2E9C-101B-9397-08002B2CF9AE}" pid="28" name="MSIP_Label_2b73dd0b-afe1-4a46-943f-1bdb914b8a49_Name">
    <vt:lpwstr>Internal</vt:lpwstr>
  </property>
  <property fmtid="{D5CDD505-2E9C-101B-9397-08002B2CF9AE}" pid="29" name="MSIP_Label_38144ccb-b10a-4c0f-b070-7a3b00ac7463_Enabled">
    <vt:lpwstr>True</vt:lpwstr>
  </property>
  <property fmtid="{D5CDD505-2E9C-101B-9397-08002B2CF9AE}" pid="30" name="MSIP_Label_38144ccb-b10a-4c0f-b070-7a3b00ac7463_SiteId">
    <vt:lpwstr>185562ad-39bc-4840-8e40-be6216340c52</vt:lpwstr>
  </property>
  <property fmtid="{D5CDD505-2E9C-101B-9397-08002B2CF9AE}" pid="31" name="MSIP_Label_38144ccb-b10a-4c0f-b070-7a3b00ac7463_SetDate">
    <vt:lpwstr>2022-05-27T11:21:22Z</vt:lpwstr>
  </property>
  <property fmtid="{D5CDD505-2E9C-101B-9397-08002B2CF9AE}" pid="32" name="MSIP_Label_38144ccb-b10a-4c0f-b070-7a3b00ac7463_Name">
    <vt:lpwstr>InternalOnly</vt:lpwstr>
  </property>
  <property fmtid="{D5CDD505-2E9C-101B-9397-08002B2CF9AE}" pid="33" name="Sensitivity">
    <vt:lpwstr>Cadent - Official Internal InternalOnly</vt:lpwstr>
  </property>
  <property fmtid="{D5CDD505-2E9C-101B-9397-08002B2CF9AE}" pid="34" name="CustomUiType">
    <vt:lpwstr>2</vt:lpwstr>
  </property>
</Properties>
</file>