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dentgasltd.sharepoint.com/sites/RFPR-RIIO-GD2Workstream/Shared Documents/General/Master Files for upload/WEBSITE/"/>
    </mc:Choice>
  </mc:AlternateContent>
  <xr:revisionPtr revIDLastSave="7" documentId="13_ncr:1_{41765E94-62B9-4440-92D4-507762E376FB}" xr6:coauthVersionLast="47" xr6:coauthVersionMax="47" xr10:uidLastSave="{C07B33F5-7EC3-4D25-B952-51B92D47CC81}"/>
  <bookViews>
    <workbookView xWindow="-98" yWindow="-98" windowWidth="20715" windowHeight="13276" tabRatio="827" firstSheet="3" activeTab="8"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Year">'[5]Pension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4" l="1"/>
  <c r="I20" i="10"/>
  <c r="H20" i="10"/>
  <c r="E17" i="10" l="1"/>
  <c r="E20" i="10"/>
  <c r="F20" i="10"/>
  <c r="G20" i="10"/>
  <c r="D187" i="2"/>
  <c r="L19" i="28" l="1"/>
  <c r="M19" i="28" s="1"/>
  <c r="N19" i="28" s="1"/>
  <c r="K19" i="28"/>
  <c r="K17" i="28"/>
  <c r="L17" i="28" s="1"/>
  <c r="M17" i="28" s="1"/>
  <c r="N17" i="28" s="1"/>
  <c r="K16" i="28"/>
  <c r="L16" i="28" s="1"/>
  <c r="M16" i="28" s="1"/>
  <c r="N16" i="28" s="1"/>
  <c r="C18" i="4"/>
  <c r="C16" i="4"/>
  <c r="I92" i="35"/>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E24" i="10" s="1"/>
  <c r="F17" i="10" s="1"/>
  <c r="E152" i="2" l="1"/>
  <c r="F152" i="2"/>
  <c r="G152" i="2"/>
  <c r="H152" i="2"/>
  <c r="E143" i="2"/>
  <c r="F74" i="4" s="1"/>
  <c r="F143" i="2"/>
  <c r="G74" i="4" s="1"/>
  <c r="G143" i="2"/>
  <c r="G153" i="2" s="1"/>
  <c r="H143" i="2"/>
  <c r="H153" i="2" s="1"/>
  <c r="D143" i="2"/>
  <c r="D152" i="2"/>
  <c r="D153" i="2" l="1"/>
  <c r="F153" i="2"/>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62" i="2" s="1"/>
  <c r="E75" i="2"/>
  <c r="D6" i="5"/>
  <c r="C8" i="13"/>
  <c r="B4" i="35" s="1"/>
  <c r="F17" i="2"/>
  <c r="F33" i="2" s="1"/>
  <c r="F46" i="2"/>
  <c r="F62" i="2" s="1"/>
  <c r="F75" i="2"/>
  <c r="G17" i="2"/>
  <c r="G33" i="2" s="1"/>
  <c r="G46" i="2"/>
  <c r="G62" i="2" s="1"/>
  <c r="G75" i="2"/>
  <c r="H17" i="2"/>
  <c r="H33" i="2" s="1"/>
  <c r="H46" i="2"/>
  <c r="H62" i="2" s="1"/>
  <c r="H75" i="2"/>
  <c r="D17" i="2"/>
  <c r="D33" i="2" s="1"/>
  <c r="D46" i="2"/>
  <c r="D62" i="2" s="1"/>
  <c r="D75" i="2"/>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D122" i="2"/>
  <c r="F184" i="28"/>
  <c r="F183" i="28"/>
  <c r="A3" i="13"/>
  <c r="D60" i="19"/>
  <c r="D62" i="19" s="1"/>
  <c r="E60" i="19"/>
  <c r="E62" i="19" s="1"/>
  <c r="F60" i="19"/>
  <c r="F62" i="19" s="1"/>
  <c r="G60" i="19"/>
  <c r="G62" i="19" s="1"/>
  <c r="H60" i="19"/>
  <c r="H62" i="19" s="1"/>
  <c r="D67" i="19"/>
  <c r="E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D117" i="2"/>
  <c r="E117" i="2"/>
  <c r="F117" i="2"/>
  <c r="G117" i="2"/>
  <c r="H117" i="2"/>
  <c r="J72" i="2"/>
  <c r="B47" i="1"/>
  <c r="D13" i="28"/>
  <c r="E13" i="28"/>
  <c r="F13" i="28"/>
  <c r="G13" i="28"/>
  <c r="H13" i="28"/>
  <c r="I13" i="28"/>
  <c r="J13" i="28"/>
  <c r="K13" i="28"/>
  <c r="L13" i="28"/>
  <c r="M13" i="28"/>
  <c r="N13" i="28"/>
  <c r="C13" i="28"/>
  <c r="C7" i="28"/>
  <c r="D52" i="19"/>
  <c r="D51" i="19"/>
  <c r="E52" i="19"/>
  <c r="F52" i="19" s="1"/>
  <c r="F51" i="19" s="1"/>
  <c r="D104" i="2"/>
  <c r="D103" i="2" s="1"/>
  <c r="F189" i="28"/>
  <c r="F188" i="28"/>
  <c r="F187" i="28"/>
  <c r="E216" i="28"/>
  <c r="F186" i="28" s="1"/>
  <c r="B216" i="28"/>
  <c r="F185" i="28" s="1"/>
  <c r="G128" i="28"/>
  <c r="B30" i="1"/>
  <c r="J48" i="17"/>
  <c r="D40" i="19"/>
  <c r="D39" i="19"/>
  <c r="H23" i="19"/>
  <c r="G23" i="19"/>
  <c r="F23" i="19"/>
  <c r="E23" i="19"/>
  <c r="D23" i="19"/>
  <c r="H16" i="11"/>
  <c r="G16" i="11"/>
  <c r="F16" i="11"/>
  <c r="E16" i="11"/>
  <c r="D16" i="11"/>
  <c r="I18" i="29"/>
  <c r="H18" i="29"/>
  <c r="G18" i="29"/>
  <c r="F18" i="29"/>
  <c r="E18" i="29"/>
  <c r="H53" i="27"/>
  <c r="G53" i="27"/>
  <c r="F53" i="27"/>
  <c r="E53" i="27"/>
  <c r="D53" i="27"/>
  <c r="I6" i="17"/>
  <c r="I5" i="17" s="1"/>
  <c r="I6" i="5"/>
  <c r="I5" i="5" s="1"/>
  <c r="J43" i="2"/>
  <c r="J14"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F24" i="10"/>
  <c r="G17" i="10" s="1"/>
  <c r="D6" i="17"/>
  <c r="D5" i="17" s="1"/>
  <c r="D6" i="19"/>
  <c r="D6" i="2"/>
  <c r="D5" i="2" s="1"/>
  <c r="D6" i="11"/>
  <c r="D5" i="11" s="1"/>
  <c r="D6" i="27"/>
  <c r="D5" i="27" s="1"/>
  <c r="E6" i="10"/>
  <c r="E5" i="10" s="1"/>
  <c r="E27" i="10" s="1"/>
  <c r="D5" i="19"/>
  <c r="E6" i="19"/>
  <c r="E5" i="19" s="1"/>
  <c r="E6" i="27"/>
  <c r="F6" i="27" s="1"/>
  <c r="B21" i="1"/>
  <c r="F6" i="19"/>
  <c r="F5" i="19" s="1"/>
  <c r="F20" i="4"/>
  <c r="G20" i="4"/>
  <c r="H20" i="4"/>
  <c r="I20" i="4"/>
  <c r="H56" i="17" l="1"/>
  <c r="F56" i="17"/>
  <c r="E56" i="17"/>
  <c r="G56" i="17"/>
  <c r="J50" i="17"/>
  <c r="J51" i="17"/>
  <c r="J52" i="17"/>
  <c r="J54" i="17"/>
  <c r="J49" i="17"/>
  <c r="J53" i="17"/>
  <c r="D24" i="27"/>
  <c r="D43" i="27" s="1"/>
  <c r="H24" i="27"/>
  <c r="H43" i="27" s="1"/>
  <c r="H45" i="27" s="1"/>
  <c r="H49" i="27" s="1"/>
  <c r="G67" i="35"/>
  <c r="G25" i="35"/>
  <c r="G17" i="35"/>
  <c r="G66" i="35"/>
  <c r="G16" i="35"/>
  <c r="G91" i="35"/>
  <c r="G56" i="35"/>
  <c r="G19" i="35"/>
  <c r="G87" i="35"/>
  <c r="G65" i="35"/>
  <c r="G88" i="35"/>
  <c r="G26" i="35"/>
  <c r="G90" i="35"/>
  <c r="G18" i="35"/>
  <c r="G89" i="35"/>
  <c r="G20" i="35"/>
  <c r="C99" i="35"/>
  <c r="E191" i="28"/>
  <c r="J54" i="28"/>
  <c r="J73" i="28" s="1"/>
  <c r="I79" i="28"/>
  <c r="Q54" i="28"/>
  <c r="P79" i="28"/>
  <c r="C9" i="28"/>
  <c r="C30" i="2" s="1"/>
  <c r="I57" i="2"/>
  <c r="I59" i="2"/>
  <c r="I58" i="2"/>
  <c r="I28" i="2"/>
  <c r="I29" i="2"/>
  <c r="I30" i="2"/>
  <c r="E80" i="4"/>
  <c r="E92" i="4" s="1"/>
  <c r="E81" i="4"/>
  <c r="H71" i="4"/>
  <c r="H77" i="4"/>
  <c r="H81" i="4" s="1"/>
  <c r="I71" i="4"/>
  <c r="I80" i="4" s="1"/>
  <c r="I92" i="4" s="1"/>
  <c r="I77" i="4"/>
  <c r="I81" i="4" s="1"/>
  <c r="G71" i="4"/>
  <c r="G80" i="4" s="1"/>
  <c r="G92" i="4" s="1"/>
  <c r="G77" i="4"/>
  <c r="G81" i="4" s="1"/>
  <c r="F71" i="4"/>
  <c r="F77" i="4"/>
  <c r="F81" i="4" s="1"/>
  <c r="E5" i="27"/>
  <c r="E30" i="10"/>
  <c r="D26" i="28"/>
  <c r="D28" i="28"/>
  <c r="E21" i="29"/>
  <c r="F21" i="29"/>
  <c r="G21" i="29"/>
  <c r="H21" i="29"/>
  <c r="I21" i="29"/>
  <c r="E6" i="5"/>
  <c r="D5" i="5"/>
  <c r="D85" i="2"/>
  <c r="I85" i="2" s="1"/>
  <c r="D86" i="2"/>
  <c r="G85" i="2"/>
  <c r="G86" i="2"/>
  <c r="E86" i="2"/>
  <c r="E85" i="2"/>
  <c r="H86" i="2"/>
  <c r="H85" i="2"/>
  <c r="F85" i="2"/>
  <c r="F86" i="2"/>
  <c r="D61" i="2"/>
  <c r="I61" i="2" s="1"/>
  <c r="I62" i="2"/>
  <c r="G61" i="2"/>
  <c r="E61" i="2"/>
  <c r="H61" i="2"/>
  <c r="F61" i="2"/>
  <c r="F32" i="2"/>
  <c r="H32" i="2"/>
  <c r="D32" i="2"/>
  <c r="I32" i="2" s="1"/>
  <c r="I33" i="2"/>
  <c r="G32" i="2"/>
  <c r="E32" i="2"/>
  <c r="E28" i="28"/>
  <c r="E32" i="10" s="1"/>
  <c r="F6" i="4"/>
  <c r="G24" i="10"/>
  <c r="H123" i="2"/>
  <c r="H155" i="2" s="1"/>
  <c r="H189" i="2" s="1"/>
  <c r="F123" i="2"/>
  <c r="E123" i="2"/>
  <c r="D56" i="17"/>
  <c r="E4" i="29"/>
  <c r="G45" i="11"/>
  <c r="G64" i="11" s="1"/>
  <c r="D45" i="11"/>
  <c r="D64" i="11" s="1"/>
  <c r="F45" i="11"/>
  <c r="F64" i="11" s="1"/>
  <c r="E45" i="11"/>
  <c r="E64" i="11" s="1"/>
  <c r="H45" i="11"/>
  <c r="H64" i="11" s="1"/>
  <c r="B20" i="1"/>
  <c r="I81" i="2"/>
  <c r="I82" i="2"/>
  <c r="I83" i="2"/>
  <c r="I25" i="2"/>
  <c r="I54" i="2"/>
  <c r="I53" i="2"/>
  <c r="I52" i="2"/>
  <c r="I24" i="2"/>
  <c r="I23" i="2"/>
  <c r="D123" i="2"/>
  <c r="D155" i="2" s="1"/>
  <c r="D189" i="2" s="1"/>
  <c r="G123" i="2"/>
  <c r="F6" i="29"/>
  <c r="F5" i="29" s="1"/>
  <c r="F6" i="10"/>
  <c r="G6" i="10" s="1"/>
  <c r="H6" i="10" s="1"/>
  <c r="F5" i="27"/>
  <c r="G6" i="27"/>
  <c r="E6" i="17"/>
  <c r="E6" i="2"/>
  <c r="E6" i="11"/>
  <c r="E51" i="19"/>
  <c r="G6" i="19"/>
  <c r="E24" i="28"/>
  <c r="E65" i="4"/>
  <c r="E5" i="4"/>
  <c r="G52" i="19"/>
  <c r="F25" i="28"/>
  <c r="F6" i="5"/>
  <c r="E104" i="2"/>
  <c r="E103" i="2" s="1"/>
  <c r="E159" i="2" s="1"/>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E57" i="4"/>
  <c r="E59" i="4" s="1"/>
  <c r="B48" i="1"/>
  <c r="E123" i="28"/>
  <c r="F123" i="28" s="1"/>
  <c r="E127" i="28"/>
  <c r="F127" i="28" s="1"/>
  <c r="D63" i="17"/>
  <c r="G63" i="17"/>
  <c r="E126" i="28"/>
  <c r="F126" i="28" s="1"/>
  <c r="E190" i="28"/>
  <c r="E187" i="28"/>
  <c r="E63" i="17"/>
  <c r="F26" i="28"/>
  <c r="E158" i="2" s="1"/>
  <c r="I26" i="28"/>
  <c r="E184" i="28"/>
  <c r="B120" i="28"/>
  <c r="E26" i="28"/>
  <c r="H26" i="28"/>
  <c r="E183" i="28"/>
  <c r="K26" i="28"/>
  <c r="G26" i="28"/>
  <c r="E189" i="28"/>
  <c r="E129" i="28"/>
  <c r="F129" i="28" s="1"/>
  <c r="J26" i="28"/>
  <c r="E128" i="28"/>
  <c r="F128" i="28" s="1"/>
  <c r="E186" i="28"/>
  <c r="E188" i="28"/>
  <c r="E124" i="28"/>
  <c r="F124" i="28" s="1"/>
  <c r="E125" i="28"/>
  <c r="F125" i="28" s="1"/>
  <c r="E185" i="28"/>
  <c r="D66" i="27"/>
  <c r="G66" i="27"/>
  <c r="E66" i="27"/>
  <c r="F66" i="27"/>
  <c r="H66" i="27"/>
  <c r="F63" i="17"/>
  <c r="E24" i="27" l="1"/>
  <c r="E43" i="27" s="1"/>
  <c r="E45" i="27" s="1"/>
  <c r="E49" i="27" s="1"/>
  <c r="F48" i="27" s="1"/>
  <c r="G24" i="27"/>
  <c r="G43" i="27" s="1"/>
  <c r="G45" i="27" s="1"/>
  <c r="G49" i="27" s="1"/>
  <c r="H48" i="27" s="1"/>
  <c r="F24" i="27"/>
  <c r="F43" i="27" s="1"/>
  <c r="H17" i="10"/>
  <c r="H24" i="10" s="1"/>
  <c r="J47" i="17"/>
  <c r="G29" i="17"/>
  <c r="H97" i="4" s="1"/>
  <c r="D45" i="27"/>
  <c r="D49" i="27" s="1"/>
  <c r="E48" i="27" s="1"/>
  <c r="E55" i="27" s="1"/>
  <c r="H55" i="27"/>
  <c r="D158" i="2"/>
  <c r="D159" i="2" s="1"/>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E78" i="4"/>
  <c r="F78" i="4"/>
  <c r="I78" i="4"/>
  <c r="H80" i="4"/>
  <c r="H92" i="4" s="1"/>
  <c r="G78" i="4"/>
  <c r="F80" i="4"/>
  <c r="F92" i="4" s="1"/>
  <c r="J56" i="17"/>
  <c r="C6" i="28"/>
  <c r="E98" i="35"/>
  <c r="E99" i="35" s="1"/>
  <c r="D98" i="35"/>
  <c r="D99" i="35" s="1"/>
  <c r="F5" i="4"/>
  <c r="G6" i="4"/>
  <c r="G5" i="4" s="1"/>
  <c r="E76" i="1"/>
  <c r="D76" i="1"/>
  <c r="G6" i="1"/>
  <c r="E5" i="1"/>
  <c r="E5" i="5"/>
  <c r="E74" i="1"/>
  <c r="J86" i="2"/>
  <c r="J85" i="2"/>
  <c r="J33" i="2"/>
  <c r="J62" i="2"/>
  <c r="J61" i="2"/>
  <c r="J32" i="2"/>
  <c r="F28" i="28"/>
  <c r="F32" i="10" s="1"/>
  <c r="F27" i="28"/>
  <c r="G155" i="2"/>
  <c r="G189" i="2" s="1"/>
  <c r="F155" i="2"/>
  <c r="F189" i="2" s="1"/>
  <c r="E155" i="2"/>
  <c r="E189" i="2" s="1"/>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H15" i="4"/>
  <c r="H18" i="4" s="1"/>
  <c r="D75" i="1"/>
  <c r="D74" i="1"/>
  <c r="E15" i="4"/>
  <c r="E18" i="4" s="1"/>
  <c r="E20" i="4" s="1"/>
  <c r="B130" i="28"/>
  <c r="G15" i="4"/>
  <c r="G18" i="4" s="1"/>
  <c r="F36" i="29"/>
  <c r="F15" i="4"/>
  <c r="F18" i="4" s="1"/>
  <c r="E18" i="19"/>
  <c r="E42" i="17"/>
  <c r="E54" i="19"/>
  <c r="E82" i="1" s="1"/>
  <c r="I15" i="4"/>
  <c r="I18" i="4" s="1"/>
  <c r="F45" i="27" l="1"/>
  <c r="F49" i="27" s="1"/>
  <c r="G48" i="27" s="1"/>
  <c r="G55" i="27" s="1"/>
  <c r="D55" i="27"/>
  <c r="I17" i="10"/>
  <c r="I24" i="10" s="1"/>
  <c r="F105" i="4"/>
  <c r="E29" i="17"/>
  <c r="G31" i="17"/>
  <c r="G34" i="17" s="1"/>
  <c r="I105" i="4"/>
  <c r="H29" i="17"/>
  <c r="F29" i="17"/>
  <c r="E95" i="4"/>
  <c r="E105" i="4" s="1"/>
  <c r="D29" i="17"/>
  <c r="F55" i="27"/>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B63" i="5"/>
  <c r="B78" i="1" s="1"/>
  <c r="B62" i="5"/>
  <c r="B77" i="1" s="1"/>
  <c r="B81" i="1"/>
  <c r="B65" i="5"/>
  <c r="B80" i="1" s="1"/>
  <c r="B64" i="5"/>
  <c r="B79" i="1" s="1"/>
  <c r="F76" i="1"/>
  <c r="I6" i="4"/>
  <c r="I5" i="4" s="1"/>
  <c r="H65" i="4"/>
  <c r="B19" i="1"/>
  <c r="B46" i="1"/>
  <c r="G28" i="28"/>
  <c r="G27" i="28"/>
  <c r="H105" i="4"/>
  <c r="F93" i="4"/>
  <c r="I5" i="10"/>
  <c r="I27" i="10" s="1"/>
  <c r="G5" i="5"/>
  <c r="E37" i="10"/>
  <c r="E41" i="10" s="1"/>
  <c r="G4" i="29"/>
  <c r="H6" i="29"/>
  <c r="H5" i="29" s="1"/>
  <c r="G36" i="29"/>
  <c r="F5" i="2"/>
  <c r="G6" i="2"/>
  <c r="G158" i="2" s="1"/>
  <c r="F5" i="17"/>
  <c r="G6" i="17"/>
  <c r="J71" i="1"/>
  <c r="F5" i="11"/>
  <c r="G6" i="11"/>
  <c r="J72" i="1"/>
  <c r="H6" i="5"/>
  <c r="G104" i="2"/>
  <c r="F103" i="2"/>
  <c r="F159" i="2" s="1"/>
  <c r="F74" i="1"/>
  <c r="E191" i="2"/>
  <c r="G24" i="28"/>
  <c r="H25" i="28"/>
  <c r="F18" i="19"/>
  <c r="F42" i="17"/>
  <c r="F57" i="17" s="1"/>
  <c r="F54" i="19"/>
  <c r="F82" i="1" s="1"/>
  <c r="B42" i="1"/>
  <c r="B16" i="1"/>
  <c r="E57" i="17"/>
  <c r="H31" i="17" l="1"/>
  <c r="H34" i="17" s="1"/>
  <c r="F97" i="4"/>
  <c r="E31" i="17"/>
  <c r="F31" i="17"/>
  <c r="F34" i="17" s="1"/>
  <c r="G97" i="4"/>
  <c r="G105" i="4"/>
  <c r="I97" i="4"/>
  <c r="E97" i="4"/>
  <c r="D31" i="17"/>
  <c r="D34" i="17" s="1"/>
  <c r="G32" i="10"/>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B26" i="1"/>
  <c r="B53" i="1"/>
  <c r="B23" i="1"/>
  <c r="B50" i="1"/>
  <c r="B24" i="1"/>
  <c r="B51" i="1"/>
  <c r="B27" i="1"/>
  <c r="B54" i="1"/>
  <c r="B52" i="1"/>
  <c r="B25" i="1"/>
  <c r="I65" i="4"/>
  <c r="G76" i="1"/>
  <c r="H28" i="28"/>
  <c r="H32" i="10" s="1"/>
  <c r="H27" i="28"/>
  <c r="G40" i="17" s="1"/>
  <c r="G93" i="4"/>
  <c r="I6" i="29"/>
  <c r="I5" i="29" s="1"/>
  <c r="H4" i="29"/>
  <c r="H5" i="5"/>
  <c r="E40" i="10"/>
  <c r="D90" i="1" s="1"/>
  <c r="E39" i="10"/>
  <c r="E43" i="10" s="1"/>
  <c r="D58" i="27"/>
  <c r="F39" i="10"/>
  <c r="F43" i="10" s="1"/>
  <c r="G18" i="19"/>
  <c r="H6" i="17"/>
  <c r="G5" i="17"/>
  <c r="I54" i="17"/>
  <c r="G74" i="1"/>
  <c r="G5" i="2"/>
  <c r="H6" i="2"/>
  <c r="H6" i="11"/>
  <c r="H5" i="11" s="1"/>
  <c r="G5" i="11"/>
  <c r="I56" i="17"/>
  <c r="D56" i="27"/>
  <c r="G103" i="2"/>
  <c r="G159" i="2" s="1"/>
  <c r="H104" i="2"/>
  <c r="H36" i="29"/>
  <c r="F191" i="2"/>
  <c r="I25" i="28"/>
  <c r="G42" i="17"/>
  <c r="G57" i="17" s="1"/>
  <c r="H24" i="28"/>
  <c r="G54" i="19"/>
  <c r="G82" i="1" s="1"/>
  <c r="F44" i="10"/>
  <c r="E90" i="1"/>
  <c r="B43" i="1"/>
  <c r="B15" i="1"/>
  <c r="J69" i="1"/>
  <c r="J81" i="1"/>
  <c r="J78" i="1"/>
  <c r="F31" i="29"/>
  <c r="F34" i="29" s="1"/>
  <c r="F38" i="29" s="1"/>
  <c r="B44" i="1"/>
  <c r="B17" i="1"/>
  <c r="B45" i="1"/>
  <c r="B18" i="1"/>
  <c r="J74" i="1"/>
  <c r="K75" i="1"/>
  <c r="J75" i="1"/>
  <c r="E58" i="27"/>
  <c r="E56" i="27"/>
  <c r="B41" i="1"/>
  <c r="B14" i="1"/>
  <c r="J70" i="1"/>
  <c r="J73" i="1"/>
  <c r="J25" i="1" l="1"/>
  <c r="J26" i="1"/>
  <c r="J27" i="1"/>
  <c r="J23" i="1"/>
  <c r="J24" i="1"/>
  <c r="J19" i="1"/>
  <c r="J18" i="1"/>
  <c r="J21" i="1"/>
  <c r="J20" i="1"/>
  <c r="J22" i="1"/>
  <c r="I72" i="2"/>
  <c r="H158" i="2"/>
  <c r="G56" i="27"/>
  <c r="D63" i="27"/>
  <c r="D62" i="27"/>
  <c r="D65" i="27" s="1"/>
  <c r="E34" i="17"/>
  <c r="E40" i="17"/>
  <c r="F40" i="17"/>
  <c r="F56" i="27"/>
  <c r="F58" i="27"/>
  <c r="F60" i="27" s="1"/>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H76" i="1"/>
  <c r="I28" i="28"/>
  <c r="I32" i="10" s="1"/>
  <c r="I27" i="28"/>
  <c r="F103" i="4"/>
  <c r="H93" i="4"/>
  <c r="D26" i="1"/>
  <c r="D16" i="1"/>
  <c r="D17" i="1"/>
  <c r="D21" i="1"/>
  <c r="D23" i="1"/>
  <c r="D15" i="1"/>
  <c r="D19" i="1"/>
  <c r="J15" i="1"/>
  <c r="D18" i="1"/>
  <c r="D20" i="1"/>
  <c r="H42" i="17"/>
  <c r="H57" i="17" s="1"/>
  <c r="I4" i="29"/>
  <c r="J16" i="1"/>
  <c r="K78" i="1"/>
  <c r="E44" i="10"/>
  <c r="D65" i="1" s="1"/>
  <c r="D11" i="1" s="1"/>
  <c r="I36" i="29"/>
  <c r="E20" i="1"/>
  <c r="H5" i="2"/>
  <c r="I43" i="2"/>
  <c r="I14" i="2"/>
  <c r="H5" i="17"/>
  <c r="I50" i="17"/>
  <c r="I48" i="17"/>
  <c r="I49" i="17"/>
  <c r="I47" i="17"/>
  <c r="I51" i="17"/>
  <c r="I52" i="17"/>
  <c r="I53" i="17"/>
  <c r="H103" i="2"/>
  <c r="H159" i="2" s="1"/>
  <c r="G191" i="2"/>
  <c r="G66" i="17"/>
  <c r="G44" i="17"/>
  <c r="I24" i="28"/>
  <c r="H40" i="17"/>
  <c r="J25" i="28"/>
  <c r="H18" i="19"/>
  <c r="H54" i="19"/>
  <c r="H82" i="1" s="1"/>
  <c r="H74" i="1"/>
  <c r="E22" i="1"/>
  <c r="E13" i="1"/>
  <c r="E25" i="1"/>
  <c r="E24" i="1"/>
  <c r="E21" i="1"/>
  <c r="E16" i="1"/>
  <c r="E23" i="1"/>
  <c r="E26" i="1"/>
  <c r="E17" i="1"/>
  <c r="E28" i="1"/>
  <c r="E18" i="1"/>
  <c r="E19" i="1"/>
  <c r="E65" i="1"/>
  <c r="E11" i="1" s="1"/>
  <c r="F45" i="10"/>
  <c r="D25" i="1"/>
  <c r="E31" i="29"/>
  <c r="E34" i="29" s="1"/>
  <c r="J79" i="1"/>
  <c r="D24" i="1"/>
  <c r="J80" i="1"/>
  <c r="E60" i="27"/>
  <c r="E62" i="27"/>
  <c r="E65" i="27" s="1"/>
  <c r="E63" i="27"/>
  <c r="E91" i="1" s="1"/>
  <c r="D60" i="27"/>
  <c r="D91" i="1"/>
  <c r="J50" i="1" l="1"/>
  <c r="J51" i="1"/>
  <c r="J53" i="1"/>
  <c r="J52" i="1"/>
  <c r="J54" i="1"/>
  <c r="J49" i="1"/>
  <c r="G58" i="27"/>
  <c r="F66" i="17"/>
  <c r="F44" i="17"/>
  <c r="F83" i="17" s="1"/>
  <c r="G64" i="29" s="1"/>
  <c r="G65" i="29" s="1"/>
  <c r="E66" i="17"/>
  <c r="E44" i="17"/>
  <c r="E83" i="17" s="1"/>
  <c r="F64" i="29" s="1"/>
  <c r="F65" i="29" s="1"/>
  <c r="F62" i="27"/>
  <c r="F65" i="27" s="1"/>
  <c r="F67" i="27" s="1"/>
  <c r="F90" i="1"/>
  <c r="F17" i="1" s="1"/>
  <c r="F63" i="27"/>
  <c r="F91" i="1" s="1"/>
  <c r="F50" i="1" s="1"/>
  <c r="G83" i="17"/>
  <c r="H64" i="29" s="1"/>
  <c r="H65" i="29" s="1"/>
  <c r="H40" i="10"/>
  <c r="G90" i="1" s="1"/>
  <c r="G27"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D54" i="19"/>
  <c r="D82" i="1" s="1"/>
  <c r="J55" i="1" s="1"/>
  <c r="J28" i="28"/>
  <c r="J27" i="28"/>
  <c r="F58" i="29"/>
  <c r="F46" i="29"/>
  <c r="I93" i="4"/>
  <c r="E103" i="4"/>
  <c r="J11" i="1"/>
  <c r="J65" i="1"/>
  <c r="E45" i="10"/>
  <c r="H31" i="29"/>
  <c r="H34" i="29" s="1"/>
  <c r="H38" i="29" s="1"/>
  <c r="F44" i="1"/>
  <c r="J24" i="28"/>
  <c r="K25" i="28"/>
  <c r="H66" i="17"/>
  <c r="H44" i="17"/>
  <c r="H191" i="2"/>
  <c r="H58" i="27"/>
  <c r="H56" i="27"/>
  <c r="G31" i="29"/>
  <c r="G34" i="29" s="1"/>
  <c r="G38" i="29" s="1"/>
  <c r="F65" i="1"/>
  <c r="G45" i="10"/>
  <c r="J77" i="1"/>
  <c r="D13" i="1"/>
  <c r="J13" i="1"/>
  <c r="J67" i="1"/>
  <c r="J68" i="1"/>
  <c r="D14" i="1"/>
  <c r="J14" i="1"/>
  <c r="E15" i="1"/>
  <c r="K69" i="1"/>
  <c r="E51" i="1"/>
  <c r="E49" i="1"/>
  <c r="E50" i="1"/>
  <c r="E42" i="1"/>
  <c r="E52" i="1"/>
  <c r="E48" i="1"/>
  <c r="E43" i="1"/>
  <c r="E46" i="1"/>
  <c r="E44" i="1"/>
  <c r="E45" i="1"/>
  <c r="E40" i="1"/>
  <c r="E38" i="1"/>
  <c r="E55" i="1"/>
  <c r="E41" i="1"/>
  <c r="E47" i="1"/>
  <c r="E64" i="17"/>
  <c r="E67" i="27"/>
  <c r="D52" i="1"/>
  <c r="D51" i="1"/>
  <c r="D45" i="1"/>
  <c r="J45" i="1"/>
  <c r="D49" i="1"/>
  <c r="J44" i="1"/>
  <c r="D44" i="1"/>
  <c r="D42" i="1"/>
  <c r="J42" i="1"/>
  <c r="D41" i="1"/>
  <c r="J41" i="1"/>
  <c r="D38" i="1"/>
  <c r="J48" i="1"/>
  <c r="D43" i="1"/>
  <c r="D46" i="1"/>
  <c r="D47" i="1"/>
  <c r="J38" i="1"/>
  <c r="J43" i="1"/>
  <c r="J40" i="1"/>
  <c r="J47" i="1"/>
  <c r="D48" i="1"/>
  <c r="J46" i="1"/>
  <c r="D40" i="1"/>
  <c r="D64" i="17"/>
  <c r="D67" i="27"/>
  <c r="G60" i="27" l="1"/>
  <c r="F20" i="1"/>
  <c r="F27" i="1"/>
  <c r="F24" i="1"/>
  <c r="F16" i="1"/>
  <c r="F26" i="1"/>
  <c r="F13" i="1"/>
  <c r="G63" i="27"/>
  <c r="G91" i="1" s="1"/>
  <c r="G42" i="1" s="1"/>
  <c r="F25" i="1"/>
  <c r="F64" i="17"/>
  <c r="F67" i="17" s="1"/>
  <c r="F68" i="17" s="1"/>
  <c r="F70" i="17" s="1"/>
  <c r="G62" i="27"/>
  <c r="G65" i="27" s="1"/>
  <c r="G64" i="17" s="1"/>
  <c r="G71" i="17" s="1"/>
  <c r="F45" i="1"/>
  <c r="F19" i="1"/>
  <c r="F41" i="1"/>
  <c r="F47" i="1"/>
  <c r="F42" i="1"/>
  <c r="F18" i="1"/>
  <c r="F21" i="1"/>
  <c r="F15" i="1"/>
  <c r="F55" i="1"/>
  <c r="F46" i="1"/>
  <c r="F43" i="1"/>
  <c r="F53" i="1"/>
  <c r="F14" i="1"/>
  <c r="F23" i="1"/>
  <c r="F28" i="1"/>
  <c r="F48" i="1"/>
  <c r="F40" i="1"/>
  <c r="F54" i="1"/>
  <c r="G15" i="1"/>
  <c r="G26" i="1"/>
  <c r="G22" i="1"/>
  <c r="G28" i="1"/>
  <c r="G21" i="1"/>
  <c r="G20" i="1"/>
  <c r="G25" i="1"/>
  <c r="G24" i="1"/>
  <c r="G23" i="1"/>
  <c r="H44" i="10"/>
  <c r="G65" i="1" s="1"/>
  <c r="G11" i="1" s="1"/>
  <c r="I37" i="10"/>
  <c r="I41" i="10" s="1"/>
  <c r="D42" i="17"/>
  <c r="D57" i="17" s="1"/>
  <c r="J57" i="17" s="1"/>
  <c r="K82" i="1"/>
  <c r="D55" i="1"/>
  <c r="D18" i="19"/>
  <c r="J82" i="1"/>
  <c r="D28" i="1"/>
  <c r="J28" i="1"/>
  <c r="D40" i="17"/>
  <c r="E36" i="29"/>
  <c r="E38" i="29" s="1"/>
  <c r="E58" i="29" s="1"/>
  <c r="I31" i="29"/>
  <c r="I34" i="29" s="1"/>
  <c r="I38" i="29" s="1"/>
  <c r="K28" i="28"/>
  <c r="K27" i="28"/>
  <c r="G103" i="4"/>
  <c r="H103" i="4"/>
  <c r="K81" i="1"/>
  <c r="K24" i="28"/>
  <c r="K80" i="1"/>
  <c r="F52" i="1"/>
  <c r="H60" i="27"/>
  <c r="F51" i="1"/>
  <c r="K79" i="1"/>
  <c r="F11" i="1"/>
  <c r="F38" i="1"/>
  <c r="K73" i="1"/>
  <c r="G19" i="1"/>
  <c r="G18" i="1"/>
  <c r="K72" i="1"/>
  <c r="G16" i="1"/>
  <c r="K70" i="1"/>
  <c r="G17" i="1"/>
  <c r="K71" i="1"/>
  <c r="E67" i="17"/>
  <c r="E68" i="17" s="1"/>
  <c r="E70" i="17" s="1"/>
  <c r="E71" i="17"/>
  <c r="G45" i="1" l="1"/>
  <c r="G47" i="1"/>
  <c r="G54" i="1"/>
  <c r="G44" i="1"/>
  <c r="G50" i="1"/>
  <c r="G55" i="1"/>
  <c r="G53" i="1"/>
  <c r="G43" i="1"/>
  <c r="G48" i="1"/>
  <c r="G46" i="1"/>
  <c r="G51" i="1"/>
  <c r="G67" i="17"/>
  <c r="G68" i="17" s="1"/>
  <c r="G70" i="17" s="1"/>
  <c r="G85" i="17" s="1"/>
  <c r="H66" i="29" s="1"/>
  <c r="H67" i="29" s="1"/>
  <c r="H68" i="29" s="1"/>
  <c r="F71" i="17"/>
  <c r="F85" i="17" s="1"/>
  <c r="G66" i="29" s="1"/>
  <c r="G52" i="1"/>
  <c r="G49" i="1"/>
  <c r="G67" i="27"/>
  <c r="G40" i="1"/>
  <c r="D71" i="17"/>
  <c r="I71" i="17" s="1"/>
  <c r="G38" i="1"/>
  <c r="H45" i="10"/>
  <c r="I57" i="17"/>
  <c r="I40" i="10"/>
  <c r="I39" i="10"/>
  <c r="I43" i="10" s="1"/>
  <c r="D66" i="17"/>
  <c r="D67" i="17" s="1"/>
  <c r="D68" i="17" s="1"/>
  <c r="D70" i="17" s="1"/>
  <c r="D44" i="17"/>
  <c r="D83" i="17" s="1"/>
  <c r="E64" i="29" s="1"/>
  <c r="K67" i="1"/>
  <c r="G13" i="1"/>
  <c r="G58" i="29"/>
  <c r="H58" i="29"/>
  <c r="I103" i="4"/>
  <c r="E85" i="17"/>
  <c r="F66" i="29" s="1"/>
  <c r="H46" i="29"/>
  <c r="G46" i="29"/>
  <c r="K74" i="1"/>
  <c r="F49" i="1"/>
  <c r="F22" i="1"/>
  <c r="K77" i="1"/>
  <c r="G14" i="1"/>
  <c r="G41" i="1"/>
  <c r="K68" i="1"/>
  <c r="G87" i="17" l="1"/>
  <c r="G85" i="1" s="1"/>
  <c r="H47" i="29"/>
  <c r="H48" i="29" s="1"/>
  <c r="H50" i="29" s="1"/>
  <c r="H60" i="29" s="1"/>
  <c r="G86" i="1" s="1"/>
  <c r="G31" i="1" s="1"/>
  <c r="D85" i="17"/>
  <c r="E66" i="29" s="1"/>
  <c r="E67" i="29" s="1"/>
  <c r="D84" i="1" s="1"/>
  <c r="I70" i="17"/>
  <c r="H83" i="17"/>
  <c r="I64" i="29" s="1"/>
  <c r="I65" i="29" s="1"/>
  <c r="H62" i="27"/>
  <c r="H65" i="27" s="1"/>
  <c r="H63" i="27"/>
  <c r="H91" i="1" s="1"/>
  <c r="H90" i="1"/>
  <c r="I44" i="10"/>
  <c r="H65" i="1" s="1"/>
  <c r="G84" i="1"/>
  <c r="G30" i="1" s="1"/>
  <c r="I44" i="17"/>
  <c r="J44" i="17"/>
  <c r="F47" i="29"/>
  <c r="F48" i="29" s="1"/>
  <c r="F50" i="29" s="1"/>
  <c r="F60" i="29" s="1"/>
  <c r="F67" i="29"/>
  <c r="F68" i="29" s="1"/>
  <c r="G67" i="29"/>
  <c r="G68" i="29" s="1"/>
  <c r="G47" i="29"/>
  <c r="G48" i="29" s="1"/>
  <c r="G50" i="29" s="1"/>
  <c r="G60" i="29" s="1"/>
  <c r="I46" i="29"/>
  <c r="I58" i="29"/>
  <c r="F87" i="17"/>
  <c r="E87" i="17"/>
  <c r="K20" i="1" l="1"/>
  <c r="K22" i="1"/>
  <c r="K23" i="1"/>
  <c r="K21" i="1"/>
  <c r="K18" i="1"/>
  <c r="K19" i="1"/>
  <c r="K25" i="1"/>
  <c r="K27" i="1"/>
  <c r="K26" i="1"/>
  <c r="K24" i="1"/>
  <c r="K49" i="1"/>
  <c r="K50" i="1"/>
  <c r="K53" i="1"/>
  <c r="K54" i="1"/>
  <c r="K52" i="1"/>
  <c r="K51" i="1"/>
  <c r="I85" i="17"/>
  <c r="D87" i="17"/>
  <c r="I87" i="17" s="1"/>
  <c r="H11" i="1"/>
  <c r="K11" i="1"/>
  <c r="K65" i="1"/>
  <c r="H38" i="1"/>
  <c r="K38" i="1"/>
  <c r="H44" i="1"/>
  <c r="K55" i="1"/>
  <c r="H41" i="1"/>
  <c r="H45" i="1"/>
  <c r="H55" i="1"/>
  <c r="H42" i="1"/>
  <c r="K40" i="1"/>
  <c r="K45" i="1"/>
  <c r="H46" i="1"/>
  <c r="K41" i="1"/>
  <c r="K42" i="1"/>
  <c r="K48" i="1"/>
  <c r="H47" i="1"/>
  <c r="K47" i="1"/>
  <c r="H49" i="1"/>
  <c r="H48" i="1"/>
  <c r="H53" i="1"/>
  <c r="H40" i="1"/>
  <c r="K44" i="1"/>
  <c r="H54" i="1"/>
  <c r="H52" i="1"/>
  <c r="H51" i="1"/>
  <c r="K46" i="1"/>
  <c r="H43" i="1"/>
  <c r="K43" i="1"/>
  <c r="H50" i="1"/>
  <c r="H27" i="1"/>
  <c r="H16" i="1"/>
  <c r="H15" i="1"/>
  <c r="H26" i="1"/>
  <c r="H24" i="1"/>
  <c r="H18" i="1"/>
  <c r="H21" i="1"/>
  <c r="H25" i="1"/>
  <c r="H17" i="1"/>
  <c r="H13" i="1"/>
  <c r="K15" i="1"/>
  <c r="H19" i="1"/>
  <c r="H22" i="1"/>
  <c r="H28" i="1"/>
  <c r="H23" i="1"/>
  <c r="K17" i="1"/>
  <c r="K28" i="1"/>
  <c r="K16" i="1"/>
  <c r="H14" i="1"/>
  <c r="K14" i="1"/>
  <c r="H20" i="1"/>
  <c r="K13" i="1"/>
  <c r="H67" i="27"/>
  <c r="H64" i="17"/>
  <c r="I45" i="10"/>
  <c r="G57" i="1"/>
  <c r="F84" i="1"/>
  <c r="F30" i="1" s="1"/>
  <c r="F85" i="1"/>
  <c r="I83" i="17"/>
  <c r="J83" i="17"/>
  <c r="E85" i="1"/>
  <c r="F86" i="1"/>
  <c r="F31" i="1" s="1"/>
  <c r="G62" i="29"/>
  <c r="F87" i="1" s="1"/>
  <c r="H62" i="29"/>
  <c r="G87" i="1" s="1"/>
  <c r="G58" i="1" s="1"/>
  <c r="E86" i="1"/>
  <c r="E31" i="1" s="1"/>
  <c r="F62" i="29"/>
  <c r="E87" i="1" s="1"/>
  <c r="E84" i="1"/>
  <c r="E30" i="1" s="1"/>
  <c r="D30" i="1"/>
  <c r="J84" i="1"/>
  <c r="J30" i="1"/>
  <c r="H71" i="17" l="1"/>
  <c r="J71" i="17" s="1"/>
  <c r="H67" i="17"/>
  <c r="H68" i="17" s="1"/>
  <c r="H70" i="17" s="1"/>
  <c r="J70" i="17" s="1"/>
  <c r="F57" i="1"/>
  <c r="F58" i="1"/>
  <c r="E58" i="1"/>
  <c r="E65" i="29"/>
  <c r="E68" i="29" s="1"/>
  <c r="D85" i="1" s="1"/>
  <c r="D57" i="1" s="1"/>
  <c r="E47" i="29"/>
  <c r="E57" i="1"/>
  <c r="J57" i="1" l="1"/>
  <c r="H85" i="17"/>
  <c r="J85" i="1"/>
  <c r="I66" i="29" l="1"/>
  <c r="I67" i="29" s="1"/>
  <c r="I68" i="29" s="1"/>
  <c r="J85" i="17"/>
  <c r="H87" i="17"/>
  <c r="E93" i="4"/>
  <c r="E106" i="4" s="1"/>
  <c r="H106" i="4"/>
  <c r="H107" i="4" s="1"/>
  <c r="I106" i="4"/>
  <c r="I107" i="4" s="1"/>
  <c r="F106" i="4"/>
  <c r="F107" i="4" s="1"/>
  <c r="I47" i="29" l="1"/>
  <c r="I48" i="29" s="1"/>
  <c r="I50" i="29" s="1"/>
  <c r="I60" i="29" s="1"/>
  <c r="H86" i="1" s="1"/>
  <c r="H31" i="1" s="1"/>
  <c r="H85" i="1"/>
  <c r="K85" i="1" s="1"/>
  <c r="J87" i="17"/>
  <c r="H84" i="1"/>
  <c r="K30" i="1" s="1"/>
  <c r="G106" i="4"/>
  <c r="G107" i="4" s="1"/>
  <c r="I62" i="29" l="1"/>
  <c r="H87" i="1" s="1"/>
  <c r="H58" i="1" s="1"/>
  <c r="K84" i="1"/>
  <c r="H57" i="1"/>
  <c r="K57" i="1"/>
  <c r="H30" i="1"/>
  <c r="E46" i="29"/>
  <c r="E48" i="29" s="1"/>
  <c r="E50" i="29" s="1"/>
  <c r="E60" i="29" s="1"/>
  <c r="D86" i="1" s="1"/>
  <c r="E62" i="29" l="1"/>
  <c r="D87" i="1" s="1"/>
  <c r="D58" i="1" s="1"/>
  <c r="D31" i="1"/>
  <c r="J31" i="1"/>
  <c r="K86" i="1"/>
  <c r="J86" i="1"/>
  <c r="K31" i="1"/>
  <c r="E107" i="4"/>
  <c r="J87" i="1" l="1"/>
  <c r="K58" i="1"/>
  <c r="K87" i="1"/>
  <c r="J58" i="1"/>
  <c r="H73" i="2" l="1"/>
  <c r="E73" i="2"/>
  <c r="F44" i="2" l="1"/>
  <c r="D73" i="2"/>
  <c r="I71" i="2"/>
  <c r="I73" i="2" s="1"/>
  <c r="E15" i="2"/>
  <c r="E77" i="2"/>
  <c r="E89" i="2" s="1"/>
  <c r="E78" i="2"/>
  <c r="E90" i="2" s="1"/>
  <c r="G44" i="2"/>
  <c r="D191" i="2"/>
  <c r="G15" i="2"/>
  <c r="E44" i="2"/>
  <c r="G73" i="2"/>
  <c r="F15" i="2"/>
  <c r="H44" i="2"/>
  <c r="H78" i="2"/>
  <c r="H90" i="2" s="1"/>
  <c r="H77" i="2"/>
  <c r="H89" i="2" s="1"/>
  <c r="F73" i="2"/>
  <c r="H15" i="2"/>
  <c r="E91" i="2" l="1"/>
  <c r="F78" i="2"/>
  <c r="F90" i="2" s="1"/>
  <c r="F77" i="2"/>
  <c r="F89" i="2" s="1"/>
  <c r="F91" i="2" s="1"/>
  <c r="D44" i="2"/>
  <c r="J42" i="2"/>
  <c r="J44" i="2" s="1"/>
  <c r="I42" i="2"/>
  <c r="I44" i="2" s="1"/>
  <c r="H91" i="2"/>
  <c r="G77" i="2"/>
  <c r="G89" i="2" s="1"/>
  <c r="G78" i="2"/>
  <c r="G90" i="2" s="1"/>
  <c r="H49" i="2"/>
  <c r="H66" i="2" s="1"/>
  <c r="H48" i="2"/>
  <c r="H65" i="2" s="1"/>
  <c r="E49" i="2"/>
  <c r="E66" i="2" s="1"/>
  <c r="E48" i="2"/>
  <c r="E65" i="2" s="1"/>
  <c r="D77" i="2"/>
  <c r="D78" i="2"/>
  <c r="G49" i="2"/>
  <c r="G66" i="2" s="1"/>
  <c r="G48" i="2"/>
  <c r="G65" i="2" s="1"/>
  <c r="J71" i="2"/>
  <c r="J73" i="2" s="1"/>
  <c r="E19" i="2"/>
  <c r="E36" i="2" s="1"/>
  <c r="E20" i="2"/>
  <c r="E37" i="2" s="1"/>
  <c r="G20" i="2"/>
  <c r="G37" i="2" s="1"/>
  <c r="G19" i="2"/>
  <c r="G36" i="2" s="1"/>
  <c r="D15" i="2"/>
  <c r="J13" i="2"/>
  <c r="J15" i="2" s="1"/>
  <c r="I13" i="2"/>
  <c r="I15" i="2" s="1"/>
  <c r="F48" i="2"/>
  <c r="F65" i="2" s="1"/>
  <c r="F49" i="2"/>
  <c r="F66" i="2" s="1"/>
  <c r="H19" i="2"/>
  <c r="H36" i="2" s="1"/>
  <c r="H20" i="2"/>
  <c r="F20" i="2"/>
  <c r="F19" i="2"/>
  <c r="F36" i="2" s="1"/>
  <c r="H67" i="2" l="1"/>
  <c r="G67" i="2"/>
  <c r="H37" i="2"/>
  <c r="H97" i="2" s="1"/>
  <c r="H66" i="1" s="1"/>
  <c r="F37" i="2"/>
  <c r="F97" i="2" s="1"/>
  <c r="F66" i="1" s="1"/>
  <c r="E67" i="2"/>
  <c r="E97" i="2"/>
  <c r="E66" i="1" s="1"/>
  <c r="E12" i="1" s="1"/>
  <c r="E29" i="1" s="1"/>
  <c r="E32" i="1" s="1"/>
  <c r="F38" i="2"/>
  <c r="F96" i="2"/>
  <c r="J78" i="2"/>
  <c r="D90" i="2"/>
  <c r="I78" i="2"/>
  <c r="E39" i="1"/>
  <c r="E56" i="1" s="1"/>
  <c r="E59" i="1" s="1"/>
  <c r="D89" i="2"/>
  <c r="J77" i="2"/>
  <c r="I77" i="2"/>
  <c r="D49" i="2"/>
  <c r="D48" i="2"/>
  <c r="G38" i="2"/>
  <c r="G96" i="2"/>
  <c r="E38" i="2"/>
  <c r="E96" i="2"/>
  <c r="H96" i="2"/>
  <c r="H38" i="2"/>
  <c r="G97" i="2"/>
  <c r="G66" i="1" s="1"/>
  <c r="G91" i="2"/>
  <c r="F67" i="2"/>
  <c r="D20" i="2"/>
  <c r="D19" i="2"/>
  <c r="E83" i="1" l="1"/>
  <c r="E88" i="1" s="1"/>
  <c r="E98" i="2"/>
  <c r="F12" i="1"/>
  <c r="F29" i="1" s="1"/>
  <c r="F32" i="1" s="1"/>
  <c r="F39" i="1"/>
  <c r="F56" i="1" s="1"/>
  <c r="F59" i="1" s="1"/>
  <c r="F83" i="1"/>
  <c r="F88" i="1" s="1"/>
  <c r="H39" i="1"/>
  <c r="H56" i="1" s="1"/>
  <c r="H59" i="1" s="1"/>
  <c r="H12" i="1"/>
  <c r="H29" i="1" s="1"/>
  <c r="H32" i="1" s="1"/>
  <c r="H83" i="1"/>
  <c r="H88" i="1" s="1"/>
  <c r="H98" i="2"/>
  <c r="F98" i="2"/>
  <c r="D36" i="2"/>
  <c r="J19" i="2"/>
  <c r="I19" i="2"/>
  <c r="J20" i="2"/>
  <c r="D37" i="2"/>
  <c r="I20" i="2"/>
  <c r="D65" i="2"/>
  <c r="J48" i="2"/>
  <c r="I48" i="2"/>
  <c r="I90" i="2"/>
  <c r="J90" i="2"/>
  <c r="J49" i="2"/>
  <c r="D66" i="2"/>
  <c r="I49" i="2"/>
  <c r="I89" i="2"/>
  <c r="D91" i="2"/>
  <c r="J89" i="2"/>
  <c r="G39" i="1"/>
  <c r="G56" i="1" s="1"/>
  <c r="G59" i="1" s="1"/>
  <c r="G12" i="1"/>
  <c r="G29" i="1" s="1"/>
  <c r="G32" i="1" s="1"/>
  <c r="G83" i="1"/>
  <c r="G88" i="1" s="1"/>
  <c r="G98" i="2"/>
  <c r="I65" i="2" l="1"/>
  <c r="J65" i="2"/>
  <c r="D67" i="2"/>
  <c r="I37" i="2"/>
  <c r="D97" i="2"/>
  <c r="J37" i="2"/>
  <c r="I91" i="2"/>
  <c r="J91" i="2"/>
  <c r="I66" i="2"/>
  <c r="J66" i="2"/>
  <c r="I36" i="2"/>
  <c r="J36" i="2"/>
  <c r="D38" i="2"/>
  <c r="D96" i="2"/>
  <c r="J67" i="2" l="1"/>
  <c r="I67" i="2"/>
  <c r="I96" i="2"/>
  <c r="J96" i="2"/>
  <c r="D98" i="2"/>
  <c r="I38" i="2"/>
  <c r="J38" i="2"/>
  <c r="J97" i="2"/>
  <c r="D66" i="1"/>
  <c r="I97" i="2"/>
  <c r="I98" i="2" l="1"/>
  <c r="J98" i="2"/>
  <c r="J66" i="1"/>
  <c r="J83" i="1" s="1"/>
  <c r="J88" i="1" s="1"/>
  <c r="K66" i="1"/>
  <c r="K83" i="1" s="1"/>
  <c r="K88" i="1" s="1"/>
  <c r="D12" i="1"/>
  <c r="D29" i="1" s="1"/>
  <c r="D32" i="1" s="1"/>
  <c r="J12" i="1"/>
  <c r="J29" i="1" s="1"/>
  <c r="J32" i="1" s="1"/>
  <c r="J39" i="1"/>
  <c r="J56" i="1" s="1"/>
  <c r="J59" i="1" s="1"/>
  <c r="D39" i="1"/>
  <c r="D56" i="1" s="1"/>
  <c r="D59" i="1" s="1"/>
  <c r="D83" i="1"/>
  <c r="D88" i="1" s="1"/>
  <c r="K39" i="1"/>
  <c r="K56" i="1" s="1"/>
  <c r="K59" i="1" s="1"/>
  <c r="K12" i="1"/>
  <c r="K29" i="1" l="1"/>
  <c r="K32" i="1" s="1"/>
</calcChain>
</file>

<file path=xl/sharedStrings.xml><?xml version="1.0" encoding="utf-8"?>
<sst xmlns="http://schemas.openxmlformats.org/spreadsheetml/2006/main" count="1493" uniqueCount="732">
  <si>
    <t>Regulatory Financial Performance Report</t>
  </si>
  <si>
    <t xml:space="preserve">                           </t>
  </si>
  <si>
    <t>RIIO-2 start date (enter 2022 for 2021-22)</t>
  </si>
  <si>
    <t>Licensee</t>
  </si>
  <si>
    <t>Cadent-NW</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</si>
  <si>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</si>
  <si>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</si>
  <si>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</si>
  <si>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</si>
  <si>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</si>
  <si>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</si>
  <si>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</si>
  <si>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</si>
  <si>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</si>
  <si>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</si>
  <si>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</si>
  <si>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</si>
  <si>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</si>
  <si>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</si>
  <si>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</si>
  <si>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</si>
  <si>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</si>
  <si>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</si>
  <si>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</si>
  <si>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</si>
  <si>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</si>
  <si>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</si>
  <si>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</si>
  <si>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</si>
  <si>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</si>
  <si>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</si>
  <si>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</si>
  <si>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</si>
  <si>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</si>
  <si>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</si>
  <si>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</si>
  <si>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</si>
  <si>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</si>
  <si>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</si>
  <si>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</si>
  <si>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</si>
  <si>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</si>
  <si>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</si>
  <si>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</si>
  <si>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</si>
  <si>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</si>
  <si>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</si>
  <si>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</si>
  <si>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</si>
  <si>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</si>
  <si>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</si>
  <si>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</si>
  <si>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</si>
  <si>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</si>
  <si>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</si>
  <si>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</si>
  <si>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</si>
  <si>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</si>
  <si>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</si>
  <si>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</si>
  <si>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</si>
  <si>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</si>
  <si>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</si>
  <si>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</si>
  <si>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</si>
  <si>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</si>
  <si>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</si>
  <si>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</si>
  <si>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</si>
  <si>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</si>
  <si>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</si>
  <si>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</si>
  <si>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</si>
  <si>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</si>
  <si>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</si>
  <si>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</si>
  <si>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Cadent-EOE</t>
  </si>
  <si>
    <t>Cadent-London</t>
  </si>
  <si>
    <t>Cadent-WM</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</si>
  <si>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</si>
  <si>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</si>
  <si>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</si>
  <si>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</si>
  <si>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</si>
  <si>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</si>
  <si>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</si>
  <si>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</si>
  <si>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</si>
  <si>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</si>
  <si>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</si>
  <si>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</si>
  <si>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</si>
  <si>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</si>
  <si>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</si>
  <si>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</si>
  <si>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</si>
  <si>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</si>
  <si>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</si>
  <si>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</si>
  <si>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</si>
  <si>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</si>
  <si>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</si>
  <si>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</si>
  <si>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</si>
  <si>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</si>
  <si>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</si>
  <si>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</si>
  <si>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</si>
  <si>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</si>
  <si>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</si>
  <si>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</si>
  <si>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</si>
  <si>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</si>
  <si>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</si>
  <si>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</si>
  <si>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</si>
  <si>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</si>
  <si>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</si>
  <si>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</si>
  <si>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</si>
  <si>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</si>
  <si>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</si>
  <si>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</si>
  <si>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</si>
  <si>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</si>
  <si>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</si>
  <si>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</si>
  <si>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</si>
  <si>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</si>
  <si>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</si>
  <si>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</si>
  <si>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</si>
  <si>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</si>
  <si>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</si>
  <si>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</si>
  <si>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</si>
  <si>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</si>
  <si>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</si>
  <si>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</si>
  <si>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</si>
  <si>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</si>
  <si>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</si>
  <si>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</si>
  <si>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</si>
  <si>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</si>
  <si>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</si>
  <si>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</si>
  <si>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</si>
  <si>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</si>
  <si>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</si>
  <si>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</si>
  <si>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</si>
  <si>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</si>
  <si>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</si>
  <si>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</si>
  <si>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</si>
  <si>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</si>
  <si>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</si>
  <si>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</si>
  <si>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</si>
  <si>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</si>
  <si>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</si>
  <si>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</si>
  <si>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</si>
  <si>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</si>
  <si>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</si>
  <si>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</si>
  <si>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</si>
  <si>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</si>
  <si>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</si>
  <si>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</si>
  <si>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</si>
  <si>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</si>
  <si>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</si>
  <si>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</si>
  <si>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</si>
  <si>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</si>
  <si>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</si>
  <si>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</si>
  <si>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</si>
  <si>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</si>
  <si>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</si>
  <si>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</si>
  <si>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</si>
  <si>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</si>
  <si>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</si>
  <si>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</si>
  <si>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</si>
  <si>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</si>
  <si>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</si>
  <si>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</si>
  <si>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</si>
  <si>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</si>
  <si>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</si>
  <si>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</si>
  <si>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</si>
  <si>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</si>
  <si>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</si>
  <si>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</si>
  <si>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</si>
  <si>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</si>
  <si>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</si>
  <si>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</si>
  <si>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</si>
  <si>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</si>
  <si>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</si>
  <si>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</si>
  <si>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</si>
  <si>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</si>
  <si>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</si>
  <si>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</si>
  <si>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</si>
  <si>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</si>
  <si>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</si>
  <si>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</si>
  <si>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</si>
  <si>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</si>
  <si>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</si>
  <si>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</si>
  <si>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</si>
  <si>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</si>
  <si>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</si>
  <si>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</si>
  <si>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</si>
  <si>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</si>
  <si>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</si>
  <si>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</si>
  <si>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</si>
  <si>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</si>
  <si>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</si>
  <si>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</si>
  <si>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</si>
  <si>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</si>
  <si>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</si>
  <si>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</si>
  <si>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</si>
  <si>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</si>
  <si>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</si>
  <si>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</si>
  <si>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</si>
  <si>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</si>
  <si>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</si>
  <si>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</si>
  <si>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</si>
  <si>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</si>
  <si>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</si>
  <si>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</si>
  <si>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</si>
  <si>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</si>
  <si>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</si>
  <si>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</si>
  <si>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</si>
  <si>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</si>
  <si>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</si>
  <si>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</si>
  <si>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</si>
  <si>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</si>
  <si>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</si>
  <si>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</si>
  <si>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</si>
  <si>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</si>
  <si>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</si>
  <si>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</si>
  <si>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</si>
  <si>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</si>
  <si>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</si>
  <si>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</si>
  <si>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</si>
  <si>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</si>
  <si>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</si>
  <si>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</si>
  <si>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</si>
  <si>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</si>
  <si>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</si>
  <si>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</si>
  <si>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</si>
  <si>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</si>
  <si>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</si>
  <si>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</si>
  <si>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</si>
  <si>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</si>
  <si>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</si>
  <si>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</si>
  <si>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</si>
  <si>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</si>
  <si>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</si>
  <si>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</si>
  <si>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</si>
  <si>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</si>
  <si>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</si>
  <si>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</si>
  <si>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</si>
  <si>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</si>
  <si>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</si>
  <si>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</si>
  <si>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</si>
  <si>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</si>
  <si>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</si>
  <si>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</si>
  <si>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</si>
  <si>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</si>
  <si>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</si>
  <si>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</si>
  <si>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</si>
  <si>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</si>
  <si>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</si>
  <si>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</si>
  <si>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</si>
  <si>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</si>
  <si>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</si>
  <si>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</si>
  <si>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</si>
  <si>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</si>
  <si>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</si>
  <si>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</si>
  <si>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</si>
  <si>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</si>
  <si>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</si>
  <si>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</si>
  <si>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</si>
  <si>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</si>
  <si>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</si>
  <si>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</si>
  <si>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</si>
  <si>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</si>
  <si>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</si>
  <si>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</si>
  <si>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</si>
  <si>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</si>
  <si>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</si>
  <si>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</si>
  <si>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</si>
  <si>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</si>
  <si>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</si>
  <si>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</si>
  <si>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</si>
  <si>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</si>
  <si>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</si>
  <si>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</si>
  <si>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</si>
  <si>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</si>
  <si>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</si>
  <si>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</si>
  <si>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</si>
  <si>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</si>
  <si>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</si>
  <si>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</si>
  <si>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</si>
  <si>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</si>
  <si>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</si>
  <si>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</si>
  <si>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</si>
  <si>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</si>
  <si>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</si>
  <si>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</si>
  <si>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</si>
  <si>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</si>
  <si>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</si>
  <si>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</si>
  <si>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</si>
  <si>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</si>
  <si>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</si>
  <si>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</si>
  <si>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</si>
  <si>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</si>
  <si>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</si>
  <si>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</si>
  <si>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</si>
  <si>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</si>
  <si>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</si>
  <si>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</si>
  <si>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</si>
  <si>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</si>
  <si>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</si>
  <si>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</si>
  <si>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</si>
  <si>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</si>
  <si>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</si>
  <si>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</si>
  <si>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</si>
  <si>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</si>
  <si>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</si>
  <si>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</si>
  <si>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</si>
  <si>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</si>
  <si>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</si>
  <si>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</si>
  <si>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</si>
  <si>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</si>
  <si>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</si>
  <si>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</si>
  <si>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</si>
  <si>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</si>
  <si>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</si>
  <si>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</si>
  <si>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</si>
  <si>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</si>
  <si>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</si>
  <si>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</si>
  <si>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</si>
  <si>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</si>
  <si>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</si>
  <si>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</si>
  <si>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</si>
  <si>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</si>
  <si>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</si>
  <si>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</si>
  <si>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</si>
  <si>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</si>
  <si>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</si>
  <si>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</si>
  <si>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</si>
  <si>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</si>
  <si>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</si>
  <si>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</si>
  <si>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</si>
  <si>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</si>
  <si>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</si>
  <si>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</si>
  <si>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</si>
  <si>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</si>
  <si>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</si>
  <si>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</si>
  <si>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</si>
  <si>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</si>
  <si>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</si>
  <si>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</si>
  <si>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</si>
  <si>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</si>
  <si>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</si>
  <si>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</si>
  <si>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</si>
  <si>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</si>
  <si>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</si>
  <si>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</si>
  <si>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</si>
  <si>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</si>
  <si>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</si>
  <si>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</si>
  <si>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</si>
  <si>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</si>
  <si>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</si>
  <si>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</si>
  <si>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</si>
  <si>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</si>
  <si>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</si>
  <si>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</si>
  <si>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</si>
  <si>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</si>
  <si>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</si>
  <si>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</si>
  <si>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</si>
  <si>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</si>
  <si>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</si>
  <si>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</si>
  <si>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</si>
  <si>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</si>
  <si>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</si>
  <si>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</si>
  <si>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</si>
  <si>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</si>
  <si>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</si>
  <si>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</si>
  <si>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</si>
  <si>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</si>
  <si>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</si>
  <si>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</si>
  <si>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</si>
  <si>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</si>
  <si>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</si>
  <si>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</si>
  <si>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</si>
  <si>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</si>
  <si>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Accrued Interest</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</si>
  <si>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</si>
  <si>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</si>
  <si>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</si>
  <si>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</si>
  <si>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</si>
  <si>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</si>
  <si>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</si>
  <si>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</si>
  <si>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</si>
  <si>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thrNW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</si>
  <si>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</si>
  <si>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</si>
  <si>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</si>
  <si>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</si>
  <si>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</si>
  <si>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</si>
  <si>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</si>
  <si>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</si>
  <si>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</si>
  <si>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</si>
  <si>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</si>
  <si>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</si>
  <si>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</si>
  <si>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</si>
  <si>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</si>
  <si>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</si>
  <si>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</si>
  <si>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</si>
  <si>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</si>
  <si>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</si>
  <si>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</si>
  <si>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</si>
  <si>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</si>
  <si>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</si>
  <si>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</si>
  <si>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</si>
  <si>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</si>
  <si>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</si>
  <si>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</si>
  <si>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</si>
  <si>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</si>
  <si>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</si>
  <si>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</si>
  <si>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</si>
  <si>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</si>
  <si>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</si>
  <si>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</si>
  <si>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</si>
  <si>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</si>
  <si>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</si>
  <si>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</si>
  <si>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</si>
  <si>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</si>
  <si>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</si>
  <si>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</si>
  <si>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</si>
  <si>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</si>
  <si>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</si>
  <si>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</si>
  <si>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</si>
  <si>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</si>
  <si>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</si>
  <si>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</si>
  <si>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</si>
  <si>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</si>
  <si>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</si>
  <si>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</si>
  <si>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</si>
  <si>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</si>
  <si>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</si>
  <si>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</si>
  <si>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</si>
  <si>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</si>
  <si>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</si>
  <si>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</si>
  <si>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</si>
  <si>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</si>
  <si>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</si>
  <si>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</si>
  <si>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</si>
  <si>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</si>
  <si>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</si>
  <si>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</si>
  <si>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</si>
  <si>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</si>
  <si>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</si>
  <si>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</si>
  <si>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</si>
  <si>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</si>
  <si>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</si>
  <si>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</si>
  <si>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</si>
  <si>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</si>
  <si>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</si>
  <si>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</si>
  <si>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</si>
  <si>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</si>
  <si>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</si>
  <si>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</si>
  <si>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</si>
  <si>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</si>
  <si>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</si>
  <si>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</si>
  <si>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</si>
  <si>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</si>
  <si>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</si>
  <si>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</si>
  <si>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</si>
  <si>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</si>
  <si>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</si>
  <si>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</si>
  <si>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</si>
  <si>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</si>
  <si>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</si>
  <si>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</si>
  <si>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</si>
  <si>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</si>
  <si>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</si>
  <si>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</si>
  <si>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</si>
  <si>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</si>
  <si>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</si>
  <si>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</si>
  <si>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</si>
  <si>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</si>
  <si>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</si>
  <si>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</si>
  <si>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</si>
  <si>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</si>
  <si>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</si>
  <si>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</si>
  <si>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</si>
  <si>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</si>
  <si>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</si>
  <si>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</si>
  <si>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</si>
  <si>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</si>
  <si>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</si>
  <si>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</si>
  <si>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</si>
  <si>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</si>
  <si>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</si>
  <si>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</si>
  <si>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</si>
  <si>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</si>
  <si>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</si>
  <si>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</si>
  <si>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</si>
  <si>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</si>
  <si>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</si>
  <si>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</si>
  <si>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</si>
  <si>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</si>
  <si>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</si>
  <si>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</si>
  <si>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</si>
  <si>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</si>
  <si>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</si>
  <si>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</si>
  <si>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</si>
  <si>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</si>
  <si>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</si>
  <si>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</si>
  <si>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Steven Richard Fraser</t>
  </si>
  <si>
    <t>Anthony Oliver Bickerstaff</t>
  </si>
  <si>
    <t>Howard Neil Forster</t>
  </si>
  <si>
    <t>Stephen Glynn Hurrell</t>
  </si>
  <si>
    <t>Fixed Pay</t>
  </si>
  <si>
    <t>Salary</t>
  </si>
  <si>
    <t>Bonus</t>
  </si>
  <si>
    <t>Benefits</t>
  </si>
  <si>
    <t>Pension</t>
  </si>
  <si>
    <t>Total Fixed Pay</t>
  </si>
  <si>
    <t>Allocation to Regulated Business</t>
  </si>
  <si>
    <t>Variable Pay</t>
  </si>
  <si>
    <t>Incentives</t>
  </si>
  <si>
    <t>Performance related Pay</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</si>
  <si>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</si>
  <si>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</si>
  <si>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</si>
  <si>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</si>
  <si>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</si>
  <si>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</si>
  <si>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</si>
  <si>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</si>
  <si>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</si>
  <si>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</si>
  <si>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</si>
  <si>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</si>
  <si>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</si>
  <si>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</si>
  <si>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</si>
  <si>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</si>
  <si>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</si>
  <si>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</si>
  <si>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</si>
  <si>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</si>
  <si>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</si>
  <si>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</si>
  <si>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</si>
  <si>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</si>
  <si>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</si>
  <si>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</si>
  <si>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</si>
  <si>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</si>
  <si>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</si>
  <si>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</si>
  <si>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</si>
  <si>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</si>
  <si>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</si>
  <si>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</si>
  <si>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</si>
  <si>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</si>
  <si>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</si>
  <si>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</si>
  <si>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</si>
  <si>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</si>
  <si>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</si>
  <si>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</si>
  <si>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</si>
  <si>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</si>
  <si>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</si>
  <si>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</si>
  <si>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</si>
  <si>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</si>
  <si>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</si>
  <si>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</si>
  <si>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</si>
  <si>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</si>
  <si>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</si>
  <si>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</si>
  <si>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</si>
  <si>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</si>
  <si>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data</t>
  </si>
  <si>
    <t>updated inflation information as per July '22 PCFM</t>
  </si>
  <si>
    <t>R2</t>
  </si>
  <si>
    <t>For the bottom part of the DT the reconciliation has been performed on an overall Cadent group level as opposed to indivudal networks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</si>
  <si>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</si>
  <si>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</si>
  <si>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</si>
  <si>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</si>
  <si>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</si>
  <si>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</si>
  <si>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</si>
  <si>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</si>
  <si>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</si>
  <si>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</si>
  <si>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</si>
  <si>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</si>
  <si>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</si>
  <si>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</si>
  <si>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</si>
  <si>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</si>
  <si>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</si>
  <si>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</si>
  <si>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</si>
  <si>
    <t>Net Interest Per Statutory Accounts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</si>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</sst>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style="thin">
        <color auto="1"/>
      </left>
      <right style="thin">
        <color auto="1"/>
      </right>
      <top/>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83">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68" xfId="1" applyNumberFormat="1" applyFont="1" applyFill="1" applyBorder="1" applyAlignment="1">
      <alignment horizontal="right"/>
    </xf>
    <xf numFmtId="177" fontId="0" fillId="51" borderId="69" xfId="1" applyNumberFormat="1" applyFont="1" applyFill="1" applyBorder="1" applyAlignment="1">
      <alignment horizontal="right"/>
    </xf>
    <xf numFmtId="177" fontId="0" fillId="51" borderId="72" xfId="1" applyNumberFormat="1" applyFont="1" applyFill="1" applyBorder="1" applyAlignment="1">
      <alignment horizontal="right" vertical="top"/>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83" fillId="0" borderId="0" xfId="0" applyFont="1"/>
    <xf numFmtId="0" fontId="2" fillId="0" borderId="163" xfId="51691" applyBorder="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4"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4"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63"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5" xfId="90" applyFont="1" applyFill="1" applyBorder="1" applyAlignment="1">
      <alignment horizontal="left"/>
    </xf>
    <xf numFmtId="0" fontId="263" fillId="47" borderId="163" xfId="90" applyFont="1" applyFill="1" applyBorder="1" applyAlignment="1">
      <alignment horizontal="left"/>
    </xf>
    <xf numFmtId="0" fontId="263" fillId="47" borderId="105" xfId="90" applyFont="1" applyFill="1" applyBorder="1" applyAlignment="1">
      <alignment horizontal="left"/>
    </xf>
    <xf numFmtId="0" fontId="273" fillId="135" borderId="165"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6" xfId="90" applyFont="1" applyFill="1" applyBorder="1" applyAlignment="1">
      <alignment horizontal="left"/>
    </xf>
    <xf numFmtId="0" fontId="262" fillId="47" borderId="167" xfId="0" applyFont="1" applyFill="1" applyBorder="1" applyAlignment="1">
      <alignment wrapText="1"/>
    </xf>
    <xf numFmtId="0" fontId="0" fillId="52" borderId="166" xfId="0" applyFill="1" applyBorder="1" applyAlignment="1">
      <alignment horizontal="center" wrapText="1"/>
    </xf>
    <xf numFmtId="0" fontId="0" fillId="52" borderId="167" xfId="0" applyFill="1" applyBorder="1"/>
    <xf numFmtId="0" fontId="31" fillId="47" borderId="167" xfId="75" applyFont="1" applyFill="1" applyBorder="1"/>
    <xf numFmtId="0" fontId="0" fillId="47" borderId="167" xfId="0" applyFill="1" applyBorder="1"/>
    <xf numFmtId="0" fontId="29" fillId="0" borderId="166" xfId="0" applyFont="1" applyBorder="1"/>
    <xf numFmtId="0" fontId="0" fillId="3" borderId="21" xfId="0" applyFill="1" applyBorder="1"/>
    <xf numFmtId="0" fontId="0" fillId="3" borderId="167" xfId="0" applyFill="1" applyBorder="1"/>
    <xf numFmtId="0" fontId="32" fillId="47" borderId="167" xfId="75" applyFont="1" applyFill="1" applyBorder="1"/>
    <xf numFmtId="0" fontId="265" fillId="47" borderId="166" xfId="90" applyFont="1" applyFill="1" applyBorder="1" applyAlignment="1">
      <alignment horizontal="left"/>
    </xf>
    <xf numFmtId="0" fontId="273" fillId="135" borderId="167" xfId="51691" applyFont="1" applyFill="1" applyBorder="1" applyAlignment="1">
      <alignment horizontal="center" vertical="top" wrapText="1"/>
    </xf>
    <xf numFmtId="0" fontId="276" fillId="0" borderId="166" xfId="51691" applyFont="1" applyBorder="1" applyAlignment="1">
      <alignment horizontal="left"/>
    </xf>
    <xf numFmtId="0" fontId="276" fillId="0" borderId="167"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6" xfId="51691" applyFont="1" applyBorder="1" applyAlignment="1">
      <alignment horizontal="left" vertical="center"/>
    </xf>
    <xf numFmtId="0" fontId="273" fillId="0" borderId="166" xfId="51691" applyFont="1" applyBorder="1" applyAlignment="1">
      <alignment horizontal="left"/>
    </xf>
    <xf numFmtId="0" fontId="276" fillId="0" borderId="167" xfId="51691" applyFont="1" applyBorder="1" applyAlignment="1">
      <alignment horizontal="left"/>
    </xf>
    <xf numFmtId="0" fontId="2" fillId="0" borderId="167" xfId="51691" applyBorder="1" applyAlignment="1">
      <alignment horizontal="left" vertical="center"/>
    </xf>
    <xf numFmtId="0" fontId="0" fillId="3" borderId="166" xfId="0" applyFill="1" applyBorder="1" applyAlignment="1">
      <alignment vertical="top" wrapText="1"/>
    </xf>
    <xf numFmtId="0" fontId="0" fillId="3" borderId="21" xfId="0" applyFill="1" applyBorder="1" applyAlignment="1">
      <alignment vertical="top" wrapText="1"/>
    </xf>
    <xf numFmtId="0" fontId="0" fillId="3" borderId="167" xfId="0" applyFill="1" applyBorder="1" applyAlignment="1">
      <alignment wrapText="1"/>
    </xf>
    <xf numFmtId="14" fontId="10" fillId="3" borderId="6" xfId="2" applyNumberFormat="1" applyFont="1" applyFill="1" applyBorder="1" applyAlignment="1">
      <alignment horizontal="center" vertical="center"/>
    </xf>
    <xf numFmtId="0" fontId="0" fillId="3" borderId="6" xfId="0" applyFill="1" applyBorder="1" applyAlignment="1">
      <alignment wrapText="1"/>
    </xf>
    <xf numFmtId="178" fontId="10" fillId="131" borderId="6" xfId="75" applyNumberFormat="1" applyFont="1" applyFill="1" applyBorder="1"/>
    <xf numFmtId="178" fontId="10" fillId="40" borderId="6" xfId="75" applyNumberFormat="1" applyFont="1" applyFill="1" applyBorder="1"/>
    <xf numFmtId="0" fontId="0" fillId="0" borderId="0" xfId="0" applyAlignment="1">
      <alignment horizontal="center"/>
    </xf>
    <xf numFmtId="0" fontId="0" fillId="53" borderId="0" xfId="0" applyFill="1" applyAlignment="1">
      <alignment horizontal="left" wrapText="1"/>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0" xfId="0" applyAlignment="1">
      <alignment horizontal="left" vertical="center" wrapText="1" inden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6" xfId="0" applyFill="1" applyBorder="1" applyAlignment="1">
      <alignment horizontal="left" vertical="top" wrapText="1"/>
    </xf>
    <xf numFmtId="0" fontId="0" fillId="3" borderId="21" xfId="0" applyFill="1" applyBorder="1" applyAlignment="1">
      <alignment wrapText="1"/>
    </xf>
    <xf numFmtId="0" fontId="0" fillId="3" borderId="167"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273" fillId="135" borderId="165"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7"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5"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5" xfId="0" applyFill="1" applyBorder="1" applyAlignment="1">
      <alignment horizontal="center" vertical="top" wrapText="1"/>
    </xf>
    <xf numFmtId="0" fontId="0" fillId="53" borderId="163" xfId="0" applyFill="1" applyBorder="1" applyAlignment="1">
      <alignment horizontal="center" vertical="top" wrapText="1"/>
    </xf>
    <xf numFmtId="0" fontId="0" fillId="53" borderId="105" xfId="0" applyFill="1" applyBorder="1" applyAlignment="1">
      <alignment horizontal="center" vertical="top" wrapText="1"/>
    </xf>
    <xf numFmtId="178" fontId="11" fillId="38" borderId="71" xfId="1" applyNumberFormat="1" applyFont="1" applyFill="1" applyBorder="1"/>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107">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D21" sqref="D21"/>
    </sheetView>
  </sheetViews>
  <sheetFormatPr defaultRowHeight="12.4"/>
  <cols>
    <col min="1" max="1" width="8.3515625" customWidth="1"/>
    <col min="2" max="2" width="41.46875" customWidth="1"/>
    <col min="3" max="6" width="14.1171875" customWidth="1"/>
    <col min="7" max="7" width="14.1171875" style="88" customWidth="1"/>
    <col min="8" max="11" width="14.1171875" customWidth="1"/>
  </cols>
  <sheetData>
    <row r="1" spans="1:11" s="804" customFormat="1" ht="57" customHeight="1"/>
    <row r="2" spans="1:11" ht="20.65">
      <c r="A2" s="290" t="s">
        <v>0</v>
      </c>
      <c r="B2" s="291"/>
      <c r="C2" s="291"/>
      <c r="D2" s="292"/>
      <c r="E2" s="293"/>
      <c r="F2" s="291"/>
      <c r="G2" s="294"/>
      <c r="H2" s="291"/>
      <c r="I2" s="291"/>
      <c r="J2" s="291"/>
      <c r="K2" s="291"/>
    </row>
    <row r="3" spans="1:11" ht="20.65">
      <c r="A3" s="290" t="str">
        <f>Licensee</f>
        <v>Cadent-NW</v>
      </c>
      <c r="B3" s="291"/>
      <c r="C3" s="291"/>
      <c r="D3" s="293"/>
      <c r="E3" s="293"/>
      <c r="F3" s="291"/>
      <c r="G3" s="294"/>
      <c r="H3" s="291"/>
      <c r="I3" s="291"/>
      <c r="J3" s="291"/>
      <c r="K3" s="291"/>
    </row>
    <row r="4" spans="1:11" ht="20.65">
      <c r="A4" s="290" t="s">
        <v>1</v>
      </c>
      <c r="B4" s="291"/>
      <c r="C4" s="291"/>
      <c r="D4" s="293"/>
      <c r="E4" s="293"/>
      <c r="F4" s="291"/>
      <c r="G4" s="294"/>
      <c r="H4" s="291"/>
      <c r="I4" s="291"/>
      <c r="J4" s="291"/>
      <c r="K4" s="291"/>
    </row>
    <row r="5" spans="1:11" ht="20.65">
      <c r="A5" s="451"/>
      <c r="B5" s="452"/>
      <c r="C5" s="452"/>
      <c r="D5" s="453"/>
      <c r="E5" s="453"/>
      <c r="F5" s="452"/>
      <c r="G5" s="454"/>
      <c r="H5" s="452"/>
      <c r="I5" s="452"/>
      <c r="J5" s="452"/>
      <c r="K5" s="452"/>
    </row>
    <row r="6" spans="1:11" ht="13.5">
      <c r="A6" s="17"/>
      <c r="B6" s="544" t="s">
        <v>2</v>
      </c>
      <c r="C6" s="545">
        <v>2022</v>
      </c>
      <c r="D6" s="17"/>
      <c r="E6" s="17"/>
      <c r="H6" s="4"/>
      <c r="I6" s="4"/>
      <c r="J6" s="4"/>
    </row>
    <row r="7" spans="1:11" ht="13.5" customHeight="1">
      <c r="A7" s="17"/>
      <c r="B7" s="544" t="s">
        <v>3</v>
      </c>
      <c r="C7" s="546" t="s">
        <v>4</v>
      </c>
      <c r="D7" s="136"/>
      <c r="E7" s="10"/>
      <c r="F7" s="547"/>
      <c r="G7" s="193" t="s">
        <v>5</v>
      </c>
      <c r="H7" s="4"/>
      <c r="I7" s="4"/>
      <c r="J7" s="4"/>
    </row>
    <row r="8" spans="1:11" ht="13.5" customHeight="1">
      <c r="A8" s="17"/>
      <c r="B8" s="544" t="s">
        <v>6</v>
      </c>
      <c r="C8" s="548" t="str">
        <f>INDEX(Data!$A$55:$A$83,MATCH($C$7,Data!$B$55:$B$83,0),0)&amp;"2"</f>
        <v>GD2</v>
      </c>
      <c r="D8" s="136"/>
      <c r="E8" s="10"/>
      <c r="F8" s="549"/>
      <c r="G8" s="193" t="s">
        <v>7</v>
      </c>
      <c r="H8" s="4"/>
      <c r="I8" s="4"/>
      <c r="J8" s="4"/>
    </row>
    <row r="9" spans="1:11" ht="25.15">
      <c r="A9" s="17"/>
      <c r="B9" s="550" t="s">
        <v>8</v>
      </c>
      <c r="C9" s="551">
        <v>2022</v>
      </c>
      <c r="D9" s="136"/>
      <c r="E9" s="10"/>
      <c r="F9" s="552"/>
      <c r="G9" s="194" t="s">
        <v>9</v>
      </c>
      <c r="H9" s="4"/>
      <c r="I9" s="4"/>
      <c r="J9" s="4"/>
    </row>
    <row r="10" spans="1:11" ht="13.5">
      <c r="A10" s="17"/>
      <c r="B10" s="544" t="s">
        <v>10</v>
      </c>
      <c r="C10" s="551"/>
      <c r="D10" s="10"/>
      <c r="E10" s="9"/>
      <c r="F10" s="553"/>
      <c r="G10" s="193" t="s">
        <v>11</v>
      </c>
      <c r="H10" s="4"/>
      <c r="I10" s="4"/>
      <c r="J10" s="4"/>
    </row>
    <row r="11" spans="1:11" ht="13.5">
      <c r="A11" s="17"/>
      <c r="B11" s="544" t="s">
        <v>12</v>
      </c>
      <c r="C11" s="554"/>
      <c r="D11" s="9"/>
      <c r="E11" s="9"/>
      <c r="F11" s="555"/>
      <c r="G11" s="193" t="s">
        <v>13</v>
      </c>
      <c r="H11" s="4"/>
      <c r="I11" s="4"/>
      <c r="J11" s="4"/>
    </row>
    <row r="12" spans="1:11" ht="13.5">
      <c r="A12" s="17"/>
      <c r="D12" s="9"/>
      <c r="E12" s="9"/>
      <c r="F12" s="556"/>
      <c r="G12" s="193" t="s">
        <v>14</v>
      </c>
      <c r="H12" s="4"/>
      <c r="I12" s="4"/>
      <c r="J12" s="4"/>
    </row>
    <row r="13" spans="1:11" ht="13.5">
      <c r="A13" s="17"/>
      <c r="D13" s="10"/>
      <c r="E13" s="10"/>
      <c r="F13" s="557"/>
      <c r="G13" s="193" t="s">
        <v>15</v>
      </c>
      <c r="H13" s="4"/>
      <c r="I13" s="4"/>
      <c r="J13" s="4"/>
    </row>
    <row r="14" spans="1:11">
      <c r="A14" s="17"/>
      <c r="D14" s="9"/>
      <c r="E14" s="9"/>
      <c r="F14" s="9"/>
      <c r="G14" s="195"/>
    </row>
    <row r="15" spans="1:11">
      <c r="A15" s="17"/>
      <c r="D15" s="9"/>
      <c r="E15" s="9"/>
    </row>
    <row r="16" spans="1:11">
      <c r="A16" s="17"/>
      <c r="D16" s="9"/>
      <c r="E16" s="9"/>
    </row>
    <row r="17" spans="1:7">
      <c r="A17" s="17"/>
      <c r="B17" s="9"/>
      <c r="C17" s="9"/>
      <c r="D17" s="9"/>
      <c r="E17" s="9"/>
      <c r="F17" s="9"/>
      <c r="G17" s="195"/>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zoomScale="80" zoomScaleNormal="80" workbookViewId="0">
      <pane ySplit="7" topLeftCell="A25" activePane="bottomLeft" state="frozen"/>
      <selection activeCell="B9" sqref="B9"/>
      <selection pane="bottomLeft" activeCell="E46" sqref="E46"/>
    </sheetView>
  </sheetViews>
  <sheetFormatPr defaultRowHeight="12.4"/>
  <cols>
    <col min="1" max="1" width="8.3515625" customWidth="1"/>
    <col min="2" max="2" width="85.76171875" bestFit="1" customWidth="1"/>
    <col min="3" max="3" width="14.1171875" customWidth="1"/>
    <col min="4" max="8" width="11.1171875" customWidth="1"/>
    <col min="9" max="9" width="5" customWidth="1"/>
    <col min="10" max="10" width="12.87890625" customWidth="1"/>
  </cols>
  <sheetData>
    <row r="1" spans="1:9" ht="20.65">
      <c r="A1" s="777" t="s">
        <v>179</v>
      </c>
      <c r="B1" s="397"/>
      <c r="C1" s="398"/>
      <c r="D1" s="398"/>
      <c r="E1" s="398"/>
      <c r="F1" s="398"/>
      <c r="G1" s="398"/>
      <c r="H1" s="398"/>
      <c r="I1" s="786"/>
    </row>
    <row r="2" spans="1:9" ht="20.65">
      <c r="A2" s="295" t="str">
        <f>Licensee</f>
        <v>Cadent-NW</v>
      </c>
      <c r="B2" s="290"/>
      <c r="C2" s="16"/>
      <c r="D2" s="16"/>
      <c r="E2" s="16"/>
      <c r="F2" s="16"/>
      <c r="G2" s="16"/>
      <c r="H2" s="16"/>
      <c r="I2" s="65"/>
    </row>
    <row r="3" spans="1:9" ht="20.65">
      <c r="A3" s="290">
        <f>Reporting_Year</f>
        <v>2022</v>
      </c>
      <c r="B3" s="589" t="str">
        <f>'R5 - Financing'!B3</f>
        <v/>
      </c>
      <c r="C3" s="577"/>
      <c r="D3" s="577"/>
      <c r="E3" s="577"/>
      <c r="F3" s="577"/>
      <c r="G3" s="577"/>
      <c r="H3" s="577"/>
      <c r="I3" s="119"/>
    </row>
    <row r="4" spans="1:9" ht="12.75" customHeight="1">
      <c r="A4" s="22"/>
      <c r="B4" s="22"/>
      <c r="C4" s="22"/>
      <c r="D4" s="22"/>
      <c r="E4" s="22"/>
      <c r="F4" s="22"/>
      <c r="G4" s="22"/>
      <c r="H4" s="22"/>
      <c r="I4" s="19"/>
    </row>
    <row r="5" spans="1:9" s="2" customFormat="1">
      <c r="B5" s="3"/>
      <c r="C5" s="3"/>
      <c r="D5" s="153" t="str">
        <f t="shared" ref="D5:H5" si="0">IF(D6&lt;=Reporting_Year,"Actuals","Forecast")</f>
        <v>Actuals</v>
      </c>
      <c r="E5" s="153" t="str">
        <f t="shared" si="0"/>
        <v>Forecast</v>
      </c>
      <c r="F5" s="153" t="str">
        <f t="shared" si="0"/>
        <v>Forecast</v>
      </c>
      <c r="G5" s="153" t="str">
        <f t="shared" si="0"/>
        <v>Forecast</v>
      </c>
      <c r="H5" s="153"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row>
    <row r="8" spans="1:9" s="2" customFormat="1"/>
    <row r="9" spans="1:9" s="2" customFormat="1">
      <c r="B9" s="88" t="s">
        <v>442</v>
      </c>
      <c r="C9" s="75" t="s">
        <v>230</v>
      </c>
      <c r="D9" s="593">
        <v>-257.707345971564</v>
      </c>
      <c r="E9" s="639">
        <v>-92</v>
      </c>
      <c r="F9" s="639">
        <v>-60</v>
      </c>
      <c r="G9" s="639">
        <v>-60</v>
      </c>
      <c r="H9" s="639">
        <v>-60</v>
      </c>
    </row>
    <row r="10" spans="1:9" s="2" customFormat="1">
      <c r="B10" s="88"/>
    </row>
    <row r="11" spans="1:9">
      <c r="B11" s="88" t="s">
        <v>443</v>
      </c>
      <c r="C11" s="75" t="s">
        <v>230</v>
      </c>
      <c r="D11" s="226">
        <v>-92</v>
      </c>
      <c r="E11" s="227">
        <v>-60</v>
      </c>
      <c r="F11" s="227">
        <v>-60</v>
      </c>
      <c r="G11" s="227">
        <v>-60</v>
      </c>
      <c r="H11" s="227">
        <v>-60</v>
      </c>
    </row>
    <row r="12" spans="1:9">
      <c r="B12" s="88" t="s">
        <v>444</v>
      </c>
      <c r="C12" s="75" t="s">
        <v>230</v>
      </c>
      <c r="D12" s="228">
        <v>6926.6655402777124</v>
      </c>
      <c r="E12" s="229">
        <v>7125.8743694017794</v>
      </c>
      <c r="F12" s="229">
        <v>7055.2214356140075</v>
      </c>
      <c r="G12" s="229">
        <v>5923.5721871313517</v>
      </c>
      <c r="H12" s="229">
        <v>5931.1916299984878</v>
      </c>
    </row>
    <row r="13" spans="1:9">
      <c r="B13" s="88" t="s">
        <v>445</v>
      </c>
      <c r="C13" s="75" t="s">
        <v>230</v>
      </c>
      <c r="D13" s="228">
        <v>0</v>
      </c>
      <c r="E13" s="229">
        <v>0</v>
      </c>
      <c r="F13" s="229">
        <v>0</v>
      </c>
      <c r="G13" s="229">
        <v>0</v>
      </c>
      <c r="H13" s="229">
        <v>0</v>
      </c>
    </row>
    <row r="14" spans="1:9">
      <c r="B14" s="88" t="s">
        <v>446</v>
      </c>
      <c r="C14" s="75" t="s">
        <v>230</v>
      </c>
      <c r="D14" s="228">
        <v>0</v>
      </c>
      <c r="E14" s="229">
        <v>0</v>
      </c>
      <c r="F14" s="229">
        <v>0</v>
      </c>
      <c r="G14" s="229">
        <v>0</v>
      </c>
      <c r="H14" s="229">
        <v>0</v>
      </c>
    </row>
    <row r="15" spans="1:9">
      <c r="B15" s="88" t="s">
        <v>447</v>
      </c>
      <c r="C15" s="75" t="s">
        <v>230</v>
      </c>
      <c r="D15" s="228">
        <v>0</v>
      </c>
      <c r="E15" s="229">
        <v>0</v>
      </c>
      <c r="F15" s="229">
        <v>0</v>
      </c>
      <c r="G15" s="229">
        <v>0</v>
      </c>
      <c r="H15" s="229">
        <v>0</v>
      </c>
    </row>
    <row r="16" spans="1:9">
      <c r="B16" s="88" t="s">
        <v>448</v>
      </c>
      <c r="C16" s="75" t="s">
        <v>230</v>
      </c>
      <c r="D16" s="228">
        <v>118.31087572122414</v>
      </c>
      <c r="E16" s="229">
        <v>42.342801250000001</v>
      </c>
      <c r="F16" s="229">
        <v>42.342801250000001</v>
      </c>
      <c r="G16" s="229">
        <v>42.342801250000001</v>
      </c>
      <c r="H16" s="229">
        <v>42.342801250000001</v>
      </c>
    </row>
    <row r="17" spans="2:10">
      <c r="B17" s="88" t="s">
        <v>449</v>
      </c>
      <c r="C17" s="75" t="s">
        <v>230</v>
      </c>
      <c r="D17" s="228">
        <v>49.598232132264926</v>
      </c>
      <c r="E17" s="229">
        <v>0</v>
      </c>
      <c r="F17" s="229">
        <v>0</v>
      </c>
      <c r="G17" s="229">
        <v>0</v>
      </c>
      <c r="H17" s="229">
        <v>0</v>
      </c>
    </row>
    <row r="18" spans="2:10">
      <c r="B18" s="88" t="s">
        <v>450</v>
      </c>
      <c r="C18" s="75" t="s">
        <v>230</v>
      </c>
      <c r="D18" s="228">
        <v>0</v>
      </c>
      <c r="E18" s="229">
        <v>0</v>
      </c>
      <c r="F18" s="229">
        <v>0</v>
      </c>
      <c r="G18" s="229">
        <v>0</v>
      </c>
      <c r="H18" s="229">
        <v>0</v>
      </c>
    </row>
    <row r="19" spans="2:10">
      <c r="B19" s="88" t="s">
        <v>451</v>
      </c>
      <c r="C19" s="75" t="s">
        <v>230</v>
      </c>
      <c r="D19" s="228">
        <v>212.37004729638787</v>
      </c>
      <c r="E19" s="229">
        <v>0</v>
      </c>
      <c r="F19" s="229">
        <v>0</v>
      </c>
      <c r="G19" s="229">
        <v>0</v>
      </c>
      <c r="H19" s="229">
        <v>0</v>
      </c>
    </row>
    <row r="20" spans="2:10">
      <c r="B20" s="88" t="s">
        <v>452</v>
      </c>
      <c r="C20" s="75" t="s">
        <v>230</v>
      </c>
      <c r="D20" s="228">
        <v>0</v>
      </c>
      <c r="E20" s="229">
        <v>0</v>
      </c>
      <c r="F20" s="229">
        <v>0</v>
      </c>
      <c r="G20" s="229">
        <v>0</v>
      </c>
      <c r="H20" s="229">
        <v>0</v>
      </c>
    </row>
    <row r="21" spans="2:10">
      <c r="B21" s="88" t="s">
        <v>453</v>
      </c>
      <c r="C21" s="75" t="s">
        <v>230</v>
      </c>
      <c r="D21" s="228">
        <v>3.2839130000000001E-2</v>
      </c>
      <c r="E21" s="229">
        <v>0</v>
      </c>
      <c r="F21" s="229">
        <v>0</v>
      </c>
      <c r="G21" s="229">
        <v>0</v>
      </c>
      <c r="H21" s="229">
        <v>0</v>
      </c>
    </row>
    <row r="22" spans="2:10">
      <c r="B22" s="88" t="s">
        <v>454</v>
      </c>
      <c r="C22" s="75" t="s">
        <v>230</v>
      </c>
      <c r="D22" s="228">
        <v>-1.0498970000000001</v>
      </c>
      <c r="E22" s="229">
        <v>0</v>
      </c>
      <c r="F22" s="229">
        <v>0</v>
      </c>
      <c r="G22" s="229">
        <v>0</v>
      </c>
      <c r="H22" s="229">
        <v>0</v>
      </c>
    </row>
    <row r="23" spans="2:10">
      <c r="B23" s="88" t="s">
        <v>455</v>
      </c>
      <c r="C23" s="75" t="s">
        <v>230</v>
      </c>
      <c r="D23" s="228">
        <v>0</v>
      </c>
      <c r="E23" s="229">
        <v>0</v>
      </c>
      <c r="F23" s="229">
        <v>0</v>
      </c>
      <c r="G23" s="229">
        <v>0</v>
      </c>
      <c r="H23" s="229">
        <v>0</v>
      </c>
    </row>
    <row r="24" spans="2:10">
      <c r="B24" s="6" t="s">
        <v>456</v>
      </c>
      <c r="C24" s="109" t="s">
        <v>230</v>
      </c>
      <c r="D24" s="230">
        <f>SUM(D11:D23)</f>
        <v>7213.9276375575901</v>
      </c>
      <c r="E24" s="230">
        <f t="shared" ref="E24:H24" si="2">SUM(E11:E23)</f>
        <v>7108.2171706517793</v>
      </c>
      <c r="F24" s="230">
        <f t="shared" si="2"/>
        <v>7037.5642368640074</v>
      </c>
      <c r="G24" s="230">
        <f t="shared" si="2"/>
        <v>5905.9149883813516</v>
      </c>
      <c r="H24" s="230">
        <f t="shared" si="2"/>
        <v>5913.5344312484876</v>
      </c>
      <c r="I24" s="2"/>
      <c r="J24" s="123"/>
    </row>
    <row r="25" spans="2:10">
      <c r="B25" s="6"/>
      <c r="C25" s="75"/>
      <c r="D25" s="112"/>
      <c r="E25" s="112"/>
      <c r="F25" s="112"/>
      <c r="G25" s="112"/>
      <c r="H25" s="112"/>
      <c r="I25" s="2"/>
      <c r="J25" s="2"/>
    </row>
    <row r="26" spans="2:10">
      <c r="B26" s="6" t="s">
        <v>457</v>
      </c>
      <c r="C26" s="8"/>
      <c r="D26" s="113"/>
      <c r="E26" s="113"/>
      <c r="F26" s="113"/>
      <c r="G26" s="113"/>
      <c r="H26" s="113"/>
      <c r="I26" s="2"/>
      <c r="J26" s="2"/>
    </row>
    <row r="27" spans="2:10">
      <c r="B27" s="146" t="s">
        <v>474</v>
      </c>
      <c r="C27" s="75" t="s">
        <v>230</v>
      </c>
      <c r="D27" s="140">
        <v>14.584858929999999</v>
      </c>
      <c r="E27" s="140">
        <v>-11.765850908497875</v>
      </c>
      <c r="F27" s="140">
        <v>-10.550220879035271</v>
      </c>
      <c r="G27" s="140">
        <v>-9.4250060535101792</v>
      </c>
      <c r="H27" s="140">
        <v>-8.3873635758193359</v>
      </c>
      <c r="I27" s="2"/>
      <c r="J27" s="2"/>
    </row>
    <row r="28" spans="2:10">
      <c r="B28" s="146" t="s">
        <v>475</v>
      </c>
      <c r="C28" s="75" t="s">
        <v>230</v>
      </c>
      <c r="D28" s="140">
        <v>0</v>
      </c>
      <c r="E28" s="149">
        <v>0</v>
      </c>
      <c r="F28" s="149">
        <v>0</v>
      </c>
      <c r="G28" s="149">
        <v>0</v>
      </c>
      <c r="H28" s="149">
        <v>0</v>
      </c>
      <c r="I28" s="2"/>
      <c r="J28" s="2"/>
    </row>
    <row r="29" spans="2:10">
      <c r="B29" s="146" t="s">
        <v>476</v>
      </c>
      <c r="C29" s="75" t="s">
        <v>230</v>
      </c>
      <c r="D29" s="140">
        <v>0</v>
      </c>
      <c r="E29" s="149">
        <v>0</v>
      </c>
      <c r="F29" s="149">
        <v>0</v>
      </c>
      <c r="G29" s="149">
        <v>0</v>
      </c>
      <c r="H29" s="149">
        <v>0</v>
      </c>
      <c r="I29" s="2"/>
      <c r="J29" s="2"/>
    </row>
    <row r="30" spans="2:10">
      <c r="B30" s="146" t="s">
        <v>477</v>
      </c>
      <c r="C30" s="75" t="s">
        <v>230</v>
      </c>
      <c r="D30" s="140">
        <v>0</v>
      </c>
      <c r="E30" s="149">
        <v>0</v>
      </c>
      <c r="F30" s="149">
        <v>0</v>
      </c>
      <c r="G30" s="149">
        <v>0</v>
      </c>
      <c r="H30" s="149">
        <v>0</v>
      </c>
      <c r="I30" s="2"/>
      <c r="J30" s="2"/>
    </row>
    <row r="31" spans="2:10">
      <c r="B31" s="146" t="s">
        <v>478</v>
      </c>
      <c r="C31" s="75" t="s">
        <v>230</v>
      </c>
      <c r="D31" s="140">
        <v>22.404302035568072</v>
      </c>
      <c r="E31" s="149">
        <v>0</v>
      </c>
      <c r="F31" s="149">
        <v>0</v>
      </c>
      <c r="G31" s="149">
        <v>0</v>
      </c>
      <c r="H31" s="149">
        <v>0</v>
      </c>
      <c r="I31" s="2"/>
      <c r="J31" s="2"/>
    </row>
    <row r="32" spans="2:10">
      <c r="B32" s="146" t="s">
        <v>479</v>
      </c>
      <c r="C32" s="75" t="s">
        <v>230</v>
      </c>
      <c r="D32" s="140">
        <v>-259.41074457999997</v>
      </c>
      <c r="E32" s="149">
        <v>-251.19207253677206</v>
      </c>
      <c r="F32" s="149">
        <v>-238.68304118121674</v>
      </c>
      <c r="G32" s="149">
        <v>-236.37756616922883</v>
      </c>
      <c r="H32" s="149">
        <v>-234.92019262764376</v>
      </c>
      <c r="I32" s="2"/>
      <c r="J32" s="2"/>
    </row>
    <row r="33" spans="2:11" ht="12.75" customHeight="1">
      <c r="B33" s="146" t="s">
        <v>473</v>
      </c>
      <c r="C33" s="75" t="s">
        <v>230</v>
      </c>
      <c r="D33" s="140">
        <v>-42.342801250000001</v>
      </c>
      <c r="E33" s="149">
        <v>-42.342801250000001</v>
      </c>
      <c r="F33" s="149">
        <v>-42.342801250000001</v>
      </c>
      <c r="G33" s="149">
        <v>-42.342801250000001</v>
      </c>
      <c r="H33" s="149">
        <v>-42.342801250000001</v>
      </c>
      <c r="I33" s="2"/>
      <c r="J33" s="2"/>
    </row>
    <row r="34" spans="2:11">
      <c r="B34" s="146" t="s">
        <v>480</v>
      </c>
      <c r="C34" s="75" t="s">
        <v>230</v>
      </c>
      <c r="D34" s="140">
        <v>-212.37004729638787</v>
      </c>
      <c r="E34" s="149">
        <v>0</v>
      </c>
      <c r="F34" s="149">
        <v>0</v>
      </c>
      <c r="G34" s="149">
        <v>0</v>
      </c>
      <c r="H34" s="149">
        <v>0</v>
      </c>
      <c r="I34" s="2"/>
      <c r="J34" s="2"/>
    </row>
    <row r="35" spans="2:11">
      <c r="B35" s="146" t="s">
        <v>481</v>
      </c>
      <c r="C35" s="75" t="s">
        <v>230</v>
      </c>
      <c r="D35" s="140">
        <v>126.26711447</v>
      </c>
      <c r="E35" s="149">
        <v>248.78923442657765</v>
      </c>
      <c r="F35" s="149">
        <v>303.90062296828182</v>
      </c>
      <c r="G35" s="149">
        <v>333.09126802576714</v>
      </c>
      <c r="H35" s="149">
        <v>365.5721195115475</v>
      </c>
      <c r="I35" s="2"/>
      <c r="J35" s="2"/>
    </row>
    <row r="36" spans="2:11">
      <c r="B36" s="146" t="s">
        <v>482</v>
      </c>
      <c r="C36" s="75" t="s">
        <v>230</v>
      </c>
      <c r="D36" s="140">
        <v>-75.968074471224128</v>
      </c>
      <c r="E36" s="149">
        <v>0</v>
      </c>
      <c r="F36" s="149">
        <v>0</v>
      </c>
      <c r="G36" s="149">
        <v>0</v>
      </c>
      <c r="H36" s="149">
        <v>0</v>
      </c>
      <c r="I36" s="2"/>
      <c r="J36" s="2"/>
    </row>
    <row r="37" spans="2:11">
      <c r="B37" s="146" t="s">
        <v>483</v>
      </c>
      <c r="C37" s="75" t="s">
        <v>230</v>
      </c>
      <c r="D37" s="140">
        <v>-5177.3549385184106</v>
      </c>
      <c r="E37" s="149">
        <v>-5372.5266399798338</v>
      </c>
      <c r="F37" s="149">
        <v>-5374.8352184684009</v>
      </c>
      <c r="G37" s="149">
        <v>-4541.6970258555184</v>
      </c>
      <c r="H37" s="149">
        <v>-4581.8560997735212</v>
      </c>
      <c r="I37" s="2"/>
      <c r="J37" s="2"/>
    </row>
    <row r="38" spans="2:11">
      <c r="B38" s="146">
        <v>0</v>
      </c>
      <c r="C38" s="75" t="s">
        <v>230</v>
      </c>
      <c r="D38" s="140">
        <v>0</v>
      </c>
      <c r="E38" s="149">
        <v>0</v>
      </c>
      <c r="F38" s="149">
        <v>0</v>
      </c>
      <c r="G38" s="149">
        <v>0</v>
      </c>
      <c r="H38" s="149">
        <v>0</v>
      </c>
      <c r="I38" s="2"/>
      <c r="J38" s="2"/>
      <c r="K38" s="306"/>
    </row>
    <row r="39" spans="2:11">
      <c r="B39" s="146">
        <v>0</v>
      </c>
      <c r="C39" s="75" t="s">
        <v>230</v>
      </c>
      <c r="D39" s="140">
        <v>0</v>
      </c>
      <c r="E39" s="149">
        <v>0</v>
      </c>
      <c r="F39" s="149">
        <v>0</v>
      </c>
      <c r="G39" s="149">
        <v>0</v>
      </c>
      <c r="H39" s="149">
        <v>0</v>
      </c>
    </row>
    <row r="40" spans="2:11">
      <c r="B40" s="146">
        <v>0</v>
      </c>
      <c r="C40" s="75" t="s">
        <v>230</v>
      </c>
      <c r="D40" s="140">
        <v>0</v>
      </c>
      <c r="E40" s="149">
        <v>0</v>
      </c>
      <c r="F40" s="149">
        <v>0</v>
      </c>
      <c r="G40" s="149">
        <v>0</v>
      </c>
      <c r="H40" s="149">
        <v>0</v>
      </c>
    </row>
    <row r="41" spans="2:11">
      <c r="B41" s="146">
        <v>0</v>
      </c>
      <c r="C41" s="75" t="s">
        <v>230</v>
      </c>
      <c r="D41" s="140">
        <v>0</v>
      </c>
      <c r="E41" s="149">
        <v>0</v>
      </c>
      <c r="F41" s="149">
        <v>0</v>
      </c>
      <c r="G41" s="149">
        <v>0</v>
      </c>
      <c r="H41" s="149">
        <v>0</v>
      </c>
    </row>
    <row r="42" spans="2:11">
      <c r="B42" s="146">
        <v>0</v>
      </c>
      <c r="C42" s="75" t="s">
        <v>230</v>
      </c>
      <c r="D42" s="150">
        <v>0</v>
      </c>
      <c r="E42" s="151">
        <v>0</v>
      </c>
      <c r="F42" s="151">
        <v>0</v>
      </c>
      <c r="G42" s="151">
        <v>0</v>
      </c>
      <c r="H42" s="151">
        <v>0</v>
      </c>
    </row>
    <row r="43" spans="2:11">
      <c r="B43" s="377" t="s">
        <v>458</v>
      </c>
      <c r="C43" s="75" t="s">
        <v>230</v>
      </c>
      <c r="D43" s="233">
        <f>SUM(D24,D27:D42)</f>
        <v>1609.7373068771358</v>
      </c>
      <c r="E43" s="233">
        <f t="shared" ref="E43:H43" si="3">SUM(E24,E27:E42)</f>
        <v>1679.1790404032536</v>
      </c>
      <c r="F43" s="233">
        <f t="shared" si="3"/>
        <v>1675.0535780536366</v>
      </c>
      <c r="G43" s="233">
        <f t="shared" si="3"/>
        <v>1409.1638570788609</v>
      </c>
      <c r="H43" s="233">
        <f t="shared" si="3"/>
        <v>1411.6000935330512</v>
      </c>
    </row>
    <row r="44" spans="2:11">
      <c r="B44" s="147" t="s">
        <v>459</v>
      </c>
      <c r="C44" s="75" t="s">
        <v>230</v>
      </c>
      <c r="D44" s="533"/>
      <c r="E44" s="262">
        <v>143.29593415462116</v>
      </c>
      <c r="F44" s="262">
        <v>142.93795113016589</v>
      </c>
      <c r="G44" s="262">
        <v>392.52687933107063</v>
      </c>
      <c r="H44" s="262">
        <v>387.3321571046198</v>
      </c>
    </row>
    <row r="45" spans="2:11">
      <c r="B45" s="377" t="s">
        <v>460</v>
      </c>
      <c r="C45" s="75" t="s">
        <v>230</v>
      </c>
      <c r="D45" s="46">
        <f>SUM(D43:D44)</f>
        <v>1609.7373068771358</v>
      </c>
      <c r="E45" s="47">
        <f t="shared" ref="E45:H45" si="4">SUM(E43:E44)</f>
        <v>1822.4749745578747</v>
      </c>
      <c r="F45" s="47">
        <f t="shared" si="4"/>
        <v>1817.9915291838024</v>
      </c>
      <c r="G45" s="47">
        <f t="shared" si="4"/>
        <v>1801.6907364099316</v>
      </c>
      <c r="H45" s="47">
        <f t="shared" si="4"/>
        <v>1798.9322506376711</v>
      </c>
    </row>
    <row r="46" spans="2:11">
      <c r="D46" s="103" t="s">
        <v>731</v>
      </c>
      <c r="E46" s="104" t="s">
        <v>731</v>
      </c>
      <c r="F46" s="104" t="s">
        <v>731</v>
      </c>
      <c r="G46" s="104" t="s">
        <v>731</v>
      </c>
      <c r="H46" s="104" t="s">
        <v>731</v>
      </c>
    </row>
    <row r="48" spans="2:11">
      <c r="B48" s="378" t="s">
        <v>461</v>
      </c>
      <c r="C48" s="75" t="s">
        <v>230</v>
      </c>
      <c r="D48" s="262">
        <v>1293.645171574763</v>
      </c>
      <c r="E48" s="47">
        <f>D49</f>
        <v>1609.7373068771358</v>
      </c>
      <c r="F48" s="47">
        <f t="shared" ref="F48:H48" si="5">E49</f>
        <v>1822.4749745578747</v>
      </c>
      <c r="G48" s="47">
        <f t="shared" si="5"/>
        <v>1817.9915291838024</v>
      </c>
      <c r="H48" s="47">
        <f t="shared" si="5"/>
        <v>1801.6907364099316</v>
      </c>
      <c r="I48" s="90"/>
    </row>
    <row r="49" spans="2:10">
      <c r="B49" s="378" t="s">
        <v>462</v>
      </c>
      <c r="C49" s="75" t="s">
        <v>230</v>
      </c>
      <c r="D49" s="199">
        <f>D45</f>
        <v>1609.7373068771358</v>
      </c>
      <c r="E49" s="200">
        <f>E45</f>
        <v>1822.4749745578747</v>
      </c>
      <c r="F49" s="200">
        <f t="shared" ref="F49:H49" si="6">F45</f>
        <v>1817.9915291838024</v>
      </c>
      <c r="G49" s="200">
        <f t="shared" si="6"/>
        <v>1801.6907364099316</v>
      </c>
      <c r="H49" s="200">
        <f t="shared" si="6"/>
        <v>1798.9322506376711</v>
      </c>
      <c r="I49" s="90"/>
    </row>
    <row r="50" spans="2:10">
      <c r="D50" s="12"/>
      <c r="E50" s="12"/>
      <c r="F50" s="12"/>
      <c r="G50" s="12"/>
      <c r="H50" s="12"/>
    </row>
    <row r="51" spans="2:10">
      <c r="B51" s="6" t="s">
        <v>463</v>
      </c>
    </row>
    <row r="52" spans="2:10">
      <c r="B52" t="s">
        <v>464</v>
      </c>
      <c r="C52" s="90" t="s">
        <v>194</v>
      </c>
      <c r="D52" s="408">
        <v>0</v>
      </c>
      <c r="E52" s="409">
        <v>0</v>
      </c>
      <c r="F52" s="409">
        <v>0</v>
      </c>
      <c r="G52" s="409">
        <v>0</v>
      </c>
      <c r="H52" s="409">
        <v>0</v>
      </c>
    </row>
    <row r="53" spans="2:10">
      <c r="B53" t="s">
        <v>441</v>
      </c>
      <c r="C53" s="90" t="s">
        <v>194</v>
      </c>
      <c r="D53" s="176">
        <f>1-D52</f>
        <v>1</v>
      </c>
      <c r="E53" s="177">
        <f t="shared" ref="E53:H53" si="7">1-E52</f>
        <v>1</v>
      </c>
      <c r="F53" s="177">
        <f t="shared" si="7"/>
        <v>1</v>
      </c>
      <c r="G53" s="177">
        <f t="shared" si="7"/>
        <v>1</v>
      </c>
      <c r="H53" s="177">
        <f t="shared" si="7"/>
        <v>1</v>
      </c>
      <c r="J53" s="306"/>
    </row>
    <row r="54" spans="2:10">
      <c r="C54" s="90"/>
      <c r="D54" s="90"/>
      <c r="E54" s="90"/>
      <c r="F54" s="90"/>
      <c r="G54" s="90"/>
      <c r="H54" s="90"/>
      <c r="I54" s="90"/>
    </row>
    <row r="55" spans="2:10">
      <c r="B55" t="s">
        <v>465</v>
      </c>
      <c r="C55" s="75" t="s">
        <v>230</v>
      </c>
      <c r="D55" s="234">
        <f>AVERAGE(D48:D49)*D53</f>
        <v>1451.6912392259494</v>
      </c>
      <c r="E55" s="235">
        <f t="shared" ref="E55:H55" si="8">AVERAGE(E48:E49)*E53</f>
        <v>1716.1061407175052</v>
      </c>
      <c r="F55" s="235">
        <f t="shared" si="8"/>
        <v>1820.2332518708386</v>
      </c>
      <c r="G55" s="235">
        <f t="shared" si="8"/>
        <v>1809.841132796867</v>
      </c>
      <c r="H55" s="235">
        <f t="shared" si="8"/>
        <v>1800.3114935238013</v>
      </c>
    </row>
    <row r="56" spans="2:10">
      <c r="B56" t="s">
        <v>466</v>
      </c>
      <c r="C56" s="75" t="s">
        <v>230</v>
      </c>
      <c r="D56" s="231">
        <f>D57-D55</f>
        <v>1088.2770218835174</v>
      </c>
      <c r="E56" s="232">
        <f t="shared" ref="E56:H56" si="9">E57-E55</f>
        <v>1023.9191290360773</v>
      </c>
      <c r="F56" s="232">
        <f t="shared" si="9"/>
        <v>1048.7686130307816</v>
      </c>
      <c r="G56" s="232">
        <f t="shared" si="9"/>
        <v>1127.940797707523</v>
      </c>
      <c r="H56" s="232">
        <f t="shared" si="9"/>
        <v>1188.7685230921388</v>
      </c>
    </row>
    <row r="57" spans="2:10">
      <c r="B57" t="s">
        <v>467</v>
      </c>
      <c r="C57" s="75" t="s">
        <v>230</v>
      </c>
      <c r="D57" s="277">
        <v>2539.9682611094668</v>
      </c>
      <c r="E57" s="277">
        <v>2740.0252697535825</v>
      </c>
      <c r="F57" s="277">
        <v>2869.0018649016201</v>
      </c>
      <c r="G57" s="277">
        <v>2937.7819305043899</v>
      </c>
      <c r="H57" s="277">
        <v>2989.0800166159402</v>
      </c>
    </row>
    <row r="58" spans="2:10">
      <c r="B58" t="s">
        <v>468</v>
      </c>
      <c r="C58" s="75" t="s">
        <v>194</v>
      </c>
      <c r="D58" s="107">
        <f>D55/D57</f>
        <v>0.57153912568649412</v>
      </c>
      <c r="E58" s="108">
        <f t="shared" ref="E58:H58" si="10">E55/E57</f>
        <v>0.62631033358018595</v>
      </c>
      <c r="F58" s="108">
        <f t="shared" si="10"/>
        <v>0.63444826374598939</v>
      </c>
      <c r="G58" s="108">
        <f t="shared" si="10"/>
        <v>0.61605700341622494</v>
      </c>
      <c r="H58" s="108">
        <f t="shared" si="10"/>
        <v>0.60229618595557288</v>
      </c>
    </row>
    <row r="59" spans="2:10">
      <c r="B59" t="s">
        <v>24</v>
      </c>
      <c r="C59" s="75" t="s">
        <v>194</v>
      </c>
      <c r="D59" s="278">
        <v>0.6</v>
      </c>
      <c r="E59" s="279">
        <v>0.6</v>
      </c>
      <c r="F59" s="279">
        <v>0.6</v>
      </c>
      <c r="G59" s="279">
        <v>0.6</v>
      </c>
      <c r="H59" s="279">
        <v>0.6</v>
      </c>
    </row>
    <row r="60" spans="2:10">
      <c r="B60" t="s">
        <v>469</v>
      </c>
      <c r="C60" s="75" t="s">
        <v>194</v>
      </c>
      <c r="D60" s="110">
        <f t="shared" ref="D60:H60" si="11">IF(ISBLANK(D24),"n/a",D58-D59)</f>
        <v>-2.8460874313505857E-2</v>
      </c>
      <c r="E60" s="111">
        <f t="shared" si="11"/>
        <v>2.6310333580185974E-2</v>
      </c>
      <c r="F60" s="111">
        <f t="shared" si="11"/>
        <v>3.4448263745989416E-2</v>
      </c>
      <c r="G60" s="111">
        <f t="shared" si="11"/>
        <v>1.6057003416224958E-2</v>
      </c>
      <c r="H60" s="111">
        <f t="shared" si="11"/>
        <v>2.2961859555729047E-3</v>
      </c>
    </row>
    <row r="62" spans="2:10">
      <c r="B62" t="s">
        <v>470</v>
      </c>
      <c r="C62" s="38" t="str">
        <f>Data!$C$9</f>
        <v>£m 18/19</v>
      </c>
      <c r="D62" s="526">
        <f>D64*D58</f>
        <v>1309.9897501467233</v>
      </c>
      <c r="E62" s="336">
        <f t="shared" ref="E62:H62" si="12">E64*E58</f>
        <v>1456.8386612151373</v>
      </c>
      <c r="F62" s="336">
        <f t="shared" si="12"/>
        <v>1489.4368754139189</v>
      </c>
      <c r="G62" s="336">
        <f t="shared" si="12"/>
        <v>1453.228633098905</v>
      </c>
      <c r="H62" s="336">
        <f t="shared" si="12"/>
        <v>1419.413524974914</v>
      </c>
    </row>
    <row r="63" spans="2:10">
      <c r="B63" t="s">
        <v>471</v>
      </c>
      <c r="C63" s="38" t="str">
        <f>Data!$C$9</f>
        <v>£m 18/19</v>
      </c>
      <c r="D63" s="219">
        <f>D64*(1-D58)</f>
        <v>982.04887200928783</v>
      </c>
      <c r="E63" s="220">
        <f t="shared" ref="E63:H63" si="13">E64*(1-E58)</f>
        <v>869.22652261695987</v>
      </c>
      <c r="F63" s="220">
        <f t="shared" si="13"/>
        <v>858.17278880014635</v>
      </c>
      <c r="G63" s="220">
        <f t="shared" si="13"/>
        <v>905.69046860809078</v>
      </c>
      <c r="H63" s="220">
        <f t="shared" si="13"/>
        <v>937.25676129452972</v>
      </c>
    </row>
    <row r="64" spans="2:10">
      <c r="B64" t="s">
        <v>472</v>
      </c>
      <c r="C64" s="38" t="str">
        <f>Data!$C$9</f>
        <v>£m 18/19</v>
      </c>
      <c r="D64" s="277">
        <v>2292.0386221560111</v>
      </c>
      <c r="E64" s="277">
        <v>2326.0651838320973</v>
      </c>
      <c r="F64" s="277">
        <v>2347.6096642140651</v>
      </c>
      <c r="G64" s="277">
        <v>2358.9191017069957</v>
      </c>
      <c r="H64" s="277">
        <v>2356.6702862694437</v>
      </c>
    </row>
    <row r="65" spans="2:8">
      <c r="B65" t="s">
        <v>468</v>
      </c>
      <c r="C65" s="75" t="s">
        <v>194</v>
      </c>
      <c r="D65" s="107">
        <f>D62/D64</f>
        <v>0.57153912568649412</v>
      </c>
      <c r="E65" s="108">
        <f t="shared" ref="E65:H65" si="14">E62/E64</f>
        <v>0.62631033358018595</v>
      </c>
      <c r="F65" s="108">
        <f t="shared" si="14"/>
        <v>0.63444826374598939</v>
      </c>
      <c r="G65" s="108">
        <f t="shared" si="14"/>
        <v>0.61605700341622494</v>
      </c>
      <c r="H65" s="108">
        <f t="shared" si="14"/>
        <v>0.60229618595557288</v>
      </c>
    </row>
    <row r="66" spans="2:8">
      <c r="B66" t="s">
        <v>24</v>
      </c>
      <c r="C66" s="75" t="s">
        <v>194</v>
      </c>
      <c r="D66" s="278">
        <f>Data!$C$8</f>
        <v>0.6</v>
      </c>
      <c r="E66" s="279">
        <f>Data!$C$8</f>
        <v>0.6</v>
      </c>
      <c r="F66" s="279">
        <f>Data!$C$8</f>
        <v>0.6</v>
      </c>
      <c r="G66" s="279">
        <f>Data!$C$8</f>
        <v>0.6</v>
      </c>
      <c r="H66" s="279">
        <f>Data!$C$8</f>
        <v>0.6</v>
      </c>
    </row>
    <row r="67" spans="2:8">
      <c r="B67" t="s">
        <v>469</v>
      </c>
      <c r="C67" s="75" t="s">
        <v>194</v>
      </c>
      <c r="D67" s="110">
        <f t="shared" ref="D67:H67" si="15">IF(ISBLANK(D24),"n/a",D65-D66)</f>
        <v>-2.8460874313505857E-2</v>
      </c>
      <c r="E67" s="111">
        <f t="shared" si="15"/>
        <v>2.6310333580185974E-2</v>
      </c>
      <c r="F67" s="111">
        <f t="shared" si="15"/>
        <v>3.4448263745989416E-2</v>
      </c>
      <c r="G67" s="111">
        <f t="shared" si="15"/>
        <v>1.6057003416224958E-2</v>
      </c>
      <c r="H67" s="111">
        <f t="shared" si="15"/>
        <v>2.2961859555729047E-3</v>
      </c>
    </row>
  </sheetData>
  <conditionalFormatting sqref="D44">
    <cfRule type="expression" dxfId="43" priority="3">
      <formula>C$12="N/A"</formula>
    </cfRule>
  </conditionalFormatting>
  <conditionalFormatting sqref="D44">
    <cfRule type="expression" dxfId="42" priority="2">
      <formula>D$5="Forecast"</formula>
    </cfRule>
  </conditionalFormatting>
  <conditionalFormatting sqref="D44:H44">
    <cfRule type="expression" dxfId="41" priority="1">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20" activePane="bottomLeft" state="frozen"/>
      <selection activeCell="B3" sqref="B3:F3"/>
      <selection pane="bottomLeft" activeCell="E34" sqref="E34:I36"/>
    </sheetView>
  </sheetViews>
  <sheetFormatPr defaultRowHeight="12.4"/>
  <cols>
    <col min="1" max="1" width="8.3515625" customWidth="1"/>
    <col min="2" max="2" width="52.1171875" bestFit="1" customWidth="1"/>
    <col min="3" max="3" width="4.234375" customWidth="1"/>
    <col min="4" max="4" width="14.1171875" style="90" customWidth="1"/>
    <col min="5" max="9" width="11.1171875" customWidth="1"/>
    <col min="10" max="10" width="5" customWidth="1"/>
    <col min="12" max="12" width="9" style="88"/>
  </cols>
  <sheetData>
    <row r="1" spans="1:18" ht="20.65">
      <c r="A1" s="777" t="s">
        <v>484</v>
      </c>
      <c r="B1" s="397"/>
      <c r="C1" s="397"/>
      <c r="D1" s="410"/>
      <c r="E1" s="398"/>
      <c r="F1" s="398"/>
      <c r="G1" s="398"/>
      <c r="H1" s="398"/>
      <c r="I1" s="398"/>
      <c r="J1" s="786"/>
    </row>
    <row r="2" spans="1:18" ht="20.65">
      <c r="A2" s="295" t="str">
        <f>Licensee</f>
        <v>Cadent-NW</v>
      </c>
      <c r="B2" s="290"/>
      <c r="C2" s="290"/>
      <c r="D2" s="100"/>
      <c r="E2" s="16"/>
      <c r="F2" s="16"/>
      <c r="G2" s="16"/>
      <c r="H2" s="16"/>
      <c r="I2" s="16"/>
      <c r="J2" s="65"/>
    </row>
    <row r="3" spans="1:18" ht="20.65">
      <c r="A3" s="290">
        <f>Reporting_Year</f>
        <v>2022</v>
      </c>
      <c r="B3" s="577"/>
      <c r="C3" s="577"/>
      <c r="D3" s="577"/>
      <c r="E3" s="577"/>
      <c r="F3" s="577"/>
      <c r="G3" s="577"/>
      <c r="H3" s="577"/>
      <c r="I3" s="577"/>
      <c r="J3" s="119"/>
    </row>
    <row r="4" spans="1:18" s="2" customFormat="1" ht="12.75" customHeight="1">
      <c r="D4" s="1"/>
      <c r="L4" s="66"/>
    </row>
    <row r="5" spans="1:18" s="2" customFormat="1">
      <c r="B5" s="21"/>
      <c r="C5" s="21"/>
      <c r="D5" s="101"/>
      <c r="E5" s="154" t="str">
        <f t="shared" ref="E5:I5" si="0">IF(E6&lt;=Reporting_Year,"Actuals","Forecast")</f>
        <v>Actuals</v>
      </c>
      <c r="F5" s="154" t="str">
        <f t="shared" si="0"/>
        <v>Forecast</v>
      </c>
      <c r="G5" s="154" t="str">
        <f t="shared" si="0"/>
        <v>Forecast</v>
      </c>
      <c r="H5" s="154" t="str">
        <f t="shared" si="0"/>
        <v>Forecast</v>
      </c>
      <c r="I5" s="154"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2"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2" t="s">
        <v>485</v>
      </c>
      <c r="C9" s="612"/>
      <c r="K9" s="1"/>
      <c r="L9" s="66"/>
    </row>
    <row r="10" spans="1:18" s="2" customFormat="1">
      <c r="K10" s="1"/>
    </row>
    <row r="11" spans="1:18" s="2" customFormat="1">
      <c r="B11" s="160"/>
      <c r="C11" s="160"/>
      <c r="D11" s="160"/>
      <c r="E11" s="160"/>
      <c r="F11" s="160"/>
      <c r="G11" s="160"/>
      <c r="H11" s="160"/>
      <c r="I11" s="160"/>
      <c r="J11" s="160"/>
      <c r="K11" s="1"/>
      <c r="L11" s="66"/>
    </row>
    <row r="12" spans="1:18" s="2" customFormat="1">
      <c r="B12" t="s">
        <v>486</v>
      </c>
      <c r="C12"/>
      <c r="D12" s="94" t="str">
        <f>Data!$C$9</f>
        <v>£m 18/19</v>
      </c>
      <c r="E12" s="339">
        <v>2353.9881826619094</v>
      </c>
      <c r="F12" s="339">
        <v>2375.4655587789061</v>
      </c>
      <c r="G12" s="339">
        <v>2399.0745475197205</v>
      </c>
      <c r="H12" s="339">
        <v>2402.6523460800336</v>
      </c>
      <c r="I12" s="339">
        <v>2402.7155135583948</v>
      </c>
      <c r="K12" s="1"/>
      <c r="L12" s="66"/>
    </row>
    <row r="13" spans="1:18" s="2" customFormat="1">
      <c r="K13" s="1"/>
      <c r="L13" s="66"/>
    </row>
    <row r="14" spans="1:18" s="2" customFormat="1">
      <c r="B14" s="160"/>
      <c r="C14" s="160"/>
      <c r="D14" s="1"/>
      <c r="E14" s="1"/>
      <c r="F14" s="1"/>
      <c r="G14" s="1"/>
      <c r="H14" s="1"/>
      <c r="I14" s="1"/>
      <c r="K14" s="1"/>
      <c r="L14" s="66"/>
    </row>
    <row r="15" spans="1:18" s="2" customFormat="1" ht="13.5">
      <c r="B15" s="2" t="s">
        <v>487</v>
      </c>
      <c r="D15" s="94" t="str">
        <f>Data!$C$9</f>
        <v>£m 18/19</v>
      </c>
      <c r="E15" s="339">
        <v>2303.0114995812728</v>
      </c>
      <c r="F15" s="711">
        <v>2350.3479898035785</v>
      </c>
      <c r="G15" s="711">
        <v>2369.9778414008283</v>
      </c>
      <c r="H15" s="711">
        <v>2392.9982166354334</v>
      </c>
      <c r="I15" s="711">
        <v>2392.1120420625716</v>
      </c>
      <c r="K15" s="1"/>
      <c r="L15" s="66"/>
    </row>
    <row r="16" spans="1:18" s="2" customFormat="1">
      <c r="B16" s="2" t="s">
        <v>488</v>
      </c>
      <c r="D16" s="94" t="str">
        <f>Data!$C$9</f>
        <v>£m 18/19</v>
      </c>
      <c r="E16" s="339">
        <v>0</v>
      </c>
      <c r="F16" s="339">
        <v>0</v>
      </c>
      <c r="G16" s="339">
        <v>0</v>
      </c>
      <c r="H16" s="339">
        <v>0</v>
      </c>
      <c r="I16" s="339">
        <v>0</v>
      </c>
      <c r="K16" s="1"/>
      <c r="L16" s="66"/>
    </row>
    <row r="17" spans="1:13" s="2" customFormat="1">
      <c r="B17" s="5" t="s">
        <v>489</v>
      </c>
      <c r="C17" s="5"/>
      <c r="D17" s="94" t="str">
        <f>Data!$C$9</f>
        <v>£m 18/19</v>
      </c>
      <c r="E17" s="430">
        <f>SUM(E15:E16)</f>
        <v>2303.0114995812728</v>
      </c>
      <c r="F17" s="431">
        <f t="shared" ref="F17:I17" si="2">SUM(F15:F16)</f>
        <v>2350.3479898035785</v>
      </c>
      <c r="G17" s="431">
        <f t="shared" si="2"/>
        <v>2369.9778414008283</v>
      </c>
      <c r="H17" s="431">
        <f t="shared" si="2"/>
        <v>2392.9982166354334</v>
      </c>
      <c r="I17" s="431">
        <f t="shared" si="2"/>
        <v>2392.1120420625716</v>
      </c>
      <c r="K17" s="1"/>
      <c r="L17" s="66"/>
    </row>
    <row r="18" spans="1:13" s="2" customFormat="1">
      <c r="B18" s="328" t="s">
        <v>490</v>
      </c>
      <c r="C18" s="328"/>
      <c r="D18" s="94" t="str">
        <f>Data!$C$9</f>
        <v>£m 18/19</v>
      </c>
      <c r="E18" s="338">
        <v>171.53613882477271</v>
      </c>
      <c r="F18" s="338">
        <v>146.23728604368392</v>
      </c>
      <c r="G18" s="338">
        <v>151.30366732930437</v>
      </c>
      <c r="H18" s="338">
        <v>134.28623119399688</v>
      </c>
      <c r="I18" s="338">
        <v>132.89927851142426</v>
      </c>
      <c r="K18" s="1"/>
      <c r="L18" s="66"/>
    </row>
    <row r="19" spans="1:13" s="2" customFormat="1">
      <c r="B19" s="328" t="s">
        <v>491</v>
      </c>
      <c r="C19" s="328"/>
      <c r="D19" s="94" t="str">
        <f>Data!$C$9</f>
        <v>£m 18/19</v>
      </c>
      <c r="E19" s="653">
        <v>-3.6401928583305789</v>
      </c>
      <c r="F19" s="653">
        <v>-2.0057937744568619</v>
      </c>
      <c r="G19" s="653">
        <v>-0.83057409134644899</v>
      </c>
      <c r="H19" s="653">
        <v>-4.736590575778763</v>
      </c>
      <c r="I19" s="653">
        <v>-4.4899425528288361</v>
      </c>
      <c r="K19" s="1"/>
      <c r="L19" s="66"/>
    </row>
    <row r="20" spans="1:13" s="2" customFormat="1">
      <c r="B20" s="663" t="s">
        <v>492</v>
      </c>
      <c r="C20" s="663"/>
      <c r="D20" s="94" t="str">
        <f>Data!$C$9</f>
        <v>£m 18/19</v>
      </c>
      <c r="E20" s="668">
        <f>SUM(E18:E19)</f>
        <v>167.89594596644213</v>
      </c>
      <c r="F20" s="668">
        <f t="shared" ref="F20:I20" si="3">SUM(F18:F19)</f>
        <v>144.23149226922706</v>
      </c>
      <c r="G20" s="668">
        <f t="shared" si="3"/>
        <v>150.47309323795793</v>
      </c>
      <c r="H20" s="668">
        <f t="shared" si="3"/>
        <v>129.54964061821812</v>
      </c>
      <c r="I20" s="668">
        <f t="shared" si="3"/>
        <v>128.40933595859542</v>
      </c>
      <c r="K20" s="1"/>
      <c r="L20" s="66"/>
    </row>
    <row r="21" spans="1:13" s="2" customFormat="1">
      <c r="B21" s="328" t="s">
        <v>493</v>
      </c>
      <c r="C21" s="328"/>
      <c r="D21" s="94" t="str">
        <f>Data!$C$9</f>
        <v>£m 18/19</v>
      </c>
      <c r="E21" s="669">
        <v>-120.55945574413641</v>
      </c>
      <c r="F21" s="669">
        <v>-124.7599099266871</v>
      </c>
      <c r="G21" s="669">
        <v>-127.69467858849019</v>
      </c>
      <c r="H21" s="669">
        <v>-130.70843263368386</v>
      </c>
      <c r="I21" s="669">
        <v>-132.83611103306282</v>
      </c>
      <c r="K21" s="1"/>
      <c r="L21" s="66"/>
    </row>
    <row r="22" spans="1:13" s="2" customFormat="1">
      <c r="B22" s="328" t="s">
        <v>494</v>
      </c>
      <c r="C22" s="328"/>
      <c r="D22" s="94" t="str">
        <f>Data!$C$9</f>
        <v>£m 18/19</v>
      </c>
      <c r="E22" s="654">
        <v>0</v>
      </c>
      <c r="F22" s="654">
        <v>0.15826925471002085</v>
      </c>
      <c r="G22" s="654">
        <v>0.24196058513732055</v>
      </c>
      <c r="H22" s="654">
        <v>0.27261744260380283</v>
      </c>
      <c r="I22" s="654">
        <v>0.47229861669640627</v>
      </c>
      <c r="K22" s="1"/>
      <c r="L22" s="66"/>
    </row>
    <row r="23" spans="1:13" s="2" customFormat="1">
      <c r="B23" s="155" t="s">
        <v>495</v>
      </c>
      <c r="C23" s="155"/>
      <c r="D23" s="94" t="str">
        <f>Data!$C$9</f>
        <v>£m 18/19</v>
      </c>
      <c r="E23" s="411">
        <f>SUM(E21:E22)</f>
        <v>-120.55945574413641</v>
      </c>
      <c r="F23" s="411">
        <f t="shared" ref="F23:I23" si="4">SUM(F21:F22)</f>
        <v>-124.60164067197708</v>
      </c>
      <c r="G23" s="411">
        <f t="shared" si="4"/>
        <v>-127.45271800335287</v>
      </c>
      <c r="H23" s="411">
        <f t="shared" si="4"/>
        <v>-130.43581519108005</v>
      </c>
      <c r="I23" s="411">
        <f t="shared" si="4"/>
        <v>-132.36381241636641</v>
      </c>
      <c r="K23" s="1"/>
      <c r="L23" s="66"/>
    </row>
    <row r="24" spans="1:13" s="2" customFormat="1">
      <c r="B24" s="5" t="s">
        <v>496</v>
      </c>
      <c r="C24" s="5"/>
      <c r="D24" s="94" t="str">
        <f>Data!$C$9</f>
        <v>£m 18/19</v>
      </c>
      <c r="E24" s="236">
        <f>E17+E20+E23</f>
        <v>2350.3479898035785</v>
      </c>
      <c r="F24" s="236">
        <f t="shared" ref="F24:I24" si="5">F17+F20+F23</f>
        <v>2369.9778414008283</v>
      </c>
      <c r="G24" s="236">
        <f t="shared" si="5"/>
        <v>2392.9982166354334</v>
      </c>
      <c r="H24" s="236">
        <f t="shared" si="5"/>
        <v>2392.1120420625716</v>
      </c>
      <c r="I24" s="236">
        <f t="shared" si="5"/>
        <v>2388.1575656048008</v>
      </c>
      <c r="K24" s="1"/>
      <c r="L24" s="66"/>
    </row>
    <row r="25" spans="1:13" s="2" customFormat="1">
      <c r="B25" s="5"/>
      <c r="C25" s="5"/>
      <c r="D25" s="94"/>
      <c r="E25" s="94"/>
      <c r="F25" s="94"/>
      <c r="G25" s="94"/>
      <c r="H25" s="94"/>
      <c r="I25" s="94"/>
      <c r="J25" s="94"/>
      <c r="K25" s="1"/>
      <c r="L25" s="94"/>
      <c r="M25" s="94"/>
    </row>
    <row r="26" spans="1:13" s="2" customFormat="1">
      <c r="B26" s="5" t="s">
        <v>497</v>
      </c>
      <c r="C26" s="94"/>
      <c r="D26" s="352"/>
      <c r="E26" s="236">
        <f>E19+E22</f>
        <v>-3.6401928583305789</v>
      </c>
      <c r="F26" s="714">
        <f>F19+F22</f>
        <v>-1.8475245197468411</v>
      </c>
      <c r="G26" s="714">
        <f t="shared" ref="G26:I26" si="6">G19+G22</f>
        <v>-0.58861350620912845</v>
      </c>
      <c r="H26" s="714">
        <f t="shared" si="6"/>
        <v>-4.4639731331749601</v>
      </c>
      <c r="I26" s="715">
        <f t="shared" si="6"/>
        <v>-4.0176439361324299</v>
      </c>
      <c r="J26" s="94"/>
      <c r="K26" s="1"/>
      <c r="L26" s="94"/>
      <c r="M26" s="94"/>
    </row>
    <row r="27" spans="1:13" s="2" customFormat="1">
      <c r="B27" s="5" t="s">
        <v>498</v>
      </c>
      <c r="C27" s="94"/>
      <c r="D27" s="713"/>
      <c r="E27" s="716" t="str">
        <f>IF(E5="Actuals",IF(ABS((E24-SUM($E26:E$26))-E12)&lt;0.1,"TRUE","FALSE"),"NA")</f>
        <v>TRUE</v>
      </c>
      <c r="F27" s="717" t="str">
        <f>IF(F5="Actuals",IF(ABS((F24-SUM($E26:F$26))-F12)&lt;0.1,"TRUE","FALSE"),"NA")</f>
        <v>NA</v>
      </c>
      <c r="G27" s="717" t="str">
        <f>IF(G5="Actuals",IF(ABS((G24-SUM($E26:G$26))-G12)&lt;0.1,"TRUE","FALSE"),"NA")</f>
        <v>NA</v>
      </c>
      <c r="H27" s="717" t="str">
        <f>IF(H5="Actuals",IF(ABS((H24-SUM($E26:H$26))-H12)&lt;0.1,"TRUE","FALSE"),"NA")</f>
        <v>NA</v>
      </c>
      <c r="I27" s="718"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52"/>
      <c r="F29" s="94"/>
      <c r="G29" s="352"/>
      <c r="H29" s="352"/>
      <c r="I29" s="352"/>
      <c r="J29" s="94"/>
      <c r="K29" s="1"/>
      <c r="L29" s="94"/>
      <c r="M29" s="94"/>
    </row>
    <row r="30" spans="1:13" s="2" customFormat="1">
      <c r="A30"/>
      <c r="B30" s="2" t="s">
        <v>499</v>
      </c>
      <c r="D30" s="90" t="s">
        <v>500</v>
      </c>
      <c r="E30" s="648">
        <f>INDEX(Data!C17:N17,MATCH(RIIO_2_start_date-1,Data!C15:N15,0))/IF(Sector="ED2",Data!$E$16,Data!$C$16)</f>
        <v>1.0533528227824487</v>
      </c>
      <c r="F30" s="94"/>
      <c r="G30" s="352"/>
      <c r="H30" s="352"/>
      <c r="I30" s="528"/>
      <c r="J30" s="530"/>
      <c r="K30" s="1"/>
      <c r="L30" s="94"/>
      <c r="M30" s="94"/>
    </row>
    <row r="31" spans="1:13" s="2" customFormat="1">
      <c r="B31" s="5"/>
      <c r="C31" s="5"/>
      <c r="D31" s="94"/>
      <c r="E31" s="174"/>
      <c r="F31" s="174"/>
      <c r="G31" s="174"/>
      <c r="H31" s="174"/>
      <c r="I31" s="174"/>
      <c r="J31" s="94"/>
      <c r="K31" s="1"/>
      <c r="L31" s="94"/>
      <c r="M31" s="94"/>
    </row>
    <row r="32" spans="1:13" s="2" customFormat="1">
      <c r="B32" s="5" t="s">
        <v>496</v>
      </c>
      <c r="C32" s="5"/>
      <c r="D32" s="75" t="s">
        <v>230</v>
      </c>
      <c r="E32" s="655">
        <f>E24*Combined_real_to_nominal_prices_conversion_factor__financial_year_end</f>
        <v>2654.0528582345601</v>
      </c>
      <c r="F32" s="655">
        <f>F24*Combined_real_to_nominal_prices_conversion_factor__financial_year_end</f>
        <v>2825.9976812726054</v>
      </c>
      <c r="G32" s="655">
        <f>G24*Combined_real_to_nominal_prices_conversion_factor__financial_year_end</f>
        <v>2912.0060485306344</v>
      </c>
      <c r="H32" s="655">
        <f>H24*Combined_real_to_nominal_prices_conversion_factor__financial_year_end</f>
        <v>2963.5578124781455</v>
      </c>
      <c r="I32" s="655">
        <f>I24*Combined_real_to_nominal_prices_conversion_factor__financial_year_end</f>
        <v>3014.6022207537349</v>
      </c>
      <c r="K32" s="1"/>
      <c r="L32" s="94"/>
      <c r="M32" s="94"/>
    </row>
    <row r="33" spans="1:13" s="2" customFormat="1">
      <c r="B33" s="5"/>
      <c r="C33" s="5"/>
      <c r="D33" s="94"/>
      <c r="E33" s="94"/>
      <c r="F33" s="94"/>
      <c r="G33" s="94"/>
      <c r="H33" s="94"/>
      <c r="I33" s="94"/>
      <c r="J33" s="94"/>
      <c r="K33" s="1"/>
      <c r="L33" s="94"/>
      <c r="M33" s="94"/>
    </row>
    <row r="34" spans="1:13" s="2" customFormat="1">
      <c r="B34" s="66" t="s">
        <v>501</v>
      </c>
      <c r="C34" s="66"/>
      <c r="D34" s="94" t="s">
        <v>502</v>
      </c>
      <c r="E34" s="158">
        <v>2.0500000000000001E-2</v>
      </c>
      <c r="F34" s="158">
        <v>1.9E-2</v>
      </c>
      <c r="G34" s="158">
        <v>1.83E-2</v>
      </c>
      <c r="H34" s="158">
        <v>1.78E-2</v>
      </c>
      <c r="I34" s="158">
        <v>1.7500000000000002E-2</v>
      </c>
      <c r="J34" s="94"/>
      <c r="K34" s="1"/>
      <c r="L34" s="94"/>
      <c r="M34" s="94"/>
    </row>
    <row r="35" spans="1:13" s="2" customFormat="1">
      <c r="B35" s="66" t="s">
        <v>503</v>
      </c>
      <c r="C35" s="66"/>
      <c r="D35" s="94" t="s">
        <v>502</v>
      </c>
      <c r="E35" s="510">
        <v>4.5181881000000007E-2</v>
      </c>
      <c r="F35" s="510">
        <v>4.5568105000000005E-2</v>
      </c>
      <c r="G35" s="510">
        <v>4.5399131999999995E-2</v>
      </c>
      <c r="H35" s="510">
        <v>4.564052200000001E-2</v>
      </c>
      <c r="I35" s="510">
        <v>4.5833633999999998E-2</v>
      </c>
      <c r="J35" s="94"/>
      <c r="K35" s="1"/>
      <c r="L35" s="94"/>
      <c r="M35" s="94"/>
    </row>
    <row r="36" spans="1:13">
      <c r="A36" s="2"/>
      <c r="B36" s="66" t="s">
        <v>504</v>
      </c>
      <c r="C36" s="66"/>
      <c r="D36" s="94" t="s">
        <v>194</v>
      </c>
      <c r="E36" s="159">
        <v>0.6</v>
      </c>
      <c r="F36" s="159">
        <v>0.6</v>
      </c>
      <c r="G36" s="159">
        <v>0.6</v>
      </c>
      <c r="H36" s="159">
        <v>0.6</v>
      </c>
      <c r="I36" s="159">
        <v>0.6</v>
      </c>
      <c r="J36" s="94"/>
      <c r="K36" s="1"/>
      <c r="L36" s="94"/>
      <c r="M36" s="94"/>
    </row>
    <row r="37" spans="1:13">
      <c r="B37" t="s">
        <v>505</v>
      </c>
      <c r="D37" s="94" t="s">
        <v>502</v>
      </c>
      <c r="E37" s="156">
        <f t="shared" ref="E37:I37" si="7">E34*E36+E35*(1-E36)</f>
        <v>3.0372752400000001E-2</v>
      </c>
      <c r="F37" s="157">
        <f t="shared" si="7"/>
        <v>2.9627241999999998E-2</v>
      </c>
      <c r="G37" s="157">
        <f t="shared" si="7"/>
        <v>2.9139652799999999E-2</v>
      </c>
      <c r="H37" s="157">
        <f t="shared" si="7"/>
        <v>2.8936208800000002E-2</v>
      </c>
      <c r="I37" s="157">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506</v>
      </c>
      <c r="C39" s="88"/>
      <c r="D39" s="94" t="str">
        <f>Data!$C$9</f>
        <v>£m 18/19</v>
      </c>
      <c r="E39" s="46">
        <f>E41*E36</f>
        <v>1375.2231732936066</v>
      </c>
      <c r="F39" s="47">
        <f t="shared" ref="F39:I39" si="8">F41*F36</f>
        <v>1395.6391102992584</v>
      </c>
      <c r="G39" s="47">
        <f t="shared" si="8"/>
        <v>1408.565798528439</v>
      </c>
      <c r="H39" s="47">
        <f t="shared" si="8"/>
        <v>1415.3514610241973</v>
      </c>
      <c r="I39" s="47">
        <f t="shared" si="8"/>
        <v>1414.0021717616662</v>
      </c>
      <c r="J39" s="94"/>
      <c r="K39" s="1"/>
      <c r="L39" s="94"/>
      <c r="M39" s="94"/>
    </row>
    <row r="40" spans="1:13" s="2" customFormat="1">
      <c r="A40"/>
      <c r="B40" s="88" t="s">
        <v>507</v>
      </c>
      <c r="C40" s="88"/>
      <c r="D40" s="94" t="str">
        <f>Data!$C$9</f>
        <v>£m 18/19</v>
      </c>
      <c r="E40" s="181">
        <f t="shared" ref="E40:I40" si="9">E41*(1-E36)</f>
        <v>916.81544886240454</v>
      </c>
      <c r="F40" s="182">
        <f t="shared" si="9"/>
        <v>930.42607353283893</v>
      </c>
      <c r="G40" s="182">
        <f t="shared" si="9"/>
        <v>939.04386568562609</v>
      </c>
      <c r="H40" s="182">
        <f t="shared" si="9"/>
        <v>943.56764068279836</v>
      </c>
      <c r="I40" s="182">
        <f t="shared" si="9"/>
        <v>942.66811450777755</v>
      </c>
      <c r="J40" s="94"/>
      <c r="K40" s="1"/>
      <c r="L40" s="94"/>
      <c r="M40" s="94"/>
    </row>
    <row r="41" spans="1:13" s="2" customFormat="1">
      <c r="A41"/>
      <c r="B41" t="s">
        <v>508</v>
      </c>
      <c r="C41"/>
      <c r="D41" s="94" t="str">
        <f>Data!$C$9</f>
        <v>£m 18/19</v>
      </c>
      <c r="E41" s="50">
        <f>AVERAGE(E15,E24*(1/(1+E37)))</f>
        <v>2292.0386221560111</v>
      </c>
      <c r="F41" s="51">
        <f>AVERAGE(F15,F24*(1/(1+F37)))</f>
        <v>2326.0651838320973</v>
      </c>
      <c r="G41" s="51">
        <f>AVERAGE(G15,G24*(1/(1+G37)))</f>
        <v>2347.6096642140651</v>
      </c>
      <c r="H41" s="51">
        <f>AVERAGE(H15,H24*(1/(1+H37)))</f>
        <v>2358.9191017069957</v>
      </c>
      <c r="I41" s="51">
        <f>AVERAGE(I15,I24*(1/(1+I37)))</f>
        <v>2356.6702862694437</v>
      </c>
      <c r="J41" s="94"/>
      <c r="K41" s="1"/>
      <c r="L41" s="94"/>
      <c r="M41" s="94"/>
    </row>
    <row r="42" spans="1:13" s="2" customFormat="1">
      <c r="A42"/>
      <c r="B42"/>
      <c r="C42"/>
      <c r="D42" s="94"/>
      <c r="E42" s="94"/>
      <c r="F42" s="94"/>
      <c r="G42" s="94"/>
      <c r="H42" s="94"/>
      <c r="I42" s="94"/>
      <c r="J42" s="94"/>
      <c r="K42" s="1"/>
      <c r="L42" s="94"/>
      <c r="M42" s="94"/>
    </row>
    <row r="43" spans="1:13" s="2" customFormat="1">
      <c r="A43"/>
      <c r="B43" s="88" t="s">
        <v>509</v>
      </c>
      <c r="C43" s="88"/>
      <c r="D43" s="94" t="str">
        <f>Data!$C$9</f>
        <v>£m 18/19</v>
      </c>
      <c r="E43" s="412">
        <f>E34*E39</f>
        <v>28.192075052518938</v>
      </c>
      <c r="F43" s="413">
        <f t="shared" ref="E43:I44" si="10">F34*F39</f>
        <v>26.51714309568591</v>
      </c>
      <c r="G43" s="413">
        <f t="shared" si="10"/>
        <v>25.776754113070435</v>
      </c>
      <c r="H43" s="413">
        <f t="shared" si="10"/>
        <v>25.193256006230712</v>
      </c>
      <c r="I43" s="413">
        <f t="shared" si="10"/>
        <v>24.745038005829162</v>
      </c>
      <c r="J43" s="94"/>
      <c r="K43" s="1"/>
      <c r="L43" s="94"/>
      <c r="M43" s="94"/>
    </row>
    <row r="44" spans="1:13">
      <c r="B44" s="88" t="s">
        <v>510</v>
      </c>
      <c r="C44" s="88"/>
      <c r="D44" s="94" t="str">
        <f>Data!$C$9</f>
        <v>£m 18/19</v>
      </c>
      <c r="E44" s="43">
        <f t="shared" si="10"/>
        <v>41.423446509462757</v>
      </c>
      <c r="F44" s="44">
        <f t="shared" si="10"/>
        <v>42.397753013482131</v>
      </c>
      <c r="G44" s="44">
        <f t="shared" si="10"/>
        <v>42.631776412052005</v>
      </c>
      <c r="H44" s="44">
        <f t="shared" si="10"/>
        <v>43.064919663071365</v>
      </c>
      <c r="I44" s="44">
        <f t="shared" si="10"/>
        <v>43.205905343819566</v>
      </c>
      <c r="J44" s="94"/>
      <c r="K44" s="1"/>
      <c r="L44" s="94"/>
      <c r="M44" s="94"/>
    </row>
    <row r="45" spans="1:13">
      <c r="B45" t="s">
        <v>511</v>
      </c>
      <c r="D45" s="94" t="str">
        <f>Data!$C$9</f>
        <v>£m 18/19</v>
      </c>
      <c r="E45" s="50">
        <f>SUM(E43:E44)</f>
        <v>69.615521561981694</v>
      </c>
      <c r="F45" s="51">
        <f t="shared" ref="F45:I45" si="11">SUM(F43:F44)</f>
        <v>68.914896109168041</v>
      </c>
      <c r="G45" s="51">
        <f t="shared" si="11"/>
        <v>68.408530525122444</v>
      </c>
      <c r="H45" s="51">
        <f t="shared" si="11"/>
        <v>68.258175669302076</v>
      </c>
      <c r="I45" s="51">
        <f t="shared" si="11"/>
        <v>67.950943349648725</v>
      </c>
      <c r="J45" s="94"/>
      <c r="K45" s="1"/>
      <c r="L45" s="94"/>
      <c r="M45" s="94"/>
    </row>
    <row r="46" spans="1:13">
      <c r="J46" s="94"/>
      <c r="K46" s="1"/>
      <c r="L46" s="94"/>
      <c r="M46" s="94"/>
    </row>
    <row r="47" spans="1:13">
      <c r="B47" s="88"/>
      <c r="C47" s="88"/>
      <c r="D47" s="75"/>
      <c r="E47" s="251"/>
      <c r="F47" s="251"/>
      <c r="G47" s="251"/>
      <c r="H47" s="251"/>
      <c r="I47" s="251"/>
      <c r="J47" s="94"/>
      <c r="K47" s="1"/>
      <c r="L47" s="94"/>
      <c r="M47" s="94"/>
    </row>
    <row r="48" spans="1:13">
      <c r="B48" s="88"/>
      <c r="C48" s="88"/>
      <c r="D48" s="75"/>
      <c r="E48" s="251"/>
      <c r="F48" s="251"/>
      <c r="G48" s="251"/>
      <c r="H48" s="251"/>
      <c r="I48" s="251"/>
      <c r="J48" s="94"/>
      <c r="K48" s="1"/>
      <c r="L48" s="94"/>
      <c r="M48" s="94"/>
    </row>
    <row r="49" spans="2:13">
      <c r="D49" s="75"/>
      <c r="E49" s="238"/>
      <c r="F49" s="238"/>
      <c r="G49" s="238"/>
      <c r="H49" s="238"/>
      <c r="I49" s="238"/>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51"/>
      <c r="F56" s="251"/>
      <c r="G56" s="251"/>
      <c r="H56" s="251"/>
      <c r="I56" s="251"/>
      <c r="J56" s="6"/>
    </row>
    <row r="57" spans="2:13">
      <c r="B57" s="88"/>
      <c r="C57" s="88"/>
      <c r="D57" s="75"/>
      <c r="E57" s="238"/>
      <c r="F57" s="238"/>
      <c r="G57" s="238"/>
      <c r="H57" s="238"/>
      <c r="I57" s="238"/>
    </row>
    <row r="58" spans="2:13">
      <c r="D58" s="75"/>
      <c r="E58" s="251"/>
      <c r="F58" s="251"/>
      <c r="G58" s="251"/>
      <c r="H58" s="251"/>
      <c r="I58" s="251"/>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40" priority="15">
      <formula>AND(E$5="Actuals",F$5="Forecast")</formula>
    </cfRule>
  </conditionalFormatting>
  <conditionalFormatting sqref="I5:I6">
    <cfRule type="expression" dxfId="39" priority="256">
      <formula>AND(I$5="Actuals",#REF!="Forecast")</formula>
    </cfRule>
  </conditionalFormatting>
  <conditionalFormatting sqref="E7:I7">
    <cfRule type="expression" dxfId="38"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zoomScaleNormal="100" workbookViewId="0">
      <pane ySplit="7" topLeftCell="A10" activePane="bottomLeft" state="frozen"/>
      <selection activeCell="B3" sqref="B3:F3"/>
      <selection pane="bottomLeft" activeCell="E33" sqref="E33"/>
    </sheetView>
  </sheetViews>
  <sheetFormatPr defaultRowHeight="12.4"/>
  <cols>
    <col min="1" max="1" width="8.3515625" customWidth="1"/>
    <col min="2" max="2" width="62.76171875" customWidth="1"/>
    <col min="3" max="3" width="5.1171875" customWidth="1"/>
    <col min="4" max="4" width="14.1171875" customWidth="1"/>
    <col min="5" max="9" width="11.1171875" customWidth="1"/>
    <col min="10" max="10" width="7.76171875" customWidth="1"/>
  </cols>
  <sheetData>
    <row r="1" spans="1:14" ht="20.65">
      <c r="A1" s="777" t="s">
        <v>182</v>
      </c>
      <c r="B1" s="397"/>
      <c r="C1" s="397"/>
      <c r="D1" s="398"/>
      <c r="E1" s="398"/>
      <c r="F1" s="398"/>
      <c r="G1" s="398"/>
      <c r="H1" s="398"/>
      <c r="I1" s="398"/>
      <c r="J1" s="786"/>
    </row>
    <row r="2" spans="1:14" ht="20.65">
      <c r="A2" s="295" t="str">
        <f>Licensee</f>
        <v>Cadent-NW</v>
      </c>
      <c r="B2" s="16"/>
      <c r="C2" s="16"/>
      <c r="D2" s="16"/>
      <c r="E2" s="16"/>
      <c r="F2" s="16"/>
      <c r="G2" s="16"/>
      <c r="H2" s="16"/>
      <c r="I2" s="16"/>
      <c r="J2" s="65"/>
    </row>
    <row r="3" spans="1:14" ht="20.65">
      <c r="A3" s="290">
        <f>Reporting_Year</f>
        <v>2022</v>
      </c>
      <c r="B3" s="577"/>
      <c r="C3" s="577"/>
      <c r="D3" s="577"/>
      <c r="E3" s="594"/>
      <c r="F3" s="594"/>
      <c r="G3" s="594"/>
      <c r="H3" s="594"/>
      <c r="I3" s="594"/>
      <c r="J3" s="119"/>
    </row>
    <row r="4" spans="1:14" ht="12.75" customHeight="1">
      <c r="A4" s="120"/>
      <c r="B4" s="121"/>
      <c r="C4" s="121"/>
      <c r="D4" s="120"/>
      <c r="E4" s="532">
        <f>IF(E5="Actuals",1,0)</f>
        <v>0</v>
      </c>
      <c r="F4" s="532">
        <f t="shared" ref="F4:I4" si="0">IF(F5="Actuals",1,0)</f>
        <v>0</v>
      </c>
      <c r="G4" s="532">
        <f t="shared" si="0"/>
        <v>0</v>
      </c>
      <c r="H4" s="532">
        <f t="shared" si="0"/>
        <v>0</v>
      </c>
      <c r="I4" s="532">
        <f t="shared" si="0"/>
        <v>0</v>
      </c>
      <c r="J4" s="122"/>
      <c r="K4" s="121"/>
    </row>
    <row r="5" spans="1:14" s="2" customFormat="1">
      <c r="B5" s="3"/>
      <c r="C5" s="3"/>
      <c r="D5" s="3"/>
      <c r="E5" s="153" t="str">
        <f>IF(E6+1&lt;=Reporting_Year,"Actuals","Forecast")</f>
        <v>Forecast</v>
      </c>
      <c r="F5" s="153" t="str">
        <f>IF(F6+1&lt;=Reporting_Year,"Actuals","Forecast")</f>
        <v>Forecast</v>
      </c>
      <c r="G5" s="153" t="str">
        <f>IF(G6+1&lt;=Reporting_Year,"Actuals","Forecast")</f>
        <v>Forecast</v>
      </c>
      <c r="H5" s="153" t="str">
        <f>IF(H6+1&lt;=Reporting_Year,"Actuals","Forecast")</f>
        <v>Forecast</v>
      </c>
      <c r="I5" s="153"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2" t="str">
        <f>RIIO_2_start_date+3&amp;"/"&amp;RIGHT(RIIO_2_start_date+4,2)</f>
        <v>2025/26</v>
      </c>
    </row>
    <row r="8" spans="1:14" s="2" customFormat="1">
      <c r="B8" s="636" t="s">
        <v>512</v>
      </c>
      <c r="C8" s="145"/>
      <c r="D8" s="631"/>
      <c r="E8" s="631"/>
      <c r="F8" s="631"/>
      <c r="G8" s="631"/>
      <c r="H8" s="631"/>
      <c r="I8" s="631"/>
    </row>
    <row r="9" spans="1:14" s="2" customFormat="1" ht="34.5" customHeight="1">
      <c r="B9" s="853" t="s">
        <v>513</v>
      </c>
      <c r="C9" s="853"/>
      <c r="D9" s="853"/>
      <c r="E9" s="853"/>
      <c r="F9" s="853"/>
      <c r="G9" s="853"/>
      <c r="H9" s="853"/>
      <c r="I9" s="853"/>
    </row>
    <row r="10" spans="1:14" s="2" customFormat="1">
      <c r="B10" s="160"/>
      <c r="C10" s="160"/>
    </row>
    <row r="11" spans="1:14" s="2" customFormat="1">
      <c r="B11" s="6" t="s">
        <v>514</v>
      </c>
      <c r="C11" s="6"/>
      <c r="D11" s="75" t="s">
        <v>230</v>
      </c>
      <c r="E11" s="615"/>
      <c r="F11" s="615"/>
      <c r="G11" s="615"/>
      <c r="H11" s="615"/>
      <c r="I11" s="615"/>
      <c r="J11" t="s">
        <v>515</v>
      </c>
    </row>
    <row r="12" spans="1:14" s="2" customFormat="1">
      <c r="B12" s="670"/>
      <c r="C12" s="6"/>
      <c r="D12" s="75"/>
      <c r="E12" s="531"/>
      <c r="F12" s="531"/>
      <c r="G12" s="531"/>
      <c r="H12" s="531"/>
      <c r="I12" s="531"/>
      <c r="J12"/>
    </row>
    <row r="13" spans="1:14">
      <c r="B13" s="6" t="s">
        <v>516</v>
      </c>
      <c r="C13" s="6"/>
      <c r="D13" s="75"/>
      <c r="E13" s="75"/>
      <c r="F13" s="75"/>
      <c r="G13" s="75"/>
      <c r="H13" s="75"/>
      <c r="I13" s="75"/>
      <c r="M13" s="2"/>
      <c r="N13" s="2"/>
    </row>
    <row r="14" spans="1:14">
      <c r="B14" s="146" t="s">
        <v>517</v>
      </c>
      <c r="C14" s="146"/>
      <c r="D14" s="75" t="s">
        <v>230</v>
      </c>
      <c r="E14" s="615"/>
      <c r="F14" s="615"/>
      <c r="G14" s="615"/>
      <c r="H14" s="615"/>
      <c r="I14" s="615"/>
      <c r="M14" s="2"/>
      <c r="N14" s="2"/>
    </row>
    <row r="15" spans="1:14">
      <c r="B15" s="146" t="s">
        <v>260</v>
      </c>
      <c r="C15" s="146"/>
      <c r="D15" s="75" t="s">
        <v>230</v>
      </c>
      <c r="E15" s="615"/>
      <c r="F15" s="615"/>
      <c r="G15" s="615"/>
      <c r="H15" s="615"/>
      <c r="I15" s="615"/>
      <c r="M15" s="2"/>
      <c r="N15" s="2"/>
    </row>
    <row r="16" spans="1:14">
      <c r="B16" s="146" t="s">
        <v>518</v>
      </c>
      <c r="C16" s="146"/>
      <c r="D16" s="75" t="s">
        <v>230</v>
      </c>
      <c r="E16" s="615"/>
      <c r="F16" s="615"/>
      <c r="G16" s="615"/>
      <c r="H16" s="615"/>
      <c r="I16" s="615"/>
      <c r="M16" s="2"/>
      <c r="N16" s="2"/>
    </row>
    <row r="17" spans="2:38">
      <c r="B17" s="146" t="s">
        <v>519</v>
      </c>
      <c r="C17" s="146"/>
      <c r="D17" s="75" t="s">
        <v>230</v>
      </c>
      <c r="E17" s="615"/>
      <c r="F17" s="615"/>
      <c r="G17" s="615"/>
      <c r="H17" s="615"/>
      <c r="I17" s="615"/>
      <c r="M17" s="2"/>
      <c r="N17" s="2"/>
    </row>
    <row r="18" spans="2:38">
      <c r="B18" s="626" t="s">
        <v>520</v>
      </c>
      <c r="C18" s="626"/>
      <c r="D18" s="75" t="s">
        <v>230</v>
      </c>
      <c r="E18" s="213">
        <f>SUM(E14:E17)</f>
        <v>0</v>
      </c>
      <c r="F18" s="214">
        <f t="shared" ref="F18:I18" si="2">SUM(F14:F17)</f>
        <v>0</v>
      </c>
      <c r="G18" s="214">
        <f t="shared" si="2"/>
        <v>0</v>
      </c>
      <c r="H18" s="214">
        <f t="shared" si="2"/>
        <v>0</v>
      </c>
      <c r="I18" s="214">
        <f t="shared" si="2"/>
        <v>0</v>
      </c>
      <c r="M18" s="2"/>
      <c r="N18" s="2"/>
    </row>
    <row r="19" spans="2:38">
      <c r="B19" s="146"/>
      <c r="C19" s="146"/>
      <c r="D19" s="146"/>
      <c r="E19" s="627"/>
      <c r="F19" s="627"/>
      <c r="G19" s="627"/>
      <c r="H19" s="627"/>
      <c r="I19" s="627"/>
    </row>
    <row r="20" spans="2:38">
      <c r="B20" s="6" t="s">
        <v>440</v>
      </c>
      <c r="C20" s="6"/>
      <c r="D20" s="75"/>
      <c r="E20" s="75"/>
      <c r="F20" s="628"/>
      <c r="G20" s="628"/>
      <c r="H20" s="628"/>
      <c r="I20" s="628"/>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521</v>
      </c>
      <c r="C21" s="629"/>
      <c r="D21" s="75" t="s">
        <v>230</v>
      </c>
      <c r="E21" s="522">
        <f>('R4 - Incentives and Other Rev'!D67+'R4 - Incentives and Other Rev'!D40+'R4 - Incentives and Other Rev'!D47)/(1-INDEX(Corporate_Tax,MATCH($E$6,Data!$C$15:$N$15,0)))*INDEX(Corporate_Tax,MATCH($E$6,Data!$C$15:$N$15,0))</f>
        <v>0.25377822355180346</v>
      </c>
      <c r="F21" s="522">
        <f>('R4 - Incentives and Other Rev'!E67+'R4 - Incentives and Other Rev'!E40+'R4 - Incentives and Other Rev'!E47)/(1-INDEX(Corporate_Tax,MATCH($E$6,Data!$C$15:$N$15,0)))*INDEX(Corporate_Tax,MATCH($E$6,Data!$C$15:$N$15,0))</f>
        <v>0.39759084460765598</v>
      </c>
      <c r="G21" s="522">
        <f>('R4 - Incentives and Other Rev'!F67+'R4 - Incentives and Other Rev'!F40+'R4 - Incentives and Other Rev'!F47)/(1-INDEX(Corporate_Tax,MATCH($E$6,Data!$C$15:$N$15,0)))*INDEX(Corporate_Tax,MATCH($E$6,Data!$C$15:$N$15,0))</f>
        <v>0.46142334437824384</v>
      </c>
      <c r="H21" s="522">
        <f>('R4 - Incentives and Other Rev'!G67+'R4 - Incentives and Other Rev'!G40+'R4 - Incentives and Other Rev'!G47)/(1-INDEX(Corporate_Tax,MATCH($E$6,Data!$C$15:$N$15,0)))*INDEX(Corporate_Tax,MATCH($E$6,Data!$C$15:$N$15,0))</f>
        <v>0.46142334437824384</v>
      </c>
      <c r="I21" s="522">
        <f>('R4 - Incentives and Other Rev'!H67+'R4 - Incentives and Other Rev'!H40+'R4 - Incentives and Other Rev'!H47)/(1-INDEX(Corporate_Tax,MATCH($E$6,Data!$C$15:$N$15,0)))*INDEX(Corporate_Tax,MATCH($E$6,Data!$C$15:$N$15,0))</f>
        <v>0.46142334437824384</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522</v>
      </c>
      <c r="C22" s="146"/>
      <c r="D22" s="75" t="s">
        <v>230</v>
      </c>
      <c r="E22" s="615"/>
      <c r="F22" s="615"/>
      <c r="G22" s="615"/>
      <c r="H22" s="615"/>
      <c r="I22" s="615"/>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523</v>
      </c>
      <c r="C23" s="146"/>
      <c r="D23" s="75" t="s">
        <v>230</v>
      </c>
      <c r="E23" s="615"/>
      <c r="F23" s="615"/>
      <c r="G23" s="615"/>
      <c r="H23" s="615"/>
      <c r="I23" s="615"/>
    </row>
    <row r="24" spans="2:38">
      <c r="B24" s="146" t="s">
        <v>524</v>
      </c>
      <c r="C24" s="146"/>
      <c r="D24" s="75" t="s">
        <v>230</v>
      </c>
      <c r="E24" s="615"/>
      <c r="F24" s="615"/>
      <c r="G24" s="615"/>
      <c r="H24" s="615"/>
      <c r="I24" s="615"/>
    </row>
    <row r="25" spans="2:38">
      <c r="B25" s="146" t="s">
        <v>525</v>
      </c>
      <c r="C25" s="146"/>
      <c r="D25" s="75" t="s">
        <v>230</v>
      </c>
      <c r="E25" s="615"/>
      <c r="F25" s="615"/>
      <c r="G25" s="615"/>
      <c r="H25" s="615"/>
      <c r="I25" s="615"/>
    </row>
    <row r="26" spans="2:38">
      <c r="B26" s="146" t="s">
        <v>526</v>
      </c>
      <c r="C26" s="146"/>
      <c r="D26" s="75" t="s">
        <v>230</v>
      </c>
      <c r="E26" s="615"/>
      <c r="F26" s="615"/>
      <c r="G26" s="615"/>
      <c r="H26" s="615"/>
      <c r="I26" s="615"/>
    </row>
    <row r="27" spans="2:38">
      <c r="B27" s="146" t="s">
        <v>526</v>
      </c>
      <c r="C27" s="146"/>
      <c r="D27" s="75" t="s">
        <v>230</v>
      </c>
      <c r="E27" s="615"/>
      <c r="F27" s="615"/>
      <c r="G27" s="615"/>
      <c r="H27" s="615"/>
      <c r="I27" s="615"/>
    </row>
    <row r="28" spans="2:38">
      <c r="B28" s="146" t="s">
        <v>526</v>
      </c>
      <c r="C28" s="146"/>
      <c r="D28" s="75" t="s">
        <v>230</v>
      </c>
      <c r="E28" s="615"/>
      <c r="F28" s="615"/>
      <c r="G28" s="615"/>
      <c r="H28" s="615"/>
      <c r="I28" s="615"/>
    </row>
    <row r="29" spans="2:38">
      <c r="B29" s="146" t="s">
        <v>526</v>
      </c>
      <c r="C29" s="146"/>
      <c r="D29" s="75" t="s">
        <v>230</v>
      </c>
      <c r="E29" s="615"/>
      <c r="F29" s="615"/>
      <c r="G29" s="615"/>
      <c r="H29" s="615"/>
      <c r="I29" s="615"/>
    </row>
    <row r="30" spans="2:38">
      <c r="B30" s="146" t="s">
        <v>527</v>
      </c>
      <c r="C30" s="146"/>
      <c r="D30" s="75" t="s">
        <v>230</v>
      </c>
      <c r="E30" s="615"/>
      <c r="F30" s="615"/>
      <c r="G30" s="615"/>
      <c r="H30" s="615"/>
      <c r="I30" s="615"/>
    </row>
    <row r="31" spans="2:38">
      <c r="B31" s="6" t="s">
        <v>267</v>
      </c>
      <c r="C31" s="6"/>
      <c r="D31" s="75" t="s">
        <v>230</v>
      </c>
      <c r="E31" s="237">
        <f>SUM(E21:E30)</f>
        <v>0.25377822355180346</v>
      </c>
      <c r="F31" s="630">
        <f>SUM(F21:F30)</f>
        <v>0.39759084460765598</v>
      </c>
      <c r="G31" s="630">
        <f>SUM(G21:G30)</f>
        <v>0.46142334437824384</v>
      </c>
      <c r="H31" s="630">
        <f>SUM(H21:H30)</f>
        <v>0.46142334437824384</v>
      </c>
      <c r="I31" s="630">
        <f>SUM(I21:I30)</f>
        <v>0.46142334437824384</v>
      </c>
    </row>
    <row r="33" spans="2:11" ht="25.5" customHeight="1">
      <c r="B33" s="378" t="s">
        <v>528</v>
      </c>
      <c r="D33" s="75" t="s">
        <v>230</v>
      </c>
      <c r="E33" s="615">
        <v>24.482199117312696</v>
      </c>
      <c r="F33" s="615">
        <v>31.646457524460704</v>
      </c>
      <c r="G33" s="615">
        <v>36.029071977554615</v>
      </c>
      <c r="H33" s="615">
        <v>41.83427653204857</v>
      </c>
      <c r="I33" s="615">
        <v>42.06508661525924</v>
      </c>
    </row>
    <row r="34" spans="2:11" ht="12.75" customHeight="1">
      <c r="B34" s="378" t="s">
        <v>529</v>
      </c>
      <c r="C34" s="378"/>
      <c r="D34" s="75" t="s">
        <v>230</v>
      </c>
      <c r="E34" s="237">
        <f>E11+E33-E18-E31</f>
        <v>24.228420893760891</v>
      </c>
      <c r="F34" s="237">
        <f>F11+F33-F18-F31</f>
        <v>31.248866679853048</v>
      </c>
      <c r="G34" s="237">
        <f>G11+G33-G18-G31</f>
        <v>35.567648633176368</v>
      </c>
      <c r="H34" s="237">
        <f>H11+H33-H18-H31</f>
        <v>41.372853187670323</v>
      </c>
      <c r="I34" s="237">
        <f>I11+I33-I18-I31</f>
        <v>41.603663270880993</v>
      </c>
    </row>
    <row r="35" spans="2:11" ht="12.75" customHeight="1">
      <c r="B35" s="377"/>
      <c r="C35" s="377"/>
      <c r="D35" s="75"/>
      <c r="E35" s="531"/>
      <c r="F35" s="531"/>
      <c r="G35" s="531"/>
      <c r="H35" s="531"/>
      <c r="I35" s="531"/>
    </row>
    <row r="36" spans="2:11">
      <c r="B36" t="s">
        <v>418</v>
      </c>
      <c r="D36" s="90" t="s">
        <v>419</v>
      </c>
      <c r="E36" s="59">
        <f t="shared" ref="E36:I36" si="3">INDEX(real_to_nominal_CF,MATCH(E$6,calendar_year,0))</f>
        <v>1.0847835302284383</v>
      </c>
      <c r="F36" s="59">
        <f t="shared" si="3"/>
        <v>1.1682111694202062</v>
      </c>
      <c r="G36" s="59">
        <f t="shared" si="3"/>
        <v>1.2070548174037865</v>
      </c>
      <c r="H36" s="59">
        <f t="shared" si="3"/>
        <v>1.2275072378847331</v>
      </c>
      <c r="I36" s="59">
        <f t="shared" si="3"/>
        <v>1.2509585044470788</v>
      </c>
    </row>
    <row r="37" spans="2:11">
      <c r="B37" s="377"/>
      <c r="C37" s="377"/>
      <c r="D37" s="75"/>
      <c r="E37" s="75"/>
      <c r="F37" s="75"/>
      <c r="G37" s="75"/>
      <c r="H37" s="75"/>
      <c r="I37" s="75"/>
    </row>
    <row r="38" spans="2:11">
      <c r="B38" s="378" t="s">
        <v>530</v>
      </c>
      <c r="C38" s="378"/>
      <c r="D38" s="94" t="str">
        <f>Data!$C$9</f>
        <v>£m 18/19</v>
      </c>
      <c r="E38" s="237">
        <f>Adjusted_regulated_tax_liability/E36</f>
        <v>22.334797882356092</v>
      </c>
      <c r="F38" s="237">
        <f>Adjusted_regulated_tax_liability/F36</f>
        <v>26.74933051304598</v>
      </c>
      <c r="G38" s="237">
        <f>Adjusted_regulated_tax_liability/G36</f>
        <v>29.466473370014484</v>
      </c>
      <c r="H38" s="237">
        <f>Adjusted_regulated_tax_liability/H36</f>
        <v>33.70477330868119</v>
      </c>
      <c r="I38" s="237">
        <f>Adjusted_regulated_tax_liability/I36</f>
        <v>33.257428702057332</v>
      </c>
    </row>
    <row r="39" spans="2:11">
      <c r="B39" s="378"/>
      <c r="C39" s="378"/>
      <c r="D39" s="378"/>
      <c r="E39" s="378"/>
      <c r="F39" s="378"/>
      <c r="G39" s="378"/>
      <c r="H39" s="378"/>
      <c r="I39" s="378"/>
    </row>
    <row r="40" spans="2:11">
      <c r="B40" s="258" t="s">
        <v>531</v>
      </c>
      <c r="C40" s="258"/>
      <c r="D40" s="94"/>
      <c r="E40" s="94"/>
      <c r="F40" s="94"/>
      <c r="G40" s="94"/>
      <c r="H40" s="94"/>
      <c r="I40" s="94"/>
    </row>
    <row r="41" spans="2:11">
      <c r="B41" s="145" t="s">
        <v>425</v>
      </c>
      <c r="C41" s="145"/>
      <c r="D41" s="378"/>
      <c r="E41" s="378"/>
      <c r="F41" s="378"/>
      <c r="G41" s="378"/>
      <c r="H41" s="378"/>
      <c r="I41" s="378"/>
      <c r="K41" s="378"/>
    </row>
    <row r="42" spans="2:11">
      <c r="K42" s="378"/>
    </row>
    <row r="43" spans="2:11" ht="12.75" customHeight="1">
      <c r="B43" s="88" t="s">
        <v>24</v>
      </c>
      <c r="C43" s="88"/>
      <c r="D43" s="38" t="s">
        <v>194</v>
      </c>
      <c r="E43" s="286">
        <v>0.6</v>
      </c>
      <c r="F43" s="287">
        <v>0.6</v>
      </c>
      <c r="G43" s="287">
        <v>0.6</v>
      </c>
      <c r="H43" s="287">
        <v>0.6</v>
      </c>
      <c r="I43" s="287">
        <v>0.6</v>
      </c>
      <c r="K43" s="378"/>
    </row>
    <row r="44" spans="2:11" ht="12.75" customHeight="1">
      <c r="B44" s="88" t="s">
        <v>426</v>
      </c>
      <c r="C44" s="88"/>
      <c r="D44" s="38" t="s">
        <v>194</v>
      </c>
      <c r="E44" s="286">
        <v>0.57153912568649412</v>
      </c>
      <c r="F44" s="287">
        <v>0.62631033358018595</v>
      </c>
      <c r="G44" s="287">
        <v>0.63444826374598939</v>
      </c>
      <c r="H44" s="287">
        <v>0.61605700341622494</v>
      </c>
      <c r="I44" s="287">
        <v>0.60229618595557288</v>
      </c>
      <c r="K44" s="378"/>
    </row>
    <row r="45" spans="2:11" ht="12.75" customHeight="1">
      <c r="B45" s="88"/>
      <c r="C45" s="88"/>
      <c r="D45" s="38"/>
      <c r="E45" s="38"/>
      <c r="F45" s="38"/>
      <c r="G45" s="38"/>
      <c r="H45" s="38"/>
      <c r="I45" s="38"/>
      <c r="K45" s="378"/>
    </row>
    <row r="46" spans="2:11" ht="12.75" customHeight="1">
      <c r="B46" s="378" t="s">
        <v>530</v>
      </c>
      <c r="C46" s="378"/>
      <c r="D46" s="75" t="s">
        <v>230</v>
      </c>
      <c r="E46" s="237">
        <f>E34</f>
        <v>24.228420893760891</v>
      </c>
      <c r="F46" s="237">
        <f>F34</f>
        <v>31.248866679853048</v>
      </c>
      <c r="G46" s="237">
        <f>G34</f>
        <v>35.567648633176368</v>
      </c>
      <c r="H46" s="237">
        <f>H34</f>
        <v>41.372853187670323</v>
      </c>
      <c r="I46" s="237">
        <f>I34</f>
        <v>41.603663270880993</v>
      </c>
      <c r="K46" s="378"/>
    </row>
    <row r="47" spans="2:11">
      <c r="B47" s="88" t="s">
        <v>532</v>
      </c>
      <c r="C47" s="88"/>
      <c r="D47" s="75" t="s">
        <v>230</v>
      </c>
      <c r="E47" s="237">
        <f>E64-E66</f>
        <v>9.5956571876427255E-2</v>
      </c>
      <c r="F47" s="237">
        <f t="shared" ref="F47:I47" si="4">F64-F66</f>
        <v>0.23061902102296727</v>
      </c>
      <c r="G47" s="237">
        <f t="shared" si="4"/>
        <v>-0.21846770171528407</v>
      </c>
      <c r="H47" s="237">
        <f t="shared" si="4"/>
        <v>-0.15833555172677927</v>
      </c>
      <c r="I47" s="237">
        <f t="shared" si="4"/>
        <v>-2.0211672351286403E-2</v>
      </c>
      <c r="K47" s="378"/>
    </row>
    <row r="48" spans="2:11">
      <c r="B48" s="88" t="s">
        <v>533</v>
      </c>
      <c r="C48" s="88"/>
      <c r="D48" s="75" t="s">
        <v>230</v>
      </c>
      <c r="E48" s="237">
        <f>SUM(E46:E47)</f>
        <v>24.324377465637319</v>
      </c>
      <c r="F48" s="237">
        <f t="shared" ref="F48:I48" si="5">SUM(F46:F47)</f>
        <v>31.479485700876015</v>
      </c>
      <c r="G48" s="237">
        <f t="shared" si="5"/>
        <v>35.349180931461085</v>
      </c>
      <c r="H48" s="237">
        <f t="shared" si="5"/>
        <v>41.214517635943544</v>
      </c>
      <c r="I48" s="237">
        <f t="shared" si="5"/>
        <v>41.583451598529706</v>
      </c>
    </row>
    <row r="50" spans="2:11">
      <c r="B50" s="88" t="s">
        <v>533</v>
      </c>
      <c r="C50" s="88"/>
      <c r="D50" s="94" t="str">
        <f>Data!$C$9</f>
        <v>£m 18/19</v>
      </c>
      <c r="E50" s="237">
        <f>E48/E36</f>
        <v>22.423254767257564</v>
      </c>
      <c r="F50" s="237">
        <f t="shared" ref="F50:I50" si="6">F48/F36</f>
        <v>26.94674261375156</v>
      </c>
      <c r="G50" s="237">
        <f t="shared" si="6"/>
        <v>29.285481008635916</v>
      </c>
      <c r="H50" s="237">
        <f t="shared" si="6"/>
        <v>33.575783803088029</v>
      </c>
      <c r="I50" s="237">
        <f t="shared" si="6"/>
        <v>33.24127175338203</v>
      </c>
    </row>
    <row r="52" spans="2:11">
      <c r="B52" s="244" t="s">
        <v>534</v>
      </c>
      <c r="C52" s="244"/>
      <c r="D52" s="245"/>
      <c r="E52" s="245"/>
      <c r="F52" s="245"/>
      <c r="G52" s="245"/>
      <c r="H52" s="245"/>
      <c r="I52" s="245"/>
      <c r="J52" s="245"/>
      <c r="K52" s="378"/>
    </row>
    <row r="53" spans="2:11" ht="12.75" customHeight="1">
      <c r="D53" s="94"/>
      <c r="E53" s="738"/>
      <c r="F53" s="738"/>
      <c r="G53" s="738"/>
      <c r="H53" s="738"/>
      <c r="I53" s="738"/>
    </row>
    <row r="54" spans="2:11">
      <c r="B54" t="s">
        <v>535</v>
      </c>
      <c r="D54" s="94" t="str">
        <f>Data!$C$9</f>
        <v>£m 18/19</v>
      </c>
      <c r="E54" s="600">
        <v>21.832189382099166</v>
      </c>
      <c r="F54" s="600">
        <v>18.282916861470156</v>
      </c>
      <c r="G54" s="600">
        <v>36.141407688018013</v>
      </c>
      <c r="H54" s="600">
        <v>35.811409991977975</v>
      </c>
      <c r="I54" s="600">
        <v>34.784141480435252</v>
      </c>
    </row>
    <row r="55" spans="2:11">
      <c r="D55" s="94"/>
      <c r="E55" s="94"/>
      <c r="F55" s="94"/>
      <c r="G55" s="94"/>
      <c r="H55" s="94"/>
      <c r="I55" s="94"/>
      <c r="J55" s="94"/>
    </row>
    <row r="56" spans="2:11">
      <c r="B56" s="261" t="s">
        <v>434</v>
      </c>
      <c r="C56" s="261"/>
      <c r="D56" s="261"/>
      <c r="E56" s="261"/>
      <c r="F56" s="261"/>
      <c r="G56" s="261"/>
      <c r="H56" s="261"/>
      <c r="I56" s="261"/>
      <c r="J56" s="261"/>
    </row>
    <row r="58" spans="2:11">
      <c r="B58" s="6" t="s">
        <v>536</v>
      </c>
      <c r="C58" s="6"/>
      <c r="D58" s="95" t="str">
        <f>Data!$C$9</f>
        <v>£m 18/19</v>
      </c>
      <c r="E58" s="208">
        <f>E$54-E38</f>
        <v>-0.50260850025692605</v>
      </c>
      <c r="F58" s="208">
        <f>F$54-F38</f>
        <v>-8.4664136515758237</v>
      </c>
      <c r="G58" s="208">
        <f>G$54-G38</f>
        <v>6.6749343180035297</v>
      </c>
      <c r="H58" s="208">
        <f>H$54-H38</f>
        <v>2.1066366832967844</v>
      </c>
      <c r="I58" s="208">
        <f>I$54-I38</f>
        <v>1.5267127783779202</v>
      </c>
    </row>
    <row r="59" spans="2:11">
      <c r="B59" s="6"/>
      <c r="C59" s="6"/>
      <c r="D59" s="6"/>
      <c r="E59" s="6"/>
      <c r="F59" s="6"/>
      <c r="G59" s="6"/>
      <c r="H59" s="6"/>
      <c r="I59" s="6"/>
    </row>
    <row r="60" spans="2:11">
      <c r="B60" s="6" t="s">
        <v>537</v>
      </c>
      <c r="C60" s="6"/>
      <c r="D60" s="95" t="str">
        <f>Data!$C$9</f>
        <v>£m 18/19</v>
      </c>
      <c r="E60" s="208">
        <f>E$54-E50</f>
        <v>-0.59106538515839802</v>
      </c>
      <c r="F60" s="208">
        <f>F$54-F50</f>
        <v>-8.6638257522814044</v>
      </c>
      <c r="G60" s="208">
        <f>G$54-G50</f>
        <v>6.8559266793820974</v>
      </c>
      <c r="H60" s="208">
        <f>H$54-H50</f>
        <v>2.2356261888899454</v>
      </c>
      <c r="I60" s="208">
        <f>I$54-I50</f>
        <v>1.5428697270532226</v>
      </c>
    </row>
    <row r="62" spans="2:11">
      <c r="B62" s="6" t="s">
        <v>538</v>
      </c>
      <c r="C62" s="6"/>
      <c r="D62" s="95" t="str">
        <f>Data!$C$9</f>
        <v>£m 18/19</v>
      </c>
      <c r="E62" s="208">
        <f>E58-E60</f>
        <v>8.8456884901471966E-2</v>
      </c>
      <c r="F62" s="209">
        <f t="shared" ref="F62:I62" si="7">F58-F60</f>
        <v>0.19741210070558068</v>
      </c>
      <c r="G62" s="209">
        <f t="shared" si="7"/>
        <v>-0.18099236137856778</v>
      </c>
      <c r="H62" s="209">
        <f t="shared" si="7"/>
        <v>-0.12898950559316091</v>
      </c>
      <c r="I62" s="209">
        <f t="shared" si="7"/>
        <v>-1.6156948675302374E-2</v>
      </c>
    </row>
    <row r="64" spans="2:11">
      <c r="B64" t="s">
        <v>539</v>
      </c>
      <c r="D64" s="75" t="s">
        <v>230</v>
      </c>
      <c r="E64" s="665">
        <f>('R5 - Financing'!D83*INDEX(Corporate_Tax,MATCH(E$6,Data!$C$15:$N$15,0))*'R8 - Tax'!E$36)</f>
        <v>3.8836778482820047</v>
      </c>
      <c r="F64" s="665">
        <f>('R5 - Financing'!E83*INDEX(Corporate_Tax,MATCH(F$6,Data!$C$15:$N$15,0))*'R8 - Tax'!F$36)</f>
        <v>11.375571380961041</v>
      </c>
      <c r="G64" s="665">
        <f>('R5 - Financing'!F83*INDEX(Corporate_Tax,MATCH(G$6,Data!$C$15:$N$15,0))*'R8 - Tax'!G$36)</f>
        <v>3.7548766142514873</v>
      </c>
      <c r="H64" s="665">
        <f>('R5 - Financing'!G83*INDEX(Corporate_Tax,MATCH(H$6,Data!$C$15:$N$15,0))*'R8 - Tax'!H$36)</f>
        <v>1.6563860920111571</v>
      </c>
      <c r="I64" s="665">
        <f>('R5 - Financing'!H83*INDEX(Corporate_Tax,MATCH(I$6,Data!$C$15:$N$15,0))*'R8 - Tax'!I$36)</f>
        <v>2.4371740949323932</v>
      </c>
      <c r="J64" t="s">
        <v>540</v>
      </c>
    </row>
    <row r="65" spans="2:10">
      <c r="B65" t="s">
        <v>539</v>
      </c>
      <c r="D65" s="94" t="str">
        <f>Data!$C$9</f>
        <v>£m 18/19</v>
      </c>
      <c r="E65" s="237">
        <f>E64/E$36</f>
        <v>3.5801408668733781</v>
      </c>
      <c r="F65" s="237">
        <f t="shared" ref="F65:I65" si="8">F64/F$36</f>
        <v>9.7375985427419263</v>
      </c>
      <c r="G65" s="237">
        <f t="shared" si="8"/>
        <v>3.1107755506313497</v>
      </c>
      <c r="H65" s="237">
        <f t="shared" si="8"/>
        <v>1.3493900816955484</v>
      </c>
      <c r="I65" s="237">
        <f t="shared" si="8"/>
        <v>1.9482453544769012</v>
      </c>
    </row>
    <row r="66" spans="2:10">
      <c r="B66" t="s">
        <v>541</v>
      </c>
      <c r="D66" s="75" t="s">
        <v>230</v>
      </c>
      <c r="E66" s="665">
        <f>('R5 - Financing'!D85*INDEX(Corporate_Tax,MATCH(E$6,Data!$C$15:$N$15,0))*'R8 - Tax'!E$36)</f>
        <v>3.7877212764055774</v>
      </c>
      <c r="F66" s="665">
        <f>('R5 - Financing'!E85*INDEX(Corporate_Tax,MATCH(F$6,Data!$C$15:$N$15,0))*'R8 - Tax'!F$36)</f>
        <v>11.144952359938074</v>
      </c>
      <c r="G66" s="665">
        <f>('R5 - Financing'!F85*INDEX(Corporate_Tax,MATCH(G$6,Data!$C$15:$N$15,0))*'R8 - Tax'!G$36)</f>
        <v>3.9733443159667714</v>
      </c>
      <c r="H66" s="665">
        <f>('R5 - Financing'!G85*INDEX(Corporate_Tax,MATCH(H$6,Data!$C$15:$N$15,0))*'R8 - Tax'!H$36)</f>
        <v>1.8147216437379363</v>
      </c>
      <c r="I66" s="665">
        <f>('R5 - Financing'!H85*INDEX(Corporate_Tax,MATCH(I$6,Data!$C$15:$N$15,0))*'R8 - Tax'!I$36)</f>
        <v>2.4573857672836796</v>
      </c>
      <c r="J66" t="s">
        <v>540</v>
      </c>
    </row>
    <row r="67" spans="2:10">
      <c r="B67" t="s">
        <v>541</v>
      </c>
      <c r="D67" s="94" t="str">
        <f>Data!$C$9</f>
        <v>£m 18/19</v>
      </c>
      <c r="E67" s="237">
        <f>E66/E$36</f>
        <v>3.4916839819719083</v>
      </c>
      <c r="F67" s="237">
        <f t="shared" ref="F67:I67" si="9">F66/F$36</f>
        <v>9.5401864420363438</v>
      </c>
      <c r="G67" s="237">
        <f t="shared" si="9"/>
        <v>3.2917679120099148</v>
      </c>
      <c r="H67" s="237">
        <f t="shared" si="9"/>
        <v>1.4783795872887102</v>
      </c>
      <c r="I67" s="237">
        <f t="shared" si="9"/>
        <v>1.9644023031522051</v>
      </c>
    </row>
    <row r="68" spans="2:10">
      <c r="B68" t="s">
        <v>542</v>
      </c>
      <c r="D68" s="94" t="str">
        <f>Data!$C$9</f>
        <v>£m 18/19</v>
      </c>
      <c r="E68" s="237">
        <f>E65-E67</f>
        <v>8.8456884901469746E-2</v>
      </c>
      <c r="F68" s="237">
        <f t="shared" ref="F68:I68" si="10">F65-F67</f>
        <v>0.19741210070558246</v>
      </c>
      <c r="G68" s="237">
        <f t="shared" si="10"/>
        <v>-0.18099236137856511</v>
      </c>
      <c r="H68" s="237">
        <f t="shared" si="10"/>
        <v>-0.1289895055931618</v>
      </c>
      <c r="I68" s="237">
        <f t="shared" si="10"/>
        <v>-1.6156948675303928E-2</v>
      </c>
    </row>
  </sheetData>
  <mergeCells count="1">
    <mergeCell ref="B9:I9"/>
  </mergeCells>
  <phoneticPr fontId="251" type="noConversion"/>
  <conditionalFormatting sqref="E7:I7">
    <cfRule type="expression" dxfId="37" priority="15">
      <formula>AND(E$5="Actuals",F$5="Forecast")</formula>
    </cfRule>
  </conditionalFormatting>
  <conditionalFormatting sqref="E21:I30">
    <cfRule type="expression" dxfId="36" priority="13">
      <formula>E$5="Forecast"</formula>
    </cfRule>
  </conditionalFormatting>
  <conditionalFormatting sqref="E11:I11">
    <cfRule type="expression" dxfId="35" priority="10">
      <formula>E$5="Forecast"</formula>
    </cfRule>
  </conditionalFormatting>
  <conditionalFormatting sqref="E14:I17">
    <cfRule type="expression" dxfId="34" priority="7">
      <formula>E$5="Forecast"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34375" defaultRowHeight="14.25"/>
  <cols>
    <col min="1" max="1" width="27" style="673" customWidth="1"/>
    <col min="2" max="2" width="51.234375" style="673" customWidth="1"/>
    <col min="3" max="3" width="14.1171875" style="673" customWidth="1"/>
    <col min="4" max="5" width="16.234375" style="673" customWidth="1"/>
    <col min="6" max="6" width="3.76171875" style="673" customWidth="1"/>
    <col min="7" max="7" width="48.87890625" style="673" customWidth="1"/>
    <col min="8" max="9" width="15.64453125" style="673" customWidth="1"/>
    <col min="10" max="10" width="3.234375" style="673" customWidth="1"/>
    <col min="11" max="11" width="17.46875" style="673" customWidth="1"/>
    <col min="12" max="12" width="3.1171875" style="673" customWidth="1"/>
    <col min="13" max="13" width="56.234375" style="673" customWidth="1"/>
    <col min="14" max="14" width="2.234375" style="673" customWidth="1"/>
    <col min="15" max="16384" width="9.234375" style="673"/>
  </cols>
  <sheetData>
    <row r="1" spans="1:13" ht="20.65">
      <c r="A1" s="777" t="s">
        <v>543</v>
      </c>
      <c r="B1" s="777"/>
      <c r="C1" s="290"/>
      <c r="D1" s="290"/>
      <c r="E1" s="290"/>
      <c r="F1" s="672"/>
      <c r="G1" s="290"/>
      <c r="H1" s="290"/>
      <c r="I1" s="769"/>
      <c r="K1" s="290"/>
      <c r="L1" s="672"/>
      <c r="M1" s="290"/>
    </row>
    <row r="2" spans="1:13" ht="20.65">
      <c r="A2" s="290"/>
      <c r="B2" s="290"/>
      <c r="C2" s="290"/>
      <c r="D2" s="290"/>
      <c r="E2" s="290"/>
      <c r="F2" s="672"/>
      <c r="G2" s="290"/>
      <c r="H2" s="290"/>
      <c r="I2" s="770"/>
      <c r="K2" s="290"/>
      <c r="L2" s="672"/>
      <c r="M2" s="290"/>
    </row>
    <row r="3" spans="1:13" ht="20.65">
      <c r="A3" s="290" t="s">
        <v>544</v>
      </c>
      <c r="B3" s="290" t="str">
        <f>Licensee</f>
        <v>Cadent-NW</v>
      </c>
      <c r="C3" s="290"/>
      <c r="D3" s="290"/>
      <c r="E3" s="290"/>
      <c r="F3" s="672"/>
      <c r="G3" s="290"/>
      <c r="H3" s="290"/>
      <c r="I3" s="770"/>
      <c r="K3" s="290"/>
      <c r="L3" s="672"/>
      <c r="M3" s="290"/>
    </row>
    <row r="4" spans="1:13" ht="20.65">
      <c r="A4" s="290" t="s">
        <v>6</v>
      </c>
      <c r="B4" s="290" t="str">
        <f>Sector</f>
        <v>GD2</v>
      </c>
      <c r="C4" s="290"/>
      <c r="D4" s="290"/>
      <c r="E4" s="290"/>
      <c r="F4" s="672"/>
      <c r="G4" s="290"/>
      <c r="H4" s="290"/>
      <c r="I4" s="770"/>
      <c r="K4" s="290"/>
      <c r="L4" s="672"/>
      <c r="M4" s="290"/>
    </row>
    <row r="5" spans="1:13" ht="20.65">
      <c r="A5" s="290" t="s">
        <v>545</v>
      </c>
      <c r="B5" s="524">
        <f>INDEX(Data!$C$14:$N$14,MATCH($B$6,Data!$C$15:$N$15,0))</f>
        <v>44286</v>
      </c>
      <c r="C5" s="290"/>
      <c r="D5" s="290"/>
      <c r="E5" s="290"/>
      <c r="F5" s="672"/>
      <c r="G5" s="290"/>
      <c r="H5" s="290"/>
      <c r="I5" s="770"/>
      <c r="K5" s="290"/>
      <c r="L5" s="672"/>
      <c r="M5" s="290"/>
    </row>
    <row r="6" spans="1:13" ht="20.65">
      <c r="A6" s="290" t="s">
        <v>32</v>
      </c>
      <c r="B6" s="290">
        <f>Reporting_Year-1</f>
        <v>2021</v>
      </c>
      <c r="C6" s="290"/>
      <c r="D6" s="290"/>
      <c r="E6" s="290"/>
      <c r="F6" s="672"/>
      <c r="G6" s="290"/>
      <c r="H6" s="290"/>
      <c r="I6" s="770"/>
      <c r="K6" s="290"/>
      <c r="L6" s="672"/>
      <c r="M6" s="290"/>
    </row>
    <row r="7" spans="1:13" ht="28.5" customHeight="1">
      <c r="A7" s="869" t="s">
        <v>546</v>
      </c>
      <c r="B7" s="869"/>
      <c r="C7" s="290"/>
      <c r="D7" s="290"/>
      <c r="E7" s="290"/>
      <c r="F7" s="672"/>
      <c r="G7" s="290"/>
      <c r="H7" s="290"/>
      <c r="I7" s="771"/>
      <c r="K7" s="290"/>
      <c r="L7" s="672"/>
      <c r="M7" s="290"/>
    </row>
    <row r="8" spans="1:13" ht="86.25" customHeight="1">
      <c r="A8" s="870" t="s">
        <v>547</v>
      </c>
      <c r="B8" s="871"/>
      <c r="C8" s="865" t="s">
        <v>548</v>
      </c>
      <c r="D8" s="788" t="s">
        <v>549</v>
      </c>
      <c r="E8" s="788" t="s">
        <v>550</v>
      </c>
      <c r="F8" s="674"/>
      <c r="G8" s="874" t="s">
        <v>551</v>
      </c>
      <c r="H8" s="772" t="s">
        <v>552</v>
      </c>
      <c r="I8" s="772" t="s">
        <v>553</v>
      </c>
      <c r="J8" s="674"/>
      <c r="K8" s="772" t="s">
        <v>554</v>
      </c>
      <c r="L8" s="674"/>
      <c r="M8" s="865" t="s">
        <v>555</v>
      </c>
    </row>
    <row r="9" spans="1:13" ht="15.75" customHeight="1">
      <c r="A9" s="872"/>
      <c r="B9" s="873"/>
      <c r="C9" s="866"/>
      <c r="D9" s="675" t="s">
        <v>439</v>
      </c>
      <c r="E9" s="675" t="s">
        <v>439</v>
      </c>
      <c r="F9" s="676"/>
      <c r="G9" s="875"/>
      <c r="H9" s="675" t="s">
        <v>439</v>
      </c>
      <c r="I9" s="675" t="s">
        <v>439</v>
      </c>
      <c r="J9" s="676"/>
      <c r="K9" s="675" t="s">
        <v>439</v>
      </c>
      <c r="M9" s="866"/>
    </row>
    <row r="10" spans="1:13" ht="15.75" customHeight="1">
      <c r="A10" s="677"/>
      <c r="B10" s="677"/>
      <c r="C10" s="677"/>
      <c r="D10" s="676"/>
      <c r="E10" s="676"/>
      <c r="F10" s="676"/>
      <c r="G10" s="678"/>
      <c r="H10" s="676"/>
      <c r="I10" s="676"/>
      <c r="J10" s="676"/>
      <c r="K10" s="676"/>
      <c r="M10" s="677"/>
    </row>
    <row r="11" spans="1:13" ht="28.5">
      <c r="A11" s="677" t="s">
        <v>556</v>
      </c>
      <c r="B11" s="767" t="str">
        <f>IF(AND(D11="",E11=""),"No Filing Date",IF(AND(D11="",E11&lt;&gt;""),"Enter Original Filing Date",IF(AND(D11&lt;&gt;"",E11=""),"Original Filing","Re-filed")))</f>
        <v>Original Filing</v>
      </c>
      <c r="C11" s="677"/>
      <c r="D11" s="724">
        <v>44561</v>
      </c>
      <c r="E11" s="724"/>
      <c r="F11" s="676"/>
      <c r="G11" s="678"/>
      <c r="H11" s="676"/>
      <c r="I11" s="676"/>
      <c r="J11" s="676"/>
      <c r="M11" s="677"/>
    </row>
    <row r="12" spans="1:13" s="680" customFormat="1" ht="17.649999999999999" customHeight="1">
      <c r="A12" s="679"/>
    </row>
    <row r="13" spans="1:13" ht="15.4" customHeight="1">
      <c r="A13" s="867" t="s">
        <v>557</v>
      </c>
      <c r="B13" s="868"/>
      <c r="D13" s="681">
        <v>0.2</v>
      </c>
      <c r="E13" s="681">
        <v>0.2</v>
      </c>
      <c r="F13" s="682"/>
      <c r="G13" s="682"/>
      <c r="H13" s="681">
        <v>0.2</v>
      </c>
      <c r="I13" s="681">
        <v>0.2</v>
      </c>
      <c r="J13" s="683"/>
      <c r="K13" s="683"/>
    </row>
    <row r="14" spans="1:13" ht="15.4" customHeight="1">
      <c r="B14" s="684"/>
      <c r="D14" s="682"/>
      <c r="E14" s="682"/>
      <c r="F14" s="682"/>
      <c r="G14" s="682"/>
      <c r="H14" s="682"/>
      <c r="I14" s="682"/>
      <c r="J14" s="683"/>
      <c r="K14" s="683"/>
    </row>
    <row r="15" spans="1:13" ht="15.4" customHeight="1">
      <c r="A15" s="693"/>
      <c r="B15" s="693"/>
      <c r="C15" s="686"/>
      <c r="D15" s="690"/>
      <c r="E15" s="521"/>
      <c r="F15" s="521"/>
      <c r="G15" s="657"/>
      <c r="H15" s="521"/>
      <c r="I15" s="521"/>
      <c r="J15" s="687"/>
      <c r="K15" s="687"/>
      <c r="L15" s="739"/>
      <c r="M15" s="740"/>
    </row>
    <row r="16" spans="1:13" ht="15.4" customHeight="1">
      <c r="A16" s="789" t="s">
        <v>558</v>
      </c>
      <c r="B16" s="790"/>
      <c r="C16" s="686" t="s">
        <v>559</v>
      </c>
      <c r="D16" s="768">
        <f>IFERROR(0,INDEX('R2 - Rec to Revenue and Profit'!$E$58:$I$58,MATCH('R8a - Tax Reconciliation'!$B$6,'R2 - Rec to Revenue and Profit'!$E$6:$I$6,0)))</f>
        <v>0</v>
      </c>
      <c r="E16" s="519"/>
      <c r="F16" s="521"/>
      <c r="G16" s="657" t="str">
        <f>IF($B$4="ESO2", $B$4&amp; " " &amp;"PCFM - see Tax Allowance in 'System Operator' worksheet",  $B$4&amp; " " &amp;"PCFM - see Tax Allowance in 'Finance &amp;Tax' worksheet")</f>
        <v>GD2 PCFM - see Tax Allowance in 'Finance &amp;Tax' worksheet</v>
      </c>
      <c r="H16" s="625"/>
      <c r="I16" s="768">
        <f>1/(1-H$13)*H16</f>
        <v>0</v>
      </c>
      <c r="J16" s="687"/>
      <c r="K16" s="687"/>
      <c r="L16" s="739"/>
      <c r="M16" s="740"/>
    </row>
    <row r="17" spans="1:17" ht="15.4" customHeight="1">
      <c r="A17" s="857" t="s">
        <v>560</v>
      </c>
      <c r="B17" s="858"/>
      <c r="C17" s="686"/>
      <c r="D17" s="521"/>
      <c r="E17" s="521"/>
      <c r="F17" s="521"/>
      <c r="G17" s="657" t="str">
        <f t="shared" ref="G17:G20" si="0">IF($B$4="ESO2", $B$4&amp; " " &amp;"PCFM - see Tax Allowance in 'System Operator' worksheet",  $B$4&amp; " " &amp;"PCFM - see Tax Allowance in 'Finance &amp;Tax' worksheet")</f>
        <v>GD2 PCFM - see Tax Allowance in 'Finance &amp;Tax' worksheet</v>
      </c>
      <c r="H17" s="625"/>
      <c r="I17" s="768">
        <f t="shared" ref="I17:I20" si="1">1/(1-H$13)*H17</f>
        <v>0</v>
      </c>
      <c r="J17" s="687"/>
      <c r="K17" s="687"/>
      <c r="L17" s="739"/>
      <c r="M17" s="740"/>
    </row>
    <row r="18" spans="1:17" ht="15.4" customHeight="1">
      <c r="A18" s="719" t="s">
        <v>561</v>
      </c>
      <c r="B18" s="720"/>
      <c r="C18" s="686"/>
      <c r="D18" s="521"/>
      <c r="E18" s="521"/>
      <c r="F18" s="521"/>
      <c r="G18" s="657" t="str">
        <f t="shared" si="0"/>
        <v>GD2 PCFM - see Tax Allowance in 'Finance &amp;Tax' worksheet</v>
      </c>
      <c r="H18" s="625"/>
      <c r="I18" s="768">
        <f t="shared" si="1"/>
        <v>0</v>
      </c>
      <c r="J18" s="687"/>
      <c r="K18" s="687"/>
      <c r="L18" s="739"/>
      <c r="M18" s="740"/>
    </row>
    <row r="19" spans="1:17" s="686" customFormat="1">
      <c r="A19" s="719" t="s">
        <v>562</v>
      </c>
      <c r="B19" s="720"/>
      <c r="D19" s="521"/>
      <c r="E19" s="521"/>
      <c r="F19" s="521"/>
      <c r="G19" s="657" t="str">
        <f t="shared" si="0"/>
        <v>GD2 PCFM - see Tax Allowance in 'Finance &amp;Tax' worksheet</v>
      </c>
      <c r="H19" s="625"/>
      <c r="I19" s="768">
        <f t="shared" si="1"/>
        <v>0</v>
      </c>
      <c r="J19" s="687"/>
      <c r="K19" s="687"/>
      <c r="L19" s="739"/>
      <c r="M19" s="740"/>
      <c r="N19" s="791"/>
      <c r="O19" s="791"/>
      <c r="P19" s="791"/>
      <c r="Q19" s="791"/>
    </row>
    <row r="20" spans="1:17" s="686" customFormat="1">
      <c r="A20" s="719" t="s">
        <v>563</v>
      </c>
      <c r="B20" s="720"/>
      <c r="D20" s="521"/>
      <c r="E20" s="521"/>
      <c r="F20" s="521"/>
      <c r="G20" s="657" t="str">
        <f t="shared" si="0"/>
        <v>GD2 PCFM - see Tax Allowance in 'Finance &amp;Tax' worksheet</v>
      </c>
      <c r="H20" s="625"/>
      <c r="I20" s="768">
        <f t="shared" si="1"/>
        <v>0</v>
      </c>
      <c r="J20" s="687"/>
      <c r="K20" s="687"/>
      <c r="L20" s="739"/>
      <c r="M20" s="740"/>
      <c r="N20" s="791"/>
      <c r="O20" s="791"/>
      <c r="P20" s="791"/>
      <c r="Q20" s="791"/>
    </row>
    <row r="21" spans="1:17">
      <c r="A21" s="719" t="s">
        <v>564</v>
      </c>
      <c r="B21" s="720"/>
      <c r="C21" s="686" t="s">
        <v>559</v>
      </c>
      <c r="D21" s="519"/>
      <c r="E21" s="519"/>
      <c r="F21" s="521"/>
      <c r="G21" s="657"/>
      <c r="H21" s="521"/>
      <c r="I21" s="521"/>
      <c r="J21" s="687"/>
      <c r="K21" s="687"/>
      <c r="L21" s="739"/>
      <c r="M21" s="740"/>
    </row>
    <row r="22" spans="1:17">
      <c r="A22" s="719"/>
      <c r="B22" s="720"/>
      <c r="C22" s="686"/>
      <c r="D22" s="521"/>
      <c r="E22" s="521"/>
      <c r="F22" s="521"/>
      <c r="G22" s="657"/>
      <c r="H22" s="521"/>
      <c r="I22" s="521"/>
      <c r="J22" s="687"/>
      <c r="K22" s="687"/>
      <c r="L22" s="739"/>
      <c r="M22" s="740"/>
    </row>
    <row r="23" spans="1:17">
      <c r="A23" s="725" t="s">
        <v>565</v>
      </c>
      <c r="B23" s="726"/>
      <c r="C23" s="741" t="s">
        <v>559</v>
      </c>
      <c r="D23" s="727">
        <f>SUM(D16:D21)</f>
        <v>0</v>
      </c>
      <c r="E23" s="727">
        <f>SUM(E16:E21)</f>
        <v>0</v>
      </c>
      <c r="F23" s="521"/>
      <c r="G23" s="657"/>
      <c r="H23" s="727">
        <f>SUM(H16:H21)</f>
        <v>0</v>
      </c>
      <c r="I23" s="727">
        <f>SUM(I16:I21)</f>
        <v>0</v>
      </c>
      <c r="J23" s="687"/>
      <c r="K23" s="727">
        <f>IF(E$11&lt;&gt;"",IF(OR(B$11="No Filing Date","Enter Filing Date",E$11&lt;D$11),"Error in Filing Date",IF('R8a - Tax Reconciliation'!B$11="Original Filing",D23-I23,E23-I23)),IF(OR(B$11="No Filing Date","Enter Filing Date"),"Error in Filing Date",IF('R8a - Tax Reconciliation'!B$11="Original Filing",D23-I23,E23-I23)))</f>
        <v>0</v>
      </c>
      <c r="L23" s="739"/>
      <c r="M23" s="740"/>
    </row>
    <row r="24" spans="1:17">
      <c r="A24" s="728"/>
      <c r="B24" s="720"/>
      <c r="C24" s="686"/>
      <c r="D24" s="729"/>
      <c r="E24" s="729"/>
      <c r="F24" s="521"/>
      <c r="G24" s="657"/>
      <c r="H24" s="729"/>
      <c r="I24" s="744"/>
      <c r="J24" s="687"/>
      <c r="K24" s="729"/>
      <c r="L24" s="739"/>
      <c r="M24" s="740"/>
    </row>
    <row r="25" spans="1:17">
      <c r="A25" s="712" t="s">
        <v>566</v>
      </c>
      <c r="B25" s="720"/>
      <c r="C25" s="686" t="s">
        <v>559</v>
      </c>
      <c r="D25" s="519"/>
      <c r="E25" s="519"/>
      <c r="F25" s="521"/>
      <c r="G25" s="657" t="str">
        <f t="shared" ref="G25:G26" si="2">IF($B$4="ESO2", $B$4&amp; " " &amp;"PCFM - see Tax Allowance in 'System Operator' worksheet",  $B$4&amp; " " &amp;"PCFM - see Tax Allowance in 'Finance &amp;Tax' worksheet")</f>
        <v>GD2 PCFM - see Tax Allowance in 'Finance &amp;Tax' worksheet</v>
      </c>
      <c r="H25" s="625"/>
      <c r="I25" s="768">
        <f t="shared" ref="I25:I26" si="3">1/(1-H$13)*H25</f>
        <v>0</v>
      </c>
      <c r="J25" s="687"/>
      <c r="K25" s="766">
        <f>IF(E$11&lt;&gt;"",IF(OR(B$11="No Filing Date","Enter Filing Date",E$11&lt;D$11),"Error in Filing Date",IF('R8a - Tax Reconciliation'!B$11="Original Filing",D25-I25,E25-I25)),IF(OR(B$11="No Filing Date","Enter Filing Date"),"Error in Filing Date",IF('R8a - Tax Reconciliation'!B$11="Original Filing",D25-I25,E25-I25)))</f>
        <v>0</v>
      </c>
      <c r="L25" s="739"/>
      <c r="M25" s="740"/>
      <c r="N25" s="791"/>
      <c r="O25" s="791"/>
      <c r="P25" s="791"/>
    </row>
    <row r="26" spans="1:17">
      <c r="A26" s="712" t="s">
        <v>567</v>
      </c>
      <c r="B26" s="720"/>
      <c r="C26" s="686" t="s">
        <v>559</v>
      </c>
      <c r="D26" s="519"/>
      <c r="E26" s="519"/>
      <c r="F26" s="521"/>
      <c r="G26" s="657" t="str">
        <f t="shared" si="2"/>
        <v>GD2 PCFM - see Tax Allowance in 'Finance &amp;Tax' worksheet</v>
      </c>
      <c r="H26" s="625"/>
      <c r="I26" s="768">
        <f t="shared" si="3"/>
        <v>0</v>
      </c>
      <c r="J26" s="687"/>
      <c r="K26" s="766">
        <f>IF(E$11&lt;&gt;"",IF(OR(B$11="No Filing Date","Enter Filing Date",E$11&lt;D$11),"Error in Filing Date",IF('R8a - Tax Reconciliation'!B$11="Original Filing",D26-I26,E26-I26)),IF(OR(B$11="No Filing Date","Enter Filing Date"),"Error in Filing Date",IF('R8a - Tax Reconciliation'!B$11="Original Filing",D26-I26,E26-I26)))</f>
        <v>0</v>
      </c>
      <c r="L26" s="739"/>
      <c r="M26" s="740"/>
      <c r="N26" s="791"/>
      <c r="O26" s="791"/>
      <c r="P26" s="791"/>
    </row>
    <row r="27" spans="1:17">
      <c r="A27" s="857" t="s">
        <v>568</v>
      </c>
      <c r="B27" s="858"/>
      <c r="C27" s="686" t="s">
        <v>559</v>
      </c>
      <c r="D27" s="519"/>
      <c r="E27" s="519"/>
      <c r="F27" s="521"/>
      <c r="G27" s="657"/>
      <c r="H27" s="521"/>
      <c r="I27" s="521"/>
      <c r="J27" s="687"/>
      <c r="K27" s="687"/>
      <c r="L27" s="739"/>
      <c r="M27" s="740"/>
      <c r="N27" s="791"/>
      <c r="O27" s="791"/>
      <c r="P27" s="791"/>
    </row>
    <row r="28" spans="1:17">
      <c r="A28" s="857" t="s">
        <v>569</v>
      </c>
      <c r="B28" s="858"/>
      <c r="C28" s="686" t="s">
        <v>559</v>
      </c>
      <c r="D28" s="519"/>
      <c r="E28" s="519"/>
      <c r="F28" s="521"/>
      <c r="G28" s="657"/>
      <c r="H28" s="521"/>
      <c r="I28" s="521"/>
      <c r="J28" s="687"/>
      <c r="K28" s="687"/>
      <c r="L28" s="739"/>
      <c r="M28" s="740"/>
      <c r="N28" s="791"/>
      <c r="O28" s="791"/>
      <c r="P28" s="791"/>
    </row>
    <row r="29" spans="1:17">
      <c r="A29" s="719" t="s">
        <v>570</v>
      </c>
      <c r="B29" s="720"/>
      <c r="C29" s="686" t="s">
        <v>559</v>
      </c>
      <c r="D29" s="519"/>
      <c r="E29" s="519"/>
      <c r="F29" s="521"/>
      <c r="G29" s="657"/>
      <c r="H29" s="521"/>
      <c r="I29" s="521"/>
      <c r="J29" s="687"/>
      <c r="K29" s="687"/>
      <c r="L29" s="739"/>
      <c r="M29" s="740"/>
      <c r="N29" s="791"/>
      <c r="O29" s="791"/>
      <c r="P29" s="791"/>
    </row>
    <row r="30" spans="1:17">
      <c r="A30" s="719" t="s">
        <v>571</v>
      </c>
      <c r="B30" s="720"/>
      <c r="C30" s="686" t="s">
        <v>559</v>
      </c>
      <c r="D30" s="519"/>
      <c r="E30" s="519"/>
      <c r="F30" s="521"/>
      <c r="G30" s="657"/>
      <c r="H30" s="521"/>
      <c r="I30" s="521"/>
      <c r="J30" s="687"/>
      <c r="K30" s="687"/>
      <c r="L30" s="739"/>
      <c r="M30" s="740"/>
      <c r="N30" s="791"/>
      <c r="O30" s="791"/>
      <c r="P30" s="791"/>
    </row>
    <row r="31" spans="1:17">
      <c r="A31" s="719"/>
      <c r="B31" s="720"/>
      <c r="C31" s="686"/>
      <c r="D31" s="690"/>
      <c r="E31" s="690"/>
      <c r="F31" s="521"/>
      <c r="G31" s="657"/>
      <c r="H31" s="521"/>
      <c r="I31" s="521"/>
      <c r="J31" s="687"/>
      <c r="K31" s="687"/>
      <c r="L31" s="739"/>
      <c r="M31" s="740"/>
      <c r="N31" s="791"/>
      <c r="O31" s="791"/>
      <c r="P31" s="791"/>
    </row>
    <row r="32" spans="1:17">
      <c r="A32" s="730" t="s">
        <v>572</v>
      </c>
      <c r="B32" s="726"/>
      <c r="C32" s="741" t="s">
        <v>559</v>
      </c>
      <c r="D32" s="727">
        <f>SUM(D23:D31)</f>
        <v>0</v>
      </c>
      <c r="E32" s="727">
        <f>SUM(E23:E31)</f>
        <v>0</v>
      </c>
      <c r="F32" s="521"/>
      <c r="G32" s="742" t="s">
        <v>573</v>
      </c>
      <c r="H32" s="727">
        <f>SUM(H23:H31)</f>
        <v>0</v>
      </c>
      <c r="I32" s="727">
        <f>SUM(I23:I31)</f>
        <v>0</v>
      </c>
      <c r="J32" s="687"/>
      <c r="K32" s="727">
        <f>IF(E$11&lt;&gt;"",IF(OR(B$11="No Filing Date","Enter Filing Date",E$11&lt;D$11),"Error in Filing Date",IF('R8a - Tax Reconciliation'!B$11="Original Filing",D32-I32,E32-I32)),IF(OR(B$11="No Filing Date","Enter Filing Date"),"Error in Filing Date",IF('R8a - Tax Reconciliation'!B$11="Original Filing",D32-I32,E32-I32)))</f>
        <v>0</v>
      </c>
      <c r="L32" s="739"/>
      <c r="M32" s="743"/>
    </row>
    <row r="33" spans="1:17">
      <c r="A33" s="731"/>
      <c r="B33" s="693"/>
      <c r="C33" s="686"/>
      <c r="D33" s="687"/>
      <c r="E33" s="687"/>
      <c r="F33" s="521"/>
      <c r="G33" s="657"/>
      <c r="J33" s="687"/>
      <c r="K33" s="744"/>
      <c r="L33" s="739"/>
      <c r="M33" s="740"/>
      <c r="N33" s="792"/>
      <c r="O33" s="792"/>
      <c r="P33" s="792"/>
    </row>
    <row r="34" spans="1:17">
      <c r="A34" s="793" t="s">
        <v>574</v>
      </c>
      <c r="B34" s="790"/>
      <c r="C34" s="686"/>
      <c r="D34" s="690"/>
      <c r="E34" s="690"/>
      <c r="F34" s="521"/>
      <c r="G34" s="657"/>
      <c r="H34" s="521"/>
      <c r="I34" s="521"/>
      <c r="J34" s="687"/>
      <c r="K34" s="687"/>
      <c r="L34" s="739"/>
      <c r="M34" s="740"/>
      <c r="N34" s="791"/>
      <c r="O34" s="791"/>
      <c r="P34" s="791"/>
    </row>
    <row r="35" spans="1:17">
      <c r="A35" s="719"/>
      <c r="B35" s="720"/>
      <c r="C35" s="686"/>
      <c r="D35" s="690"/>
      <c r="E35" s="690"/>
      <c r="F35" s="521"/>
      <c r="G35" s="657"/>
      <c r="H35" s="521"/>
      <c r="I35" s="521"/>
      <c r="J35" s="687"/>
      <c r="K35" s="687"/>
      <c r="L35" s="739"/>
      <c r="M35" s="740"/>
      <c r="N35" s="791"/>
      <c r="O35" s="791"/>
      <c r="P35" s="791"/>
    </row>
    <row r="36" spans="1:17">
      <c r="A36" s="855" t="s">
        <v>575</v>
      </c>
      <c r="B36" s="856"/>
      <c r="D36" s="688"/>
      <c r="E36" s="688"/>
      <c r="F36" s="688"/>
      <c r="G36" s="691"/>
      <c r="H36" s="688"/>
      <c r="I36" s="688"/>
      <c r="J36" s="688"/>
      <c r="K36" s="688"/>
      <c r="L36" s="745"/>
      <c r="M36" s="746"/>
      <c r="N36" s="741"/>
      <c r="O36" s="741"/>
      <c r="P36" s="741"/>
      <c r="Q36" s="741"/>
    </row>
    <row r="37" spans="1:17">
      <c r="A37" s="857" t="s">
        <v>576</v>
      </c>
      <c r="B37" s="858"/>
      <c r="C37" s="686" t="s">
        <v>559</v>
      </c>
      <c r="D37" s="519"/>
      <c r="E37" s="519"/>
      <c r="F37" s="521"/>
      <c r="G37" s="657"/>
      <c r="H37" s="521"/>
      <c r="I37" s="521"/>
      <c r="J37" s="687"/>
      <c r="K37" s="521"/>
      <c r="L37" s="521"/>
      <c r="M37" s="521"/>
      <c r="N37" s="741"/>
      <c r="O37" s="741"/>
      <c r="P37" s="741"/>
      <c r="Q37" s="741"/>
    </row>
    <row r="38" spans="1:17">
      <c r="A38" s="747"/>
      <c r="B38" s="692"/>
      <c r="D38" s="688"/>
      <c r="E38" s="688"/>
      <c r="F38" s="688"/>
      <c r="G38" s="691"/>
      <c r="H38" s="688"/>
      <c r="I38" s="688"/>
      <c r="J38" s="688"/>
      <c r="K38" s="521"/>
      <c r="L38" s="521"/>
      <c r="M38" s="521"/>
      <c r="N38" s="741"/>
      <c r="O38" s="741"/>
      <c r="P38" s="741"/>
      <c r="Q38" s="741"/>
    </row>
    <row r="39" spans="1:17" s="686" customFormat="1">
      <c r="A39" s="855" t="s">
        <v>577</v>
      </c>
      <c r="B39" s="856"/>
      <c r="C39" s="673"/>
      <c r="D39" s="688"/>
      <c r="E39" s="688"/>
      <c r="F39" s="688"/>
      <c r="G39" s="691"/>
      <c r="H39" s="688"/>
      <c r="I39" s="688"/>
      <c r="J39" s="688"/>
      <c r="K39" s="521"/>
      <c r="L39" s="521"/>
      <c r="M39" s="521"/>
    </row>
    <row r="40" spans="1:17" s="686" customFormat="1">
      <c r="A40" s="857" t="s">
        <v>576</v>
      </c>
      <c r="B40" s="858"/>
      <c r="C40" s="686" t="s">
        <v>559</v>
      </c>
      <c r="D40" s="519"/>
      <c r="E40" s="519"/>
      <c r="F40" s="521"/>
      <c r="G40" s="657"/>
      <c r="H40" s="521"/>
      <c r="I40" s="521"/>
      <c r="J40" s="687"/>
      <c r="K40" s="521"/>
      <c r="L40" s="521"/>
      <c r="M40" s="521"/>
    </row>
    <row r="41" spans="1:17">
      <c r="A41" s="747"/>
      <c r="B41" s="748"/>
      <c r="D41" s="688"/>
      <c r="E41" s="688"/>
      <c r="F41" s="688"/>
      <c r="G41" s="691"/>
      <c r="H41" s="688"/>
      <c r="I41" s="688"/>
      <c r="J41" s="688"/>
      <c r="K41" s="521"/>
      <c r="L41" s="521"/>
      <c r="M41" s="521"/>
      <c r="N41" s="741"/>
      <c r="O41" s="741"/>
      <c r="P41" s="741"/>
      <c r="Q41" s="741"/>
    </row>
    <row r="42" spans="1:17">
      <c r="A42" s="855" t="s">
        <v>578</v>
      </c>
      <c r="B42" s="856"/>
      <c r="D42" s="688"/>
      <c r="E42" s="688"/>
      <c r="F42" s="688"/>
      <c r="G42" s="691"/>
      <c r="H42" s="688"/>
      <c r="I42" s="688"/>
      <c r="J42" s="688"/>
      <c r="K42" s="521"/>
      <c r="L42" s="521"/>
      <c r="M42" s="521"/>
      <c r="N42" s="741"/>
      <c r="O42" s="741"/>
      <c r="P42" s="741"/>
      <c r="Q42" s="741"/>
    </row>
    <row r="43" spans="1:17" s="686" customFormat="1">
      <c r="A43" s="859" t="s">
        <v>576</v>
      </c>
      <c r="B43" s="860"/>
      <c r="C43" s="686" t="s">
        <v>559</v>
      </c>
      <c r="D43" s="519"/>
      <c r="E43" s="519"/>
      <c r="F43" s="521"/>
      <c r="G43" s="657"/>
      <c r="H43" s="521"/>
      <c r="I43" s="521"/>
      <c r="J43" s="687"/>
      <c r="K43" s="521"/>
      <c r="L43" s="521"/>
      <c r="M43" s="521"/>
    </row>
    <row r="44" spans="1:17" s="686" customFormat="1">
      <c r="A44" s="693"/>
      <c r="B44" s="693"/>
      <c r="D44" s="521"/>
      <c r="E44" s="521"/>
      <c r="F44" s="521"/>
      <c r="G44" s="657"/>
      <c r="H44" s="521"/>
      <c r="I44" s="521"/>
      <c r="J44" s="687"/>
      <c r="K44" s="687"/>
      <c r="L44" s="739"/>
      <c r="M44" s="740"/>
      <c r="N44" s="791"/>
      <c r="O44" s="791"/>
      <c r="P44" s="791"/>
      <c r="Q44" s="791"/>
    </row>
    <row r="45" spans="1:17" s="686" customFormat="1">
      <c r="A45" s="730" t="s">
        <v>579</v>
      </c>
      <c r="B45" s="726"/>
      <c r="C45" s="741" t="s">
        <v>559</v>
      </c>
      <c r="D45" s="727">
        <f>SUM(D32:D44)</f>
        <v>0</v>
      </c>
      <c r="E45" s="727">
        <f>SUM(E32:E44)</f>
        <v>0</v>
      </c>
      <c r="F45" s="521"/>
      <c r="G45" s="657"/>
      <c r="H45" s="727">
        <f>SUM(H32:H44)</f>
        <v>0</v>
      </c>
      <c r="I45" s="727">
        <f>SUM(I32:I44)</f>
        <v>0</v>
      </c>
      <c r="J45" s="687"/>
      <c r="K45" s="727">
        <f>IF(E$11&lt;&gt;"",IF(OR(B$11="No Filing Date","Enter Filing Date",E$11&lt;D$11),"Error in Filing Date",IF('R8a - Tax Reconciliation'!B$11="Original Filing",D45-I45,E45-I45)),IF(OR(B$11="No Filing Date","Enter Filing Date"),"Error in Filing Date",IF('R8a - Tax Reconciliation'!B$11="Original Filing",D45-I45,E45-I45)))</f>
        <v>0</v>
      </c>
      <c r="L45" s="739"/>
      <c r="M45" s="743"/>
      <c r="N45" s="791"/>
      <c r="O45" s="791"/>
      <c r="P45" s="791"/>
      <c r="Q45" s="791"/>
    </row>
    <row r="46" spans="1:17" s="686" customFormat="1">
      <c r="A46" s="694"/>
      <c r="B46" s="694"/>
      <c r="C46" s="673"/>
      <c r="D46" s="517"/>
      <c r="E46" s="517"/>
      <c r="F46" s="517"/>
      <c r="G46" s="658"/>
      <c r="H46" s="517"/>
      <c r="I46" s="517"/>
      <c r="J46" s="688"/>
      <c r="K46" s="688"/>
      <c r="L46" s="745"/>
      <c r="M46" s="746"/>
      <c r="N46" s="791"/>
      <c r="O46" s="791"/>
      <c r="P46" s="791"/>
      <c r="Q46" s="791"/>
    </row>
    <row r="47" spans="1:17" s="686" customFormat="1">
      <c r="A47" s="794" t="s">
        <v>580</v>
      </c>
      <c r="B47" s="795"/>
      <c r="C47" s="673"/>
      <c r="D47" s="517"/>
      <c r="E47" s="517"/>
      <c r="F47" s="517"/>
      <c r="G47" s="658"/>
      <c r="H47" s="517"/>
      <c r="I47" s="517"/>
      <c r="J47" s="688"/>
      <c r="K47" s="688"/>
      <c r="L47" s="745"/>
      <c r="M47" s="746"/>
      <c r="N47" s="791"/>
      <c r="O47" s="791"/>
      <c r="P47" s="791"/>
      <c r="Q47" s="791"/>
    </row>
    <row r="48" spans="1:17" s="686" customFormat="1">
      <c r="A48" s="695"/>
      <c r="B48" s="696"/>
      <c r="C48" s="673"/>
      <c r="D48" s="517"/>
      <c r="E48" s="517"/>
      <c r="F48" s="517"/>
      <c r="G48" s="658"/>
      <c r="H48" s="517"/>
      <c r="I48" s="517"/>
      <c r="J48" s="688"/>
      <c r="K48" s="688"/>
      <c r="L48" s="745"/>
      <c r="M48" s="746"/>
      <c r="N48" s="791"/>
      <c r="O48" s="791"/>
      <c r="P48" s="791"/>
      <c r="Q48" s="791"/>
    </row>
    <row r="49" spans="1:23" s="686" customFormat="1">
      <c r="A49" s="721" t="s">
        <v>581</v>
      </c>
      <c r="B49" s="696"/>
      <c r="C49" s="673"/>
      <c r="D49" s="517"/>
      <c r="E49" s="517"/>
      <c r="F49" s="517"/>
      <c r="G49" s="658"/>
      <c r="H49" s="517"/>
      <c r="I49" s="517"/>
      <c r="J49" s="688"/>
      <c r="K49" s="688"/>
      <c r="L49" s="745"/>
      <c r="M49" s="746"/>
      <c r="N49" s="791"/>
      <c r="O49" s="791"/>
      <c r="P49" s="791"/>
      <c r="Q49" s="791"/>
    </row>
    <row r="50" spans="1:23" s="686" customFormat="1">
      <c r="A50" s="719" t="s">
        <v>582</v>
      </c>
      <c r="B50" s="720"/>
      <c r="C50" s="686" t="s">
        <v>559</v>
      </c>
      <c r="D50" s="519"/>
      <c r="E50" s="519"/>
      <c r="F50" s="521"/>
      <c r="G50" s="657"/>
      <c r="H50" s="519"/>
      <c r="I50" s="768">
        <f t="shared" ref="I50:I62" si="4">1/(1-H$13)*H50</f>
        <v>0</v>
      </c>
      <c r="J50" s="687"/>
      <c r="K50" s="766">
        <f>IF(E$11&lt;&gt;"",IF(OR(B$11="No Filing Date","Enter Filing Date",E$11&lt;D$11),"Error in Filing Date",IF('R8a - Tax Reconciliation'!B$11="Original Filing",D50-I50,E50-I50)),IF(OR(B$11="No Filing Date","Enter Filing Date"),"Error in Filing Date",IF('R8a - Tax Reconciliation'!B$11="Original Filing",D50-I50,E50-I50)))</f>
        <v>0</v>
      </c>
      <c r="L50" s="739"/>
      <c r="M50" s="749"/>
    </row>
    <row r="51" spans="1:23" s="686" customFormat="1">
      <c r="A51" s="719" t="s">
        <v>583</v>
      </c>
      <c r="B51" s="720"/>
      <c r="C51" s="686" t="s">
        <v>559</v>
      </c>
      <c r="D51" s="519"/>
      <c r="E51" s="519"/>
      <c r="F51" s="521"/>
      <c r="G51" s="657"/>
      <c r="H51" s="519"/>
      <c r="I51" s="768">
        <f t="shared" si="4"/>
        <v>0</v>
      </c>
      <c r="J51" s="687"/>
      <c r="K51" s="766">
        <f>IF(E$11&lt;&gt;"",IF(OR(B$11="No Filing Date","Enter Filing Date",E$11&lt;D$11),"Error in Filing Date",IF('R8a - Tax Reconciliation'!B$11="Original Filing",D51-I51,E51-I51)),IF(OR(B$11="No Filing Date","Enter Filing Date"),"Error in Filing Date",IF('R8a - Tax Reconciliation'!B$11="Original Filing",D51-I51,E51-I51)))</f>
        <v>0</v>
      </c>
      <c r="L51" s="739"/>
      <c r="M51" s="749"/>
      <c r="N51" s="791"/>
      <c r="O51" s="791"/>
      <c r="P51" s="791"/>
      <c r="Q51" s="791"/>
    </row>
    <row r="52" spans="1:23" s="686" customFormat="1">
      <c r="A52" s="719" t="s">
        <v>584</v>
      </c>
      <c r="B52" s="720"/>
      <c r="C52" s="686" t="s">
        <v>559</v>
      </c>
      <c r="D52" s="519"/>
      <c r="E52" s="519"/>
      <c r="F52" s="521"/>
      <c r="G52" s="657"/>
      <c r="H52" s="519"/>
      <c r="I52" s="768">
        <f t="shared" si="4"/>
        <v>0</v>
      </c>
      <c r="J52" s="687"/>
      <c r="K52" s="766">
        <f>IF(E$11&lt;&gt;"",IF(OR(B$11="No Filing Date","Enter Filing Date",E$11&lt;D$11),"Error in Filing Date",IF('R8a - Tax Reconciliation'!B$11="Original Filing",D52-I52,E52-I52)),IF(OR(B$11="No Filing Date","Enter Filing Date"),"Error in Filing Date",IF('R8a - Tax Reconciliation'!B$11="Original Filing",D52-I52,E52-I52)))</f>
        <v>0</v>
      </c>
      <c r="L52" s="739"/>
      <c r="M52" s="749"/>
    </row>
    <row r="53" spans="1:23">
      <c r="A53" s="719" t="s">
        <v>571</v>
      </c>
      <c r="B53" s="720"/>
      <c r="C53" s="686" t="s">
        <v>559</v>
      </c>
      <c r="D53" s="519"/>
      <c r="E53" s="519"/>
      <c r="F53" s="521"/>
      <c r="G53" s="657"/>
      <c r="H53" s="519"/>
      <c r="I53" s="768">
        <f t="shared" si="4"/>
        <v>0</v>
      </c>
      <c r="J53" s="687"/>
      <c r="K53" s="766">
        <f>IF(E$11&lt;&gt;"",IF(OR(B$11="No Filing Date","Enter Filing Date",E$11&lt;D$11),"Error in Filing Date",IF('R8a - Tax Reconciliation'!B$11="Original Filing",D53-I53,E53-I53)),IF(OR(B$11="No Filing Date","Enter Filing Date"),"Error in Filing Date",IF('R8a - Tax Reconciliation'!B$11="Original Filing",D53-I53,E53-I53)))</f>
        <v>0</v>
      </c>
      <c r="L53" s="739"/>
      <c r="M53" s="749"/>
      <c r="N53" s="741"/>
      <c r="O53" s="741"/>
      <c r="P53" s="741"/>
      <c r="Q53" s="741"/>
    </row>
    <row r="54" spans="1:23">
      <c r="A54" s="697" t="s">
        <v>585</v>
      </c>
      <c r="B54" s="750"/>
      <c r="C54" s="686" t="s">
        <v>559</v>
      </c>
      <c r="D54" s="519"/>
      <c r="E54" s="519"/>
      <c r="F54" s="521"/>
      <c r="G54" s="657"/>
      <c r="H54" s="519"/>
      <c r="I54" s="768">
        <f t="shared" si="4"/>
        <v>0</v>
      </c>
      <c r="J54" s="687"/>
      <c r="K54" s="766">
        <f>IF(E$11&lt;&gt;"",IF(OR(B$11="No Filing Date","Enter Filing Date",E$11&lt;D$11),"Error in Filing Date",IF('R8a - Tax Reconciliation'!B$11="Original Filing",D54-I54,E54-I54)),IF(OR(B$11="No Filing Date","Enter Filing Date"),"Error in Filing Date",IF('R8a - Tax Reconciliation'!B$11="Original Filing",D54-I54,E54-I54)))</f>
        <v>0</v>
      </c>
      <c r="L54" s="686"/>
      <c r="M54" s="749"/>
    </row>
    <row r="55" spans="1:23">
      <c r="A55" s="857" t="s">
        <v>586</v>
      </c>
      <c r="B55" s="858"/>
      <c r="C55" s="686" t="s">
        <v>559</v>
      </c>
      <c r="D55" s="519"/>
      <c r="E55" s="519"/>
      <c r="F55" s="520"/>
      <c r="G55" s="657"/>
      <c r="H55" s="519"/>
      <c r="I55" s="768">
        <f t="shared" si="4"/>
        <v>0</v>
      </c>
      <c r="J55" s="751"/>
      <c r="K55" s="766">
        <f>IF(E$11&lt;&gt;"",IF(OR(B$11="No Filing Date","Enter Filing Date",E$11&lt;D$11),"Error in Filing Date",IF('R8a - Tax Reconciliation'!B$11="Original Filing",D55-I55,E55-I55)),IF(OR(B$11="No Filing Date","Enter Filing Date"),"Error in Filing Date",IF('R8a - Tax Reconciliation'!B$11="Original Filing",D55-I55,E55-I55)))</f>
        <v>0</v>
      </c>
      <c r="L55" s="739"/>
      <c r="M55" s="749"/>
    </row>
    <row r="56" spans="1:23">
      <c r="A56" s="698" t="s">
        <v>587</v>
      </c>
      <c r="B56" s="750"/>
      <c r="C56" s="686" t="s">
        <v>559</v>
      </c>
      <c r="D56" s="519"/>
      <c r="E56" s="519"/>
      <c r="F56" s="687"/>
      <c r="G56" s="657" t="str">
        <f t="shared" ref="G56" si="5">IF($B$4="ESO2", $B$4&amp; " " &amp;"PCFM - see Tax Allowance in 'System Operator' worksheet",  $B$4&amp; " " &amp;"PCFM - see Tax Allowance in 'Finance &amp;Tax' worksheet")</f>
        <v>GD2 PCFM - see Tax Allowance in 'Finance &amp;Tax' worksheet</v>
      </c>
      <c r="H56" s="625"/>
      <c r="I56" s="768">
        <f t="shared" si="4"/>
        <v>0</v>
      </c>
      <c r="J56" s="752"/>
      <c r="K56" s="766">
        <f>IF(E$11&lt;&gt;"",IF(OR(B$11="No Filing Date","Enter Filing Date",E$11&lt;D$11),"Error in Filing Date",IF('R8a - Tax Reconciliation'!B$11="Original Filing",D56-I56,E56-I56)),IF(OR(B$11="No Filing Date","Enter Filing Date"),"Error in Filing Date",IF('R8a - Tax Reconciliation'!B$11="Original Filing",D56-I56,E56-I56)))</f>
        <v>0</v>
      </c>
      <c r="L56" s="739"/>
      <c r="M56" s="749"/>
    </row>
    <row r="57" spans="1:23">
      <c r="A57" s="719" t="s">
        <v>588</v>
      </c>
      <c r="B57" s="720"/>
      <c r="C57" s="686" t="s">
        <v>559</v>
      </c>
      <c r="D57" s="519"/>
      <c r="E57" s="519"/>
      <c r="F57" s="521"/>
      <c r="G57" s="657"/>
      <c r="H57" s="519"/>
      <c r="I57" s="768">
        <f t="shared" si="4"/>
        <v>0</v>
      </c>
      <c r="J57" s="687"/>
      <c r="K57" s="766">
        <f>IF(E$11&lt;&gt;"",IF(OR(B$11="No Filing Date","Enter Filing Date",E$11&lt;D$11),"Error in Filing Date",IF('R8a - Tax Reconciliation'!B$11="Original Filing",D57-I57,E57-I57)),IF(OR(B$11="No Filing Date","Enter Filing Date"),"Error in Filing Date",IF('R8a - Tax Reconciliation'!B$11="Original Filing",D57-I57,E57-I57)))</f>
        <v>0</v>
      </c>
      <c r="L57" s="739"/>
      <c r="M57" s="749"/>
      <c r="N57" s="741"/>
      <c r="O57" s="741"/>
      <c r="P57" s="741"/>
      <c r="Q57" s="741"/>
    </row>
    <row r="58" spans="1:23">
      <c r="A58" s="719" t="s">
        <v>589</v>
      </c>
      <c r="B58" s="720"/>
      <c r="C58" s="686" t="s">
        <v>559</v>
      </c>
      <c r="D58" s="519"/>
      <c r="E58" s="519"/>
      <c r="F58" s="521"/>
      <c r="G58" s="657"/>
      <c r="H58" s="519"/>
      <c r="I58" s="768">
        <f t="shared" si="4"/>
        <v>0</v>
      </c>
      <c r="J58" s="687"/>
      <c r="K58" s="766">
        <f>IF(E$11&lt;&gt;"",IF(OR(B$11="No Filing Date","Enter Filing Date",E$11&lt;D$11),"Error in Filing Date",IF('R8a - Tax Reconciliation'!B$11="Original Filing",D58-I58,E58-I58)),IF(OR(B$11="No Filing Date","Enter Filing Date"),"Error in Filing Date",IF('R8a - Tax Reconciliation'!B$11="Original Filing",D58-I58,E58-I58)))</f>
        <v>0</v>
      </c>
      <c r="L58" s="739"/>
      <c r="M58" s="749"/>
      <c r="N58" s="791"/>
      <c r="O58" s="791"/>
      <c r="P58" s="791"/>
      <c r="Q58" s="791"/>
      <c r="R58" s="686"/>
      <c r="S58" s="686"/>
      <c r="T58" s="686"/>
      <c r="U58" s="686"/>
      <c r="V58" s="686"/>
      <c r="W58" s="686"/>
    </row>
    <row r="59" spans="1:23">
      <c r="A59" s="719" t="s">
        <v>590</v>
      </c>
      <c r="B59" s="720"/>
      <c r="C59" s="686" t="s">
        <v>559</v>
      </c>
      <c r="D59" s="519"/>
      <c r="E59" s="519"/>
      <c r="F59" s="521"/>
      <c r="G59" s="657"/>
      <c r="H59" s="519"/>
      <c r="I59" s="768">
        <f t="shared" si="4"/>
        <v>0</v>
      </c>
      <c r="J59" s="687"/>
      <c r="K59" s="766">
        <f>IF(E$11&lt;&gt;"",IF(OR(B$11="No Filing Date","Enter Filing Date",E$11&lt;D$11),"Error in Filing Date",IF('R8a - Tax Reconciliation'!B$11="Original Filing",D59-I59,E59-I59)),IF(OR(B$11="No Filing Date","Enter Filing Date"),"Error in Filing Date",IF('R8a - Tax Reconciliation'!B$11="Original Filing",D59-I59,E59-I59)))</f>
        <v>0</v>
      </c>
      <c r="L59" s="739"/>
      <c r="M59" s="749"/>
      <c r="N59" s="791"/>
      <c r="O59" s="791"/>
      <c r="P59" s="791"/>
      <c r="Q59" s="791"/>
      <c r="R59" s="686"/>
      <c r="S59" s="686"/>
      <c r="T59" s="686"/>
      <c r="U59" s="686"/>
      <c r="V59" s="686"/>
      <c r="W59" s="686"/>
    </row>
    <row r="60" spans="1:23">
      <c r="A60" s="719" t="s">
        <v>591</v>
      </c>
      <c r="B60" s="720"/>
      <c r="C60" s="686" t="s">
        <v>559</v>
      </c>
      <c r="D60" s="519"/>
      <c r="E60" s="519"/>
      <c r="F60" s="521"/>
      <c r="G60" s="657"/>
      <c r="H60" s="519"/>
      <c r="I60" s="768">
        <f t="shared" si="4"/>
        <v>0</v>
      </c>
      <c r="J60" s="687"/>
      <c r="K60" s="766">
        <f>IF(E$11&lt;&gt;"",IF(OR(B$11="No Filing Date","Enter Filing Date",E$11&lt;D$11),"Error in Filing Date",IF('R8a - Tax Reconciliation'!B$11="Original Filing",D60-I60,E60-I60)),IF(OR(B$11="No Filing Date","Enter Filing Date"),"Error in Filing Date",IF('R8a - Tax Reconciliation'!B$11="Original Filing",D60-I60,E60-I60)))</f>
        <v>0</v>
      </c>
      <c r="L60" s="739"/>
      <c r="M60" s="749"/>
    </row>
    <row r="61" spans="1:23">
      <c r="A61" s="719" t="s">
        <v>592</v>
      </c>
      <c r="B61" s="720"/>
      <c r="C61" s="686" t="s">
        <v>559</v>
      </c>
      <c r="D61" s="519"/>
      <c r="E61" s="519"/>
      <c r="F61" s="521"/>
      <c r="G61" s="657"/>
      <c r="H61" s="519"/>
      <c r="I61" s="768">
        <f t="shared" si="4"/>
        <v>0</v>
      </c>
      <c r="J61" s="687"/>
      <c r="K61" s="766">
        <f>IF(E$11&lt;&gt;"",IF(OR(B$11="No Filing Date","Enter Filing Date",E$11&lt;D$11),"Error in Filing Date",IF('R8a - Tax Reconciliation'!B$11="Original Filing",D61-I61,E61-I61)),IF(OR(B$11="No Filing Date","Enter Filing Date"),"Error in Filing Date",IF('R8a - Tax Reconciliation'!B$11="Original Filing",D61-I61,E61-I61)))</f>
        <v>0</v>
      </c>
      <c r="L61" s="739"/>
      <c r="M61" s="749"/>
    </row>
    <row r="62" spans="1:23">
      <c r="A62" s="698" t="s">
        <v>576</v>
      </c>
      <c r="B62" s="750"/>
      <c r="C62" s="686" t="s">
        <v>559</v>
      </c>
      <c r="D62" s="519"/>
      <c r="E62" s="519"/>
      <c r="F62" s="687"/>
      <c r="G62" s="657"/>
      <c r="H62" s="519"/>
      <c r="I62" s="768">
        <f t="shared" si="4"/>
        <v>0</v>
      </c>
      <c r="J62" s="687"/>
      <c r="K62" s="766">
        <f>IF(E$11&lt;&gt;"",IF(OR(B$11="No Filing Date","Enter Filing Date",E$11&lt;D$11),"Error in Filing Date",IF('R8a - Tax Reconciliation'!B$11="Original Filing",D62-I62,E62-I62)),IF(OR(B$11="No Filing Date","Enter Filing Date"),"Error in Filing Date",IF('R8a - Tax Reconciliation'!B$11="Original Filing",D62-I62,E62-I62)))</f>
        <v>0</v>
      </c>
      <c r="L62" s="739"/>
      <c r="M62" s="743"/>
    </row>
    <row r="63" spans="1:23">
      <c r="A63" s="747"/>
      <c r="B63" s="748"/>
      <c r="D63" s="688"/>
      <c r="E63" s="688"/>
      <c r="F63" s="688"/>
      <c r="G63" s="691"/>
      <c r="H63" s="688"/>
      <c r="I63" s="688"/>
      <c r="J63" s="688"/>
      <c r="K63" s="688"/>
      <c r="L63" s="745"/>
      <c r="M63" s="746"/>
      <c r="N63" s="741"/>
      <c r="O63" s="741"/>
      <c r="P63" s="741"/>
      <c r="Q63" s="741"/>
    </row>
    <row r="64" spans="1:23">
      <c r="A64" s="689" t="s">
        <v>593</v>
      </c>
      <c r="B64" s="748"/>
      <c r="D64" s="688"/>
      <c r="E64" s="688"/>
      <c r="F64" s="688"/>
      <c r="G64" s="691"/>
      <c r="H64" s="688"/>
      <c r="I64" s="688"/>
      <c r="J64" s="688"/>
      <c r="K64" s="688"/>
      <c r="L64" s="745"/>
      <c r="M64" s="746"/>
    </row>
    <row r="65" spans="1:18">
      <c r="A65" s="698" t="s">
        <v>594</v>
      </c>
      <c r="B65" s="750"/>
      <c r="C65" s="686" t="s">
        <v>559</v>
      </c>
      <c r="D65" s="519"/>
      <c r="E65" s="519"/>
      <c r="F65" s="687"/>
      <c r="G65" s="657" t="str">
        <f t="shared" ref="G65:G67" si="6">IF($B$4="ESO2", $B$4&amp; " " &amp;"PCFM - see Tax Allowance in 'System Operator' worksheet",  $B$4&amp; " " &amp;"PCFM - see Tax Allowance in 'Finance &amp;Tax' worksheet")</f>
        <v>GD2 PCFM - see Tax Allowance in 'Finance &amp;Tax' worksheet</v>
      </c>
      <c r="H65" s="625"/>
      <c r="I65" s="768">
        <f>1/(1-H$13)*H65</f>
        <v>0</v>
      </c>
      <c r="J65" s="752"/>
      <c r="K65" s="766">
        <f>IF(E$11&lt;&gt;"",IF(OR(B$11="No Filing Date","Enter Filing Date",E$11&lt;D$11),"Error in Filing Date",IF('R8a - Tax Reconciliation'!B$11="Original Filing",D65-I65,E65-I65)),IF(OR(B$11="No Filing Date","Enter Filing Date"),"Error in Filing Date",IF('R8a - Tax Reconciliation'!B$11="Original Filing",D65-I65,E65-I65)))</f>
        <v>0</v>
      </c>
      <c r="L65" s="739"/>
      <c r="M65" s="749"/>
      <c r="N65" s="741"/>
      <c r="O65" s="741"/>
      <c r="P65" s="741"/>
      <c r="Q65" s="741"/>
    </row>
    <row r="66" spans="1:18">
      <c r="A66" s="698" t="s">
        <v>595</v>
      </c>
      <c r="B66" s="750"/>
      <c r="C66" s="686" t="s">
        <v>559</v>
      </c>
      <c r="D66" s="519"/>
      <c r="E66" s="519"/>
      <c r="F66" s="687"/>
      <c r="G66" s="657" t="str">
        <f t="shared" si="6"/>
        <v>GD2 PCFM - see Tax Allowance in 'Finance &amp;Tax' worksheet</v>
      </c>
      <c r="H66" s="625"/>
      <c r="I66" s="768">
        <f t="shared" ref="I66:I67" si="7">1/(1-H$13)*H66</f>
        <v>0</v>
      </c>
      <c r="J66" s="752"/>
      <c r="K66" s="766">
        <f>IF(E$11&lt;&gt;"",IF(OR(B$11="No Filing Date","Enter Filing Date",E$11&lt;D$11),"Error in Filing Date",IF('R8a - Tax Reconciliation'!B$11="Original Filing",D66-I66,E66-I66)),IF(OR(B$11="No Filing Date","Enter Filing Date"),"Error in Filing Date",IF('R8a - Tax Reconciliation'!B$11="Original Filing",D66-I66,E66-I66)))</f>
        <v>0</v>
      </c>
      <c r="L66" s="739"/>
      <c r="M66" s="749"/>
      <c r="N66" s="741"/>
      <c r="O66" s="741"/>
      <c r="P66" s="741"/>
      <c r="Q66" s="741"/>
    </row>
    <row r="67" spans="1:18">
      <c r="A67" s="698" t="s">
        <v>596</v>
      </c>
      <c r="B67" s="750"/>
      <c r="C67" s="686" t="s">
        <v>559</v>
      </c>
      <c r="D67" s="519"/>
      <c r="E67" s="519"/>
      <c r="F67" s="687"/>
      <c r="G67" s="657" t="str">
        <f t="shared" si="6"/>
        <v>GD2 PCFM - see Tax Allowance in 'Finance &amp;Tax' worksheet</v>
      </c>
      <c r="H67" s="625"/>
      <c r="I67" s="768">
        <f t="shared" si="7"/>
        <v>0</v>
      </c>
      <c r="J67" s="752"/>
      <c r="K67" s="766">
        <f>IF(E$11&lt;&gt;"",IF(OR(B$11="No Filing Date","Enter Filing Date",E$11&lt;D$11),"Error in Filing Date",IF('R8a - Tax Reconciliation'!B$11="Original Filing",D67-I67,E67-I67)),IF(OR(B$11="No Filing Date","Enter Filing Date"),"Error in Filing Date",IF('R8a - Tax Reconciliation'!B$11="Original Filing",D67-I67,E67-I67)))</f>
        <v>0</v>
      </c>
      <c r="L67" s="739"/>
      <c r="M67" s="749"/>
      <c r="N67" s="741"/>
      <c r="O67" s="741"/>
      <c r="P67" s="741"/>
      <c r="Q67" s="741"/>
    </row>
    <row r="68" spans="1:18">
      <c r="A68" s="698" t="s">
        <v>597</v>
      </c>
      <c r="B68" s="750"/>
      <c r="C68" s="686" t="s">
        <v>559</v>
      </c>
      <c r="D68" s="519"/>
      <c r="E68" s="519"/>
      <c r="F68" s="687"/>
      <c r="G68" s="657"/>
      <c r="H68" s="519"/>
      <c r="I68" s="768">
        <f>1/(1-H$13)*H68</f>
        <v>0</v>
      </c>
      <c r="J68" s="687"/>
      <c r="K68" s="766">
        <f>IF(E$11&lt;&gt;"",IF(OR(B$11="No Filing Date","Enter Filing Date",E$11&lt;D$11),"Error in Filing Date",IF('R8a - Tax Reconciliation'!B$11="Original Filing",D68-I68,E68-I68)),IF(OR(B$11="No Filing Date","Enter Filing Date"),"Error in Filing Date",IF('R8a - Tax Reconciliation'!B$11="Original Filing",D68-I68,E68-I68)))</f>
        <v>0</v>
      </c>
      <c r="L68" s="739"/>
      <c r="M68" s="749"/>
      <c r="N68" s="741"/>
      <c r="O68" s="741"/>
      <c r="P68" s="741"/>
      <c r="Q68" s="741"/>
    </row>
    <row r="69" spans="1:18" s="686" customFormat="1">
      <c r="A69" s="698" t="s">
        <v>598</v>
      </c>
      <c r="B69" s="750"/>
      <c r="C69" s="686" t="s">
        <v>559</v>
      </c>
      <c r="D69" s="519"/>
      <c r="E69" s="519"/>
      <c r="F69" s="687"/>
      <c r="G69" s="657"/>
      <c r="H69" s="519"/>
      <c r="I69" s="768">
        <f>1/(1-H$13)*H69</f>
        <v>0</v>
      </c>
      <c r="J69" s="687"/>
      <c r="K69" s="766">
        <f>IF(E$11&lt;&gt;"",IF(OR(B$11="No Filing Date","Enter Filing Date",E$11&lt;D$11),"Error in Filing Date",IF('R8a - Tax Reconciliation'!B$11="Original Filing",D69-I69,E69-I69)),IF(OR(B$11="No Filing Date","Enter Filing Date"),"Error in Filing Date",IF('R8a - Tax Reconciliation'!B$11="Original Filing",D69-I69,E69-I69)))</f>
        <v>0</v>
      </c>
      <c r="L69" s="739"/>
      <c r="M69" s="749"/>
    </row>
    <row r="70" spans="1:18">
      <c r="A70" s="698" t="s">
        <v>599</v>
      </c>
      <c r="B70" s="750"/>
      <c r="C70" s="686" t="s">
        <v>559</v>
      </c>
      <c r="D70" s="519"/>
      <c r="E70" s="519"/>
      <c r="F70" s="687"/>
      <c r="G70" s="657"/>
      <c r="H70" s="519"/>
      <c r="I70" s="768">
        <f>1/(1-H$13)*H70</f>
        <v>0</v>
      </c>
      <c r="J70" s="687"/>
      <c r="K70" s="766">
        <f>IF(E$11&lt;&gt;"",IF(OR(B$11="No Filing Date","Enter Filing Date",E$11&lt;D$11),"Error in Filing Date",IF('R8a - Tax Reconciliation'!B$11="Original Filing",D70-I70,E70-I70)),IF(OR(B$11="No Filing Date","Enter Filing Date"),"Error in Filing Date",IF('R8a - Tax Reconciliation'!B$11="Original Filing",D70-I70,E70-I70)))</f>
        <v>0</v>
      </c>
      <c r="L70" s="739"/>
      <c r="M70" s="749"/>
      <c r="N70" s="741"/>
      <c r="O70" s="741"/>
      <c r="P70" s="741"/>
      <c r="Q70" s="741"/>
    </row>
    <row r="71" spans="1:18">
      <c r="A71" s="698" t="s">
        <v>576</v>
      </c>
      <c r="B71" s="750"/>
      <c r="C71" s="741" t="s">
        <v>559</v>
      </c>
      <c r="D71" s="519"/>
      <c r="E71" s="519"/>
      <c r="F71" s="687"/>
      <c r="G71" s="657"/>
      <c r="H71" s="519"/>
      <c r="I71" s="768">
        <f>1/(1-H$13)*H71</f>
        <v>0</v>
      </c>
      <c r="J71" s="687"/>
      <c r="K71" s="766">
        <f>IF(E$11&lt;&gt;"",IF(OR(B$11="No Filing Date","Enter Filing Date",E$11&lt;D$11),"Error in Filing Date",IF('R8a - Tax Reconciliation'!B$11="Original Filing",D71-I71,E71-I71)),IF(OR(B$11="No Filing Date","Enter Filing Date"),"Error in Filing Date",IF('R8a - Tax Reconciliation'!B$11="Original Filing",D71-I71,E71-I71)))</f>
        <v>0</v>
      </c>
      <c r="L71" s="739"/>
      <c r="M71" s="743"/>
      <c r="N71" s="741"/>
      <c r="O71" s="741"/>
      <c r="P71" s="741"/>
      <c r="Q71" s="741"/>
    </row>
    <row r="72" spans="1:18" s="686" customFormat="1">
      <c r="A72" s="861"/>
      <c r="B72" s="862"/>
      <c r="C72" s="673"/>
      <c r="D72" s="688"/>
      <c r="E72" s="688"/>
      <c r="F72" s="688"/>
      <c r="G72" s="691"/>
      <c r="H72" s="688"/>
      <c r="I72" s="688"/>
      <c r="J72" s="688"/>
      <c r="K72" s="688"/>
      <c r="L72" s="745"/>
      <c r="M72" s="746"/>
    </row>
    <row r="73" spans="1:18" s="686" customFormat="1">
      <c r="A73" s="855" t="s">
        <v>600</v>
      </c>
      <c r="B73" s="856"/>
      <c r="C73" s="673"/>
      <c r="D73" s="688"/>
      <c r="E73" s="688"/>
      <c r="F73" s="688"/>
      <c r="G73" s="691"/>
      <c r="H73" s="688"/>
      <c r="I73" s="688"/>
      <c r="J73" s="688"/>
      <c r="K73" s="688"/>
      <c r="L73" s="745"/>
      <c r="M73" s="746"/>
    </row>
    <row r="74" spans="1:18">
      <c r="A74" s="685" t="s">
        <v>601</v>
      </c>
      <c r="B74" s="722"/>
      <c r="C74" s="686" t="s">
        <v>559</v>
      </c>
      <c r="D74" s="519"/>
      <c r="E74" s="519"/>
      <c r="F74" s="521"/>
      <c r="G74" s="657"/>
      <c r="H74" s="519"/>
      <c r="I74" s="768">
        <f t="shared" ref="I74:I80" si="8">1/(1-H$13)*H74</f>
        <v>0</v>
      </c>
      <c r="J74" s="687"/>
      <c r="K74" s="766">
        <f>IF(E$11&lt;&gt;"",IF(OR(B$11="No Filing Date","Enter Filing Date",E$11&lt;D$11),"Error in Filing Date",IF('R8a - Tax Reconciliation'!B$11="Original Filing",D74-I74,E74-I74)),IF(OR(B$11="No Filing Date","Enter Filing Date"),"Error in Filing Date",IF('R8a - Tax Reconciliation'!B$11="Original Filing",D74-I74,E74-I74)))</f>
        <v>0</v>
      </c>
      <c r="L74" s="739"/>
      <c r="M74" s="749"/>
      <c r="N74" s="741"/>
      <c r="O74" s="741"/>
      <c r="P74" s="741"/>
      <c r="Q74" s="741"/>
    </row>
    <row r="75" spans="1:18">
      <c r="A75" s="685" t="s">
        <v>602</v>
      </c>
      <c r="B75" s="722"/>
      <c r="C75" s="686" t="s">
        <v>559</v>
      </c>
      <c r="D75" s="519"/>
      <c r="E75" s="519"/>
      <c r="F75" s="521"/>
      <c r="G75" s="657"/>
      <c r="H75" s="519"/>
      <c r="I75" s="768">
        <f t="shared" si="8"/>
        <v>0</v>
      </c>
      <c r="J75" s="687"/>
      <c r="K75" s="766">
        <f>IF(E$11&lt;&gt;"",IF(OR(B$11="No Filing Date","Enter Filing Date",E$11&lt;D$11),"Error in Filing Date",IF('R8a - Tax Reconciliation'!B$11="Original Filing",D75-I75,E75-I75)),IF(OR(B$11="No Filing Date","Enter Filing Date"),"Error in Filing Date",IF('R8a - Tax Reconciliation'!B$11="Original Filing",D75-I75,E75-I75)))</f>
        <v>0</v>
      </c>
      <c r="L75" s="739"/>
      <c r="M75" s="749"/>
      <c r="N75" s="741"/>
      <c r="O75" s="741"/>
      <c r="P75" s="741"/>
      <c r="Q75" s="741"/>
    </row>
    <row r="76" spans="1:18">
      <c r="A76" s="719" t="s">
        <v>603</v>
      </c>
      <c r="B76" s="720"/>
      <c r="C76" s="686" t="s">
        <v>559</v>
      </c>
      <c r="D76" s="519"/>
      <c r="E76" s="519"/>
      <c r="F76" s="521"/>
      <c r="G76" s="657"/>
      <c r="H76" s="519"/>
      <c r="I76" s="768">
        <f t="shared" si="8"/>
        <v>0</v>
      </c>
      <c r="J76" s="687"/>
      <c r="K76" s="766">
        <f>IF(E$11&lt;&gt;"",IF(OR(B$11="No Filing Date","Enter Filing Date",E$11&lt;D$11),"Error in Filing Date",IF('R8a - Tax Reconciliation'!B$11="Original Filing",D76-I76,E76-I76)),IF(OR(B$11="No Filing Date","Enter Filing Date"),"Error in Filing Date",IF('R8a - Tax Reconciliation'!B$11="Original Filing",D76-I76,E76-I76)))</f>
        <v>0</v>
      </c>
      <c r="L76" s="739"/>
      <c r="M76" s="749"/>
      <c r="N76" s="741"/>
      <c r="O76" s="741"/>
      <c r="P76" s="741"/>
      <c r="Q76" s="741"/>
    </row>
    <row r="77" spans="1:18">
      <c r="A77" s="719" t="s">
        <v>604</v>
      </c>
      <c r="B77" s="720"/>
      <c r="C77" s="686" t="s">
        <v>559</v>
      </c>
      <c r="D77" s="519"/>
      <c r="E77" s="519"/>
      <c r="F77" s="521"/>
      <c r="G77" s="657"/>
      <c r="H77" s="519"/>
      <c r="I77" s="768">
        <f t="shared" si="8"/>
        <v>0</v>
      </c>
      <c r="J77" s="687"/>
      <c r="K77" s="766">
        <f>IF(E$11&lt;&gt;"",IF(OR(B$11="No Filing Date","Enter Filing Date",E$11&lt;D$11),"Error in Filing Date",IF('R8a - Tax Reconciliation'!B$11="Original Filing",D77-I77,E77-I77)),IF(OR(B$11="No Filing Date","Enter Filing Date"),"Error in Filing Date",IF('R8a - Tax Reconciliation'!B$11="Original Filing",D77-I77,E77-I77)))</f>
        <v>0</v>
      </c>
      <c r="L77" s="739"/>
      <c r="M77" s="749"/>
      <c r="N77" s="741"/>
      <c r="O77" s="741"/>
      <c r="P77" s="741"/>
      <c r="Q77" s="741"/>
    </row>
    <row r="78" spans="1:18">
      <c r="A78" s="719" t="s">
        <v>605</v>
      </c>
      <c r="B78" s="720"/>
      <c r="C78" s="686" t="s">
        <v>559</v>
      </c>
      <c r="D78" s="519"/>
      <c r="E78" s="519"/>
      <c r="F78" s="521"/>
      <c r="G78" s="657"/>
      <c r="H78" s="519"/>
      <c r="I78" s="768">
        <f t="shared" si="8"/>
        <v>0</v>
      </c>
      <c r="J78" s="687"/>
      <c r="K78" s="766">
        <f>IF(E$11&lt;&gt;"",IF(OR(B$11="No Filing Date","Enter Filing Date",E$11&lt;D$11),"Error in Filing Date",IF('R8a - Tax Reconciliation'!B$11="Original Filing",D78-I78,E78-I78)),IF(OR(B$11="No Filing Date","Enter Filing Date"),"Error in Filing Date",IF('R8a - Tax Reconciliation'!B$11="Original Filing",D78-I78,E78-I78)))</f>
        <v>0</v>
      </c>
      <c r="L78" s="739"/>
      <c r="M78" s="749"/>
      <c r="N78" s="686"/>
      <c r="O78" s="686"/>
      <c r="P78" s="686"/>
      <c r="Q78" s="686"/>
      <c r="R78" s="686"/>
    </row>
    <row r="79" spans="1:18">
      <c r="A79" s="719" t="s">
        <v>606</v>
      </c>
      <c r="B79" s="720"/>
      <c r="C79" s="686" t="s">
        <v>559</v>
      </c>
      <c r="D79" s="519"/>
      <c r="E79" s="519"/>
      <c r="F79" s="521"/>
      <c r="G79" s="657"/>
      <c r="H79" s="519"/>
      <c r="I79" s="768">
        <f t="shared" si="8"/>
        <v>0</v>
      </c>
      <c r="J79" s="687"/>
      <c r="K79" s="766">
        <f>IF(E$11&lt;&gt;"",IF(OR(B$11="No Filing Date","Enter Filing Date",E$11&lt;D$11),"Error in Filing Date",IF('R8a - Tax Reconciliation'!B$11="Original Filing",D79-I79,E79-I79)),IF(OR(B$11="No Filing Date","Enter Filing Date"),"Error in Filing Date",IF('R8a - Tax Reconciliation'!B$11="Original Filing",D79-I79,E79-I79)))</f>
        <v>0</v>
      </c>
      <c r="L79" s="739"/>
      <c r="M79" s="749"/>
      <c r="N79" s="741"/>
      <c r="O79" s="741"/>
      <c r="P79" s="741"/>
      <c r="Q79" s="741"/>
    </row>
    <row r="80" spans="1:18">
      <c r="A80" s="734" t="s">
        <v>576</v>
      </c>
      <c r="B80" s="735"/>
      <c r="C80" s="686" t="s">
        <v>559</v>
      </c>
      <c r="D80" s="519"/>
      <c r="E80" s="519"/>
      <c r="F80" s="521"/>
      <c r="G80" s="657"/>
      <c r="H80" s="519"/>
      <c r="I80" s="768">
        <f t="shared" si="8"/>
        <v>0</v>
      </c>
      <c r="J80" s="687"/>
      <c r="K80" s="766">
        <f>IF(E$11&lt;&gt;"",IF(OR(B$11="No Filing Date","Enter Filing Date",E$11&lt;D$11),"Error in Filing Date",IF('R8a - Tax Reconciliation'!B$11="Original Filing",D80-I80,E80-I80)),IF(OR(B$11="No Filing Date","Enter Filing Date"),"Error in Filing Date",IF('R8a - Tax Reconciliation'!B$11="Original Filing",D80-I80,E80-I80)))</f>
        <v>0</v>
      </c>
      <c r="L80" s="739"/>
      <c r="M80" s="743"/>
      <c r="N80" s="741"/>
      <c r="O80" s="741"/>
      <c r="P80" s="741"/>
      <c r="Q80" s="741"/>
    </row>
    <row r="81" spans="1:18">
      <c r="D81" s="753"/>
      <c r="E81" s="753"/>
      <c r="F81" s="688"/>
      <c r="G81" s="691"/>
      <c r="H81" s="753"/>
      <c r="I81" s="688"/>
      <c r="J81" s="688"/>
      <c r="K81" s="688"/>
      <c r="L81" s="745"/>
      <c r="M81" s="746"/>
      <c r="N81" s="741"/>
      <c r="O81" s="741"/>
      <c r="P81" s="741"/>
      <c r="Q81" s="741"/>
    </row>
    <row r="82" spans="1:18">
      <c r="A82" s="863" t="s">
        <v>607</v>
      </c>
      <c r="B82" s="864"/>
      <c r="C82" s="750" t="s">
        <v>559</v>
      </c>
      <c r="D82" s="732">
        <f>SUM(D45:D81)</f>
        <v>0</v>
      </c>
      <c r="E82" s="732">
        <f>SUM(E45:E81)</f>
        <v>0</v>
      </c>
      <c r="F82" s="520"/>
      <c r="G82" s="754" t="s">
        <v>608</v>
      </c>
      <c r="H82" s="732">
        <f>SUM(H45:H81)</f>
        <v>0</v>
      </c>
      <c r="I82" s="732">
        <f>SUM(I45:I81)</f>
        <v>0</v>
      </c>
      <c r="J82" s="752"/>
      <c r="K82" s="727">
        <f>IF(E$11&lt;&gt;"",IF(OR(B$11="No Filing Date","Enter Filing Date",E$11&lt;D$11),"Error in Filing Date",IF('R8a - Tax Reconciliation'!B$11="Original Filing",D82-I82,E82-I82)),IF(OR(B$11="No Filing Date","Enter Filing Date"),"Error in Filing Date",IF('R8a - Tax Reconciliation'!B$11="Original Filing",D82-I82,E82-I82)))</f>
        <v>0</v>
      </c>
      <c r="L82" s="739"/>
      <c r="M82" s="743"/>
      <c r="N82" s="792"/>
      <c r="O82" s="792"/>
      <c r="P82" s="792"/>
      <c r="Q82" s="792"/>
    </row>
    <row r="83" spans="1:18">
      <c r="A83" s="755"/>
      <c r="B83" s="755"/>
      <c r="C83" s="686"/>
      <c r="D83" s="699"/>
      <c r="E83" s="699"/>
      <c r="F83" s="521"/>
      <c r="G83" s="521"/>
      <c r="H83" s="699"/>
      <c r="I83" s="521"/>
      <c r="J83" s="687"/>
      <c r="K83" s="756"/>
      <c r="L83" s="739"/>
      <c r="M83" s="740"/>
      <c r="N83" s="792"/>
      <c r="O83" s="792"/>
      <c r="P83" s="792"/>
      <c r="Q83" s="792"/>
    </row>
    <row r="84" spans="1:18">
      <c r="A84" s="793" t="s">
        <v>609</v>
      </c>
      <c r="B84" s="796"/>
      <c r="C84" s="686"/>
      <c r="D84" s="521"/>
      <c r="E84" s="521"/>
      <c r="F84" s="521"/>
      <c r="G84" s="521"/>
      <c r="H84" s="521"/>
      <c r="I84" s="521"/>
      <c r="J84" s="687"/>
      <c r="K84" s="687"/>
      <c r="L84" s="739"/>
      <c r="M84" s="740"/>
      <c r="N84" s="792"/>
      <c r="O84" s="792"/>
      <c r="P84" s="792"/>
      <c r="Q84" s="792"/>
    </row>
    <row r="85" spans="1:18">
      <c r="A85" s="757"/>
      <c r="B85" s="758"/>
      <c r="C85" s="686"/>
      <c r="D85" s="521"/>
      <c r="E85" s="521"/>
      <c r="F85" s="521"/>
      <c r="G85" s="521"/>
      <c r="H85" s="521"/>
      <c r="I85" s="521"/>
      <c r="J85" s="687"/>
      <c r="K85" s="687"/>
      <c r="L85" s="739"/>
      <c r="M85" s="740"/>
      <c r="N85" s="792"/>
      <c r="O85" s="792"/>
      <c r="P85" s="792"/>
      <c r="Q85" s="792"/>
      <c r="R85" s="686"/>
    </row>
    <row r="86" spans="1:18">
      <c r="A86" s="721" t="s">
        <v>610</v>
      </c>
      <c r="B86" s="759"/>
      <c r="D86" s="517"/>
      <c r="E86" s="518"/>
      <c r="F86" s="517"/>
      <c r="G86" s="658"/>
      <c r="H86" s="518"/>
      <c r="I86" s="517"/>
      <c r="J86" s="688"/>
      <c r="K86" s="688"/>
      <c r="L86" s="745"/>
      <c r="M86" s="760"/>
      <c r="N86" s="792"/>
      <c r="O86" s="792"/>
      <c r="P86" s="792"/>
      <c r="Q86" s="792"/>
    </row>
    <row r="87" spans="1:18" s="686" customFormat="1">
      <c r="A87" s="719" t="s">
        <v>611</v>
      </c>
      <c r="B87" s="758"/>
      <c r="C87" s="686" t="s">
        <v>559</v>
      </c>
      <c r="D87" s="519"/>
      <c r="E87" s="519"/>
      <c r="F87" s="521"/>
      <c r="G87" s="657" t="str">
        <f t="shared" ref="G87:G91" si="9">IF($B$4="ESO2", $B$4&amp; " " &amp;"PCFM - see Tax Allowance in 'System Operator' worksheet",  $B$4&amp; " " &amp;"PCFM - see Tax Allowance in 'Finance &amp;Tax' worksheet")</f>
        <v>GD2 PCFM - see Tax Allowance in 'Finance &amp;Tax' worksheet</v>
      </c>
      <c r="H87" s="625"/>
      <c r="I87" s="768">
        <f t="shared" ref="I87:I91" si="10">1/(1-H$13)*H87</f>
        <v>0</v>
      </c>
      <c r="J87" s="687"/>
      <c r="K87" s="766">
        <f>IF(E$11&lt;&gt;"",IF(OR(B$11="No Filing Date","Enter Filing Date",E$11&lt;D$11),"Error in Filing Date",IF('R8a - Tax Reconciliation'!B$11="Original Filing",D87-I87,E87-I87)),IF(OR(B$11="No Filing Date","Enter Filing Date"),"Error in Filing Date",IF('R8a - Tax Reconciliation'!B$11="Original Filing",D87-I87,E87-I87)))</f>
        <v>0</v>
      </c>
      <c r="L87" s="739"/>
      <c r="M87" s="749"/>
      <c r="N87" s="792"/>
      <c r="O87" s="792"/>
      <c r="P87" s="792"/>
      <c r="Q87" s="792"/>
    </row>
    <row r="88" spans="1:18" s="686" customFormat="1">
      <c r="A88" s="719" t="s">
        <v>612</v>
      </c>
      <c r="B88" s="758"/>
      <c r="C88" s="686" t="s">
        <v>559</v>
      </c>
      <c r="D88" s="519"/>
      <c r="E88" s="519"/>
      <c r="F88" s="521"/>
      <c r="G88" s="657" t="str">
        <f t="shared" si="9"/>
        <v>GD2 PCFM - see Tax Allowance in 'Finance &amp;Tax' worksheet</v>
      </c>
      <c r="H88" s="625"/>
      <c r="I88" s="768">
        <f t="shared" si="10"/>
        <v>0</v>
      </c>
      <c r="J88" s="687"/>
      <c r="K88" s="766">
        <f>IF(E$11&lt;&gt;"",IF(OR(B$11="No Filing Date","Enter Filing Date",E$11&lt;D$11),"Error in Filing Date",IF('R8a - Tax Reconciliation'!B$11="Original Filing",D88-I88,E88-I88)),IF(OR(B$11="No Filing Date","Enter Filing Date"),"Error in Filing Date",IF('R8a - Tax Reconciliation'!B$11="Original Filing",D88-I88,E88-I88)))</f>
        <v>0</v>
      </c>
      <c r="L88" s="739"/>
      <c r="M88" s="749"/>
      <c r="N88" s="792"/>
      <c r="O88" s="792"/>
      <c r="P88" s="792"/>
      <c r="Q88" s="792"/>
    </row>
    <row r="89" spans="1:18" s="686" customFormat="1">
      <c r="A89" s="719" t="s">
        <v>613</v>
      </c>
      <c r="B89" s="758"/>
      <c r="C89" s="686" t="s">
        <v>559</v>
      </c>
      <c r="D89" s="519"/>
      <c r="E89" s="519"/>
      <c r="F89" s="521"/>
      <c r="G89" s="657" t="str">
        <f t="shared" si="9"/>
        <v>GD2 PCFM - see Tax Allowance in 'Finance &amp;Tax' worksheet</v>
      </c>
      <c r="H89" s="625"/>
      <c r="I89" s="768">
        <f t="shared" si="10"/>
        <v>0</v>
      </c>
      <c r="J89" s="687"/>
      <c r="K89" s="766">
        <f>IF(E$11&lt;&gt;"",IF(OR(B$11="No Filing Date","Enter Filing Date",E$11&lt;D$11),"Error in Filing Date",IF('R8a - Tax Reconciliation'!B$11="Original Filing",D89-I89,E89-I89)),IF(OR(B$11="No Filing Date","Enter Filing Date"),"Error in Filing Date",IF('R8a - Tax Reconciliation'!B$11="Original Filing",D89-I89,E89-I89)))</f>
        <v>0</v>
      </c>
      <c r="L89" s="739"/>
      <c r="M89" s="749"/>
      <c r="N89" s="792"/>
      <c r="O89" s="792"/>
      <c r="P89" s="792"/>
      <c r="Q89" s="792"/>
    </row>
    <row r="90" spans="1:18" s="686" customFormat="1">
      <c r="A90" s="719" t="s">
        <v>614</v>
      </c>
      <c r="B90" s="758"/>
      <c r="C90" s="686" t="s">
        <v>559</v>
      </c>
      <c r="D90" s="519"/>
      <c r="E90" s="519"/>
      <c r="F90" s="521"/>
      <c r="G90" s="657" t="str">
        <f t="shared" si="9"/>
        <v>GD2 PCFM - see Tax Allowance in 'Finance &amp;Tax' worksheet</v>
      </c>
      <c r="H90" s="625"/>
      <c r="I90" s="768">
        <f t="shared" si="10"/>
        <v>0</v>
      </c>
      <c r="J90" s="687"/>
      <c r="K90" s="766">
        <f>IF(E$11&lt;&gt;"",IF(OR(B$11="No Filing Date","Enter Filing Date",E$11&lt;D$11),"Error in Filing Date",IF('R8a - Tax Reconciliation'!B$11="Original Filing",D90-I90,E90-I90)),IF(OR(B$11="No Filing Date","Enter Filing Date"),"Error in Filing Date",IF('R8a - Tax Reconciliation'!B$11="Original Filing",D90-I90,E90-I90)))</f>
        <v>0</v>
      </c>
      <c r="L90" s="739"/>
      <c r="M90" s="749"/>
      <c r="N90" s="792"/>
      <c r="O90" s="792"/>
      <c r="P90" s="792"/>
      <c r="Q90" s="792"/>
    </row>
    <row r="91" spans="1:18" s="686" customFormat="1">
      <c r="A91" s="719" t="s">
        <v>615</v>
      </c>
      <c r="B91" s="758"/>
      <c r="C91" s="686" t="s">
        <v>559</v>
      </c>
      <c r="D91" s="519"/>
      <c r="E91" s="519"/>
      <c r="F91" s="521"/>
      <c r="G91" s="657" t="str">
        <f t="shared" si="9"/>
        <v>GD2 PCFM - see Tax Allowance in 'Finance &amp;Tax' worksheet</v>
      </c>
      <c r="H91" s="625"/>
      <c r="I91" s="768">
        <f t="shared" si="10"/>
        <v>0</v>
      </c>
      <c r="J91" s="687"/>
      <c r="K91" s="766">
        <f>IF(E$11&lt;&gt;"",IF(OR(B$11="No Filing Date","Enter Filing Date",E$11&lt;D$11),"Error in Filing Date",IF('R8a - Tax Reconciliation'!B$11="Original Filing",D91-I91,E91-I91)),IF(OR(B$11="No Filing Date","Enter Filing Date"),"Error in Filing Date",IF('R8a - Tax Reconciliation'!B$11="Original Filing",D91-I91,E91-I91)))</f>
        <v>0</v>
      </c>
      <c r="L91" s="739"/>
      <c r="M91" s="749"/>
      <c r="N91" s="792"/>
      <c r="O91" s="792"/>
      <c r="P91" s="792"/>
      <c r="Q91" s="792"/>
    </row>
    <row r="92" spans="1:18" s="686" customFormat="1">
      <c r="A92" s="734" t="s">
        <v>616</v>
      </c>
      <c r="B92" s="735"/>
      <c r="C92" s="686" t="s">
        <v>559</v>
      </c>
      <c r="D92" s="519"/>
      <c r="E92" s="519"/>
      <c r="F92" s="521"/>
      <c r="G92" s="657"/>
      <c r="H92" s="519"/>
      <c r="I92" s="768">
        <f>1/(1-H$13)*H92</f>
        <v>0</v>
      </c>
      <c r="J92" s="687"/>
      <c r="K92" s="766">
        <f>IF(E$11&lt;&gt;"",IF(OR(B$11="No Filing Date","Enter Filing Date",E$11&lt;D$11),"Error in Filing Date",IF('R8a - Tax Reconciliation'!B$11="Original Filing",D92-I92,E92-I92)),IF(OR(B$11="No Filing Date","Enter Filing Date"),"Error in Filing Date",IF('R8a - Tax Reconciliation'!B$11="Original Filing",D92-I92,E92-I92)))</f>
        <v>0</v>
      </c>
      <c r="L92" s="739"/>
      <c r="M92" s="743"/>
      <c r="N92" s="792"/>
      <c r="O92" s="792"/>
      <c r="P92" s="792"/>
      <c r="Q92" s="792"/>
    </row>
    <row r="93" spans="1:18" s="686" customFormat="1">
      <c r="A93" s="673"/>
      <c r="B93" s="673"/>
      <c r="C93" s="673"/>
      <c r="D93" s="753"/>
      <c r="E93" s="753"/>
      <c r="F93" s="688"/>
      <c r="G93" s="691"/>
      <c r="H93" s="753"/>
      <c r="I93" s="688"/>
      <c r="J93" s="688"/>
      <c r="K93" s="753"/>
      <c r="L93" s="745"/>
      <c r="M93" s="746"/>
      <c r="N93" s="792"/>
      <c r="O93" s="792"/>
      <c r="P93" s="792"/>
      <c r="Q93" s="792"/>
    </row>
    <row r="94" spans="1:18" s="686" customFormat="1">
      <c r="A94" s="733" t="s">
        <v>617</v>
      </c>
      <c r="B94" s="761"/>
      <c r="C94" s="750" t="s">
        <v>559</v>
      </c>
      <c r="D94" s="727">
        <f>SUM(D82:D93)</f>
        <v>0</v>
      </c>
      <c r="E94" s="727">
        <f>SUM(E82:E93)</f>
        <v>0</v>
      </c>
      <c r="F94" s="762"/>
      <c r="G94" s="754" t="s">
        <v>618</v>
      </c>
      <c r="H94" s="727">
        <f>SUM(H82:H93)</f>
        <v>0</v>
      </c>
      <c r="I94" s="727">
        <f>SUM(I82:I93)</f>
        <v>0</v>
      </c>
      <c r="J94" s="752"/>
      <c r="K94" s="727">
        <f>IF(E$11&lt;&gt;"",IF(OR(B$11="No Filing Date","Enter Filing Date",E$11&lt;D$11),"Error in Filing Date",IF('R8a - Tax Reconciliation'!B$11="Original Filing",D94-I94,E94-I94)),IF(OR(B$11="No Filing Date","Enter Filing Date"),"Error in Filing Date",IF('R8a - Tax Reconciliation'!B$11="Original Filing",D94-I94,E94-I94)))</f>
        <v>0</v>
      </c>
      <c r="L94" s="739"/>
      <c r="M94" s="743"/>
      <c r="N94" s="792"/>
      <c r="O94" s="792"/>
      <c r="P94" s="792"/>
      <c r="Q94" s="792"/>
    </row>
    <row r="95" spans="1:18" s="686" customFormat="1">
      <c r="A95" s="763"/>
      <c r="B95" s="764"/>
      <c r="C95" s="673"/>
      <c r="D95" s="688"/>
      <c r="E95" s="688"/>
      <c r="F95" s="688"/>
      <c r="G95" s="688"/>
      <c r="H95" s="691"/>
      <c r="I95" s="691"/>
      <c r="J95" s="691"/>
      <c r="K95" s="691"/>
      <c r="L95" s="745"/>
      <c r="M95" s="746"/>
      <c r="N95" s="792"/>
      <c r="O95" s="792"/>
      <c r="P95" s="792"/>
      <c r="Q95" s="792"/>
    </row>
    <row r="96" spans="1:18" s="686" customFormat="1">
      <c r="A96" s="736" t="s">
        <v>619</v>
      </c>
      <c r="B96" s="765"/>
      <c r="C96" s="741" t="s">
        <v>559</v>
      </c>
      <c r="D96" s="727">
        <f>+D94*D13</f>
        <v>0</v>
      </c>
      <c r="E96" s="727">
        <f>+E94*E13</f>
        <v>0</v>
      </c>
      <c r="F96" s="687"/>
      <c r="G96" s="742" t="s">
        <v>620</v>
      </c>
      <c r="H96" s="727">
        <f>+H94*H13</f>
        <v>0</v>
      </c>
      <c r="I96" s="727">
        <f>+I94*I13</f>
        <v>0</v>
      </c>
      <c r="J96" s="687"/>
      <c r="K96" s="691"/>
      <c r="L96" s="691"/>
      <c r="M96" s="691"/>
      <c r="N96" s="791"/>
      <c r="O96" s="791"/>
      <c r="P96" s="791"/>
      <c r="Q96" s="791"/>
    </row>
    <row r="97" spans="1:13" s="742" customFormat="1">
      <c r="H97" s="773"/>
      <c r="I97" s="688"/>
    </row>
    <row r="98" spans="1:13">
      <c r="A98" s="854" t="s">
        <v>621</v>
      </c>
      <c r="B98" s="854"/>
      <c r="C98" s="673" t="s">
        <v>500</v>
      </c>
      <c r="D98" s="700">
        <f>INDEX(Data!$D$26:$K$26,MATCH($B$6,Data!$D$25:$K$25,0))</f>
        <v>1.0383269111980469</v>
      </c>
      <c r="E98" s="700">
        <f>INDEX(Data!$D$26:$K$26,MATCH($B$6,Data!$D$25:$K$25,0))</f>
        <v>1.0383269111980469</v>
      </c>
      <c r="F98" s="701"/>
      <c r="G98" s="658" t="s">
        <v>622</v>
      </c>
      <c r="H98" s="700">
        <f>INDEX(Data!$D$26:$K$26,MATCH($B$6,Data!$D$25:$K$25,0))</f>
        <v>1.0383269111980469</v>
      </c>
      <c r="I98" s="700">
        <f>INDEX(Data!$D$26:$K$26,MATCH($B$6,Data!$D$25:$K$25,0))</f>
        <v>1.0383269111980469</v>
      </c>
      <c r="J98" s="701"/>
      <c r="K98" s="701"/>
    </row>
    <row r="99" spans="1:13" ht="21" customHeight="1">
      <c r="A99" s="702" t="s">
        <v>623</v>
      </c>
      <c r="B99" s="703"/>
      <c r="C99" s="737" t="str">
        <f>IF($B$4="ED","20/21 Prices","18/19 Prices")</f>
        <v>18/19 Prices</v>
      </c>
      <c r="D99" s="704">
        <f>D96/D98</f>
        <v>0</v>
      </c>
      <c r="E99" s="704">
        <f>E96/E98</f>
        <v>0</v>
      </c>
      <c r="F99" s="705"/>
      <c r="G99" s="706" t="s">
        <v>624</v>
      </c>
      <c r="H99" s="704">
        <f>H96/H98</f>
        <v>0</v>
      </c>
      <c r="I99" s="704">
        <f>I96/I98</f>
        <v>0</v>
      </c>
      <c r="J99" s="705"/>
      <c r="K99" s="727">
        <f>IF(OR(B$11="No Filing Date","Enter Filing Date"),"Error in Filing Date",IF('R8a - Tax Reconciliation'!B$11="Original Filing",D99-I99,E99-I99))</f>
        <v>0</v>
      </c>
      <c r="M99" s="749"/>
    </row>
    <row r="100" spans="1:13">
      <c r="C100" s="707"/>
      <c r="D100" s="688"/>
      <c r="E100" s="688"/>
      <c r="F100" s="688"/>
      <c r="G100" s="691"/>
      <c r="H100" s="688"/>
      <c r="I100" s="708"/>
      <c r="J100" s="688"/>
      <c r="K100" s="688"/>
    </row>
    <row r="101" spans="1:13">
      <c r="D101" s="708"/>
      <c r="E101" s="708"/>
      <c r="F101" s="708"/>
      <c r="G101" s="709"/>
      <c r="H101" s="708"/>
      <c r="J101" s="708"/>
      <c r="K101" s="708"/>
    </row>
  </sheetData>
  <mergeCells count="20">
    <mergeCell ref="M8:M9"/>
    <mergeCell ref="A13:B13"/>
    <mergeCell ref="A27:B27"/>
    <mergeCell ref="A28:B28"/>
    <mergeCell ref="A7:B7"/>
    <mergeCell ref="A8:B9"/>
    <mergeCell ref="C8:C9"/>
    <mergeCell ref="G8:G9"/>
    <mergeCell ref="A17:B17"/>
    <mergeCell ref="A98:B98"/>
    <mergeCell ref="A73:B73"/>
    <mergeCell ref="A36:B36"/>
    <mergeCell ref="A37:B37"/>
    <mergeCell ref="A40:B40"/>
    <mergeCell ref="A42:B42"/>
    <mergeCell ref="A43:B43"/>
    <mergeCell ref="A39:B39"/>
    <mergeCell ref="A72:B72"/>
    <mergeCell ref="A82:B82"/>
    <mergeCell ref="A55:B55"/>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zoomScaleNormal="100" workbookViewId="0">
      <pane ySplit="3" topLeftCell="A4" activePane="bottomLeft" state="frozen"/>
      <selection activeCell="B3" sqref="B3:F3"/>
      <selection pane="bottomLeft" activeCell="D13" sqref="D13"/>
    </sheetView>
  </sheetViews>
  <sheetFormatPr defaultRowHeight="12.4"/>
  <cols>
    <col min="1" max="1" width="8.3515625" customWidth="1"/>
    <col min="2" max="2" width="44.46875" customWidth="1"/>
    <col min="3" max="3" width="15.1171875" customWidth="1"/>
    <col min="4" max="4" width="14.76171875" customWidth="1"/>
    <col min="5" max="5" width="14.87890625" customWidth="1"/>
    <col min="6" max="6" width="14.3515625" customWidth="1"/>
    <col min="7" max="8" width="11.1171875" customWidth="1"/>
    <col min="9" max="9" width="5" customWidth="1"/>
    <col min="14" max="14" width="13.1171875" customWidth="1"/>
  </cols>
  <sheetData>
    <row r="1" spans="1:15" ht="20.65">
      <c r="A1" s="777" t="s">
        <v>184</v>
      </c>
      <c r="B1" s="397"/>
      <c r="C1" s="398"/>
      <c r="D1" s="398"/>
      <c r="E1" s="398"/>
      <c r="F1" s="398"/>
      <c r="G1" s="398"/>
      <c r="H1" s="398"/>
      <c r="I1" s="786"/>
    </row>
    <row r="2" spans="1:15" ht="20.65">
      <c r="A2" s="295" t="str">
        <f>Licensee</f>
        <v>Cadent-NW</v>
      </c>
      <c r="B2" s="290"/>
      <c r="C2" s="16"/>
      <c r="D2" s="16"/>
      <c r="E2" s="16"/>
      <c r="F2" s="16"/>
      <c r="G2" s="16"/>
      <c r="H2" s="16"/>
      <c r="I2" s="65"/>
    </row>
    <row r="3" spans="1:15" ht="20.65">
      <c r="A3" s="290">
        <f>Reporting_Year</f>
        <v>2022</v>
      </c>
      <c r="B3" s="577"/>
      <c r="C3" s="577"/>
      <c r="D3" s="577"/>
      <c r="E3" s="577"/>
      <c r="F3" s="577"/>
      <c r="G3" s="577"/>
      <c r="H3" s="577"/>
      <c r="I3" s="119"/>
    </row>
    <row r="4" spans="1:15" s="2" customFormat="1" ht="12.75" customHeight="1"/>
    <row r="5" spans="1:15" s="2" customFormat="1">
      <c r="B5" s="3"/>
      <c r="C5" s="3"/>
      <c r="D5" s="153" t="str">
        <f t="shared" ref="D5:H5" si="0">IF(D6&lt;=Reporting_Year,"Actuals","Forecast")</f>
        <v>Actuals</v>
      </c>
      <c r="E5" s="153" t="str">
        <f t="shared" si="0"/>
        <v>Forecast</v>
      </c>
      <c r="F5" s="153" t="str">
        <f t="shared" si="0"/>
        <v>Forecast</v>
      </c>
      <c r="G5" s="153" t="str">
        <f t="shared" si="0"/>
        <v>Forecast</v>
      </c>
      <c r="H5" s="153"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row>
    <row r="8" spans="1:15" s="2" customFormat="1"/>
    <row r="9" spans="1:15" s="2" customFormat="1">
      <c r="A9" s="373" t="s">
        <v>625</v>
      </c>
      <c r="B9" s="374"/>
      <c r="C9" s="98"/>
      <c r="D9" s="98"/>
      <c r="E9" s="98"/>
      <c r="F9" s="98"/>
      <c r="G9" s="98"/>
      <c r="H9" s="98"/>
    </row>
    <row r="10" spans="1:15" s="2" customFormat="1"/>
    <row r="11" spans="1:15">
      <c r="B11" s="6" t="s">
        <v>626</v>
      </c>
      <c r="C11" s="75" t="s">
        <v>230</v>
      </c>
      <c r="D11" s="615">
        <v>46</v>
      </c>
      <c r="E11" s="615"/>
      <c r="F11" s="615"/>
      <c r="G11" s="615"/>
      <c r="H11" s="615"/>
      <c r="J11" s="2"/>
    </row>
    <row r="12" spans="1:15">
      <c r="B12" s="7" t="s">
        <v>627</v>
      </c>
      <c r="C12" s="6"/>
      <c r="D12" s="238"/>
      <c r="E12" s="238"/>
      <c r="F12" s="238"/>
      <c r="G12" s="238"/>
      <c r="H12" s="238"/>
      <c r="J12" s="2"/>
    </row>
    <row r="13" spans="1:15">
      <c r="B13" s="146" t="s">
        <v>526</v>
      </c>
      <c r="C13" s="75" t="s">
        <v>230</v>
      </c>
      <c r="D13" s="615">
        <v>0</v>
      </c>
      <c r="E13" s="615"/>
      <c r="F13" s="615"/>
      <c r="G13" s="615"/>
      <c r="H13" s="615"/>
      <c r="J13" s="2"/>
    </row>
    <row r="14" spans="1:15">
      <c r="B14" s="146" t="s">
        <v>526</v>
      </c>
      <c r="C14" s="75" t="s">
        <v>230</v>
      </c>
      <c r="D14" s="615">
        <v>0</v>
      </c>
      <c r="E14" s="615"/>
      <c r="F14" s="615"/>
      <c r="G14" s="615"/>
      <c r="H14" s="615"/>
      <c r="J14" s="2"/>
    </row>
    <row r="15" spans="1:15">
      <c r="B15" s="146" t="s">
        <v>527</v>
      </c>
      <c r="C15" s="75" t="s">
        <v>230</v>
      </c>
      <c r="D15" s="615">
        <v>0</v>
      </c>
      <c r="E15" s="615"/>
      <c r="F15" s="615"/>
      <c r="G15" s="615"/>
      <c r="H15" s="615"/>
      <c r="J15" s="2"/>
      <c r="N15" s="97"/>
    </row>
    <row r="16" spans="1:15">
      <c r="B16" s="6" t="s">
        <v>628</v>
      </c>
      <c r="C16" s="75" t="s">
        <v>230</v>
      </c>
      <c r="D16" s="237">
        <f>D11-SUM(D13:D15)</f>
        <v>46</v>
      </c>
      <c r="E16" s="237">
        <f t="shared" ref="E16:H16" si="2">E11-SUM(E13:E15)</f>
        <v>0</v>
      </c>
      <c r="F16" s="237">
        <f t="shared" si="2"/>
        <v>0</v>
      </c>
      <c r="G16" s="237">
        <f t="shared" si="2"/>
        <v>0</v>
      </c>
      <c r="H16" s="237">
        <f t="shared" si="2"/>
        <v>0</v>
      </c>
      <c r="J16" s="2"/>
      <c r="O16" s="96"/>
    </row>
    <row r="17" spans="1:14">
      <c r="C17" s="6"/>
      <c r="J17" s="2"/>
      <c r="N17" s="97"/>
    </row>
    <row r="18" spans="1:14">
      <c r="B18" s="6" t="s">
        <v>629</v>
      </c>
      <c r="C18" s="75" t="s">
        <v>230</v>
      </c>
      <c r="D18" s="615">
        <v>0</v>
      </c>
      <c r="E18" s="615"/>
      <c r="F18" s="615"/>
      <c r="G18" s="615"/>
      <c r="H18" s="615"/>
      <c r="J18" s="2"/>
    </row>
    <row r="19" spans="1:14">
      <c r="J19" s="2"/>
    </row>
    <row r="22" spans="1:14">
      <c r="A22" s="373" t="s">
        <v>630</v>
      </c>
      <c r="B22" s="375"/>
      <c r="C22" s="98"/>
      <c r="D22" s="98"/>
      <c r="E22" s="98"/>
      <c r="F22" s="98"/>
      <c r="G22" s="98"/>
      <c r="H22" s="98"/>
    </row>
    <row r="23" spans="1:14">
      <c r="D23" s="876" t="str">
        <f>Reporting_Year&amp;" "&amp;"- Actuals"</f>
        <v>2022 - Actuals</v>
      </c>
      <c r="E23" s="877"/>
      <c r="F23" s="877"/>
      <c r="G23" s="877"/>
      <c r="H23" s="878"/>
    </row>
    <row r="24" spans="1:14">
      <c r="D24" s="595" t="s">
        <v>631</v>
      </c>
      <c r="E24" s="595" t="s">
        <v>632</v>
      </c>
      <c r="F24" s="595" t="s">
        <v>633</v>
      </c>
      <c r="G24" s="595" t="s">
        <v>634</v>
      </c>
      <c r="H24" s="595" t="s">
        <v>635</v>
      </c>
    </row>
    <row r="25" spans="1:14" ht="35.25" customHeight="1">
      <c r="C25" t="s">
        <v>636</v>
      </c>
      <c r="D25" s="801" t="s">
        <v>637</v>
      </c>
      <c r="E25" s="801" t="s">
        <v>638</v>
      </c>
      <c r="F25" s="801" t="s">
        <v>639</v>
      </c>
      <c r="G25" s="801" t="s">
        <v>640</v>
      </c>
      <c r="H25" s="801">
        <v>0</v>
      </c>
    </row>
    <row r="26" spans="1:14" ht="44.65" customHeight="1">
      <c r="B26" s="6" t="s">
        <v>641</v>
      </c>
    </row>
    <row r="27" spans="1:14">
      <c r="B27" t="s">
        <v>642</v>
      </c>
      <c r="C27" s="75" t="s">
        <v>230</v>
      </c>
      <c r="D27" s="204">
        <v>145363</v>
      </c>
      <c r="E27" s="204">
        <v>13120.681233000001</v>
      </c>
      <c r="F27" s="204">
        <v>53705.824741935481</v>
      </c>
      <c r="G27" s="204">
        <v>56085.0965</v>
      </c>
      <c r="H27" s="204">
        <v>0</v>
      </c>
    </row>
    <row r="28" spans="1:14">
      <c r="B28" t="s">
        <v>643</v>
      </c>
      <c r="C28" s="75" t="s">
        <v>230</v>
      </c>
      <c r="D28" s="204">
        <v>0</v>
      </c>
      <c r="E28" s="204">
        <v>0</v>
      </c>
      <c r="F28" s="204">
        <v>0</v>
      </c>
      <c r="G28" s="204">
        <v>0</v>
      </c>
      <c r="H28" s="204">
        <v>0</v>
      </c>
    </row>
    <row r="29" spans="1:14">
      <c r="B29" s="146" t="s">
        <v>527</v>
      </c>
      <c r="C29" s="75" t="s">
        <v>230</v>
      </c>
      <c r="D29" s="204">
        <v>0</v>
      </c>
      <c r="E29" s="204">
        <v>0</v>
      </c>
      <c r="F29" s="204">
        <v>0</v>
      </c>
      <c r="G29" s="204">
        <v>0</v>
      </c>
      <c r="H29" s="204">
        <v>0</v>
      </c>
    </row>
    <row r="30" spans="1:14">
      <c r="B30" t="s">
        <v>644</v>
      </c>
      <c r="C30" s="75" t="s">
        <v>230</v>
      </c>
      <c r="D30" s="204">
        <v>4845.6970520000004</v>
      </c>
      <c r="E30" s="204">
        <v>480.53195000000005</v>
      </c>
      <c r="F30" s="204">
        <v>2938.0661171935485</v>
      </c>
      <c r="G30" s="204">
        <v>2922.8710330000004</v>
      </c>
      <c r="H30" s="204">
        <v>0</v>
      </c>
    </row>
    <row r="31" spans="1:14">
      <c r="B31" s="146" t="s">
        <v>527</v>
      </c>
      <c r="C31" s="75" t="s">
        <v>230</v>
      </c>
      <c r="D31" s="204">
        <v>0</v>
      </c>
      <c r="E31" s="204">
        <v>0</v>
      </c>
      <c r="F31" s="204">
        <v>0</v>
      </c>
      <c r="G31" s="204">
        <v>0</v>
      </c>
      <c r="H31" s="204">
        <v>0</v>
      </c>
    </row>
    <row r="32" spans="1:14">
      <c r="B32" t="s">
        <v>645</v>
      </c>
      <c r="C32" s="75" t="s">
        <v>230</v>
      </c>
      <c r="D32" s="204">
        <v>17443.560000000001</v>
      </c>
      <c r="E32" s="204">
        <v>1336.181462</v>
      </c>
      <c r="F32" s="204">
        <v>6444.698969032258</v>
      </c>
      <c r="G32" s="204">
        <v>11217.0193</v>
      </c>
      <c r="H32" s="204">
        <v>0</v>
      </c>
    </row>
    <row r="33" spans="2:8">
      <c r="B33" s="146" t="s">
        <v>527</v>
      </c>
      <c r="C33" s="75" t="s">
        <v>230</v>
      </c>
      <c r="D33" s="204">
        <v>0</v>
      </c>
      <c r="E33" s="204">
        <v>0</v>
      </c>
      <c r="F33" s="204">
        <v>0</v>
      </c>
      <c r="G33" s="204">
        <v>0</v>
      </c>
      <c r="H33" s="205">
        <v>0</v>
      </c>
    </row>
    <row r="34" spans="2:8">
      <c r="B34" s="6" t="s">
        <v>646</v>
      </c>
      <c r="C34" s="75" t="s">
        <v>230</v>
      </c>
      <c r="D34" s="414">
        <f>SUM(D27:D33)</f>
        <v>167652.257052</v>
      </c>
      <c r="E34" s="414">
        <f>SUM(E27:E33)</f>
        <v>14937.394645000002</v>
      </c>
      <c r="F34" s="414">
        <f>SUM(F27:F33)</f>
        <v>63088.58982816129</v>
      </c>
      <c r="G34" s="414">
        <f>SUM(G27:G33)</f>
        <v>70224.986833000003</v>
      </c>
      <c r="H34" s="414">
        <f>SUM(H27:H33)</f>
        <v>0</v>
      </c>
    </row>
    <row r="35" spans="2:8">
      <c r="B35" s="6" t="s">
        <v>647</v>
      </c>
      <c r="C35" s="75" t="s">
        <v>230</v>
      </c>
      <c r="D35" s="596">
        <v>167652.257052</v>
      </c>
      <c r="E35" s="596">
        <v>14937.394645</v>
      </c>
      <c r="F35" s="596">
        <v>63088.58982816129</v>
      </c>
      <c r="G35" s="596">
        <v>70224.986833000003</v>
      </c>
      <c r="H35" s="596">
        <v>0</v>
      </c>
    </row>
    <row r="36" spans="2:8">
      <c r="B36" s="146"/>
    </row>
    <row r="37" spans="2:8">
      <c r="B37" s="6" t="s">
        <v>648</v>
      </c>
    </row>
    <row r="38" spans="2:8">
      <c r="B38" t="s">
        <v>649</v>
      </c>
      <c r="C38" s="75" t="s">
        <v>230</v>
      </c>
      <c r="D38" s="204">
        <v>0</v>
      </c>
      <c r="E38" s="204">
        <v>0</v>
      </c>
      <c r="F38" s="204">
        <v>0</v>
      </c>
      <c r="G38" s="204">
        <v>0</v>
      </c>
      <c r="H38" s="204">
        <v>0</v>
      </c>
    </row>
    <row r="39" spans="2:8">
      <c r="B39" s="146" t="s">
        <v>527</v>
      </c>
      <c r="C39" s="75" t="s">
        <v>230</v>
      </c>
      <c r="D39" s="204">
        <v>142520.862624</v>
      </c>
      <c r="E39" s="204">
        <v>8051.2698663682568</v>
      </c>
      <c r="F39" s="204">
        <v>33404.340042988719</v>
      </c>
      <c r="G39" s="204">
        <v>0</v>
      </c>
      <c r="H39" s="204">
        <v>0</v>
      </c>
    </row>
    <row r="40" spans="2:8">
      <c r="B40" t="s">
        <v>650</v>
      </c>
      <c r="C40" s="75" t="s">
        <v>230</v>
      </c>
      <c r="D40" s="204">
        <v>201974.2629</v>
      </c>
      <c r="E40" s="204">
        <v>0</v>
      </c>
      <c r="F40" s="204">
        <v>82275.934600000008</v>
      </c>
      <c r="G40" s="204">
        <v>0</v>
      </c>
      <c r="H40" s="204">
        <v>0</v>
      </c>
    </row>
    <row r="41" spans="2:8">
      <c r="B41" s="146" t="s">
        <v>527</v>
      </c>
      <c r="C41" s="75" t="s">
        <v>230</v>
      </c>
      <c r="D41" s="204">
        <v>88751.022200000007</v>
      </c>
      <c r="E41" s="204">
        <v>0</v>
      </c>
      <c r="F41" s="204">
        <v>0</v>
      </c>
      <c r="G41" s="204">
        <v>0</v>
      </c>
      <c r="H41" s="204">
        <v>0</v>
      </c>
    </row>
    <row r="42" spans="2:8">
      <c r="B42" s="6" t="s">
        <v>651</v>
      </c>
      <c r="C42" s="75" t="s">
        <v>230</v>
      </c>
      <c r="D42" s="597">
        <f t="shared" ref="D42:H42" si="3">SUM(D38:D41)</f>
        <v>433246.14772400004</v>
      </c>
      <c r="E42" s="597">
        <f t="shared" si="3"/>
        <v>8051.2698663682568</v>
      </c>
      <c r="F42" s="597">
        <f t="shared" si="3"/>
        <v>115680.27464298872</v>
      </c>
      <c r="G42" s="597">
        <f t="shared" si="3"/>
        <v>0</v>
      </c>
      <c r="H42" s="597">
        <f t="shared" si="3"/>
        <v>0</v>
      </c>
    </row>
    <row r="43" spans="2:8">
      <c r="B43" s="6" t="s">
        <v>647</v>
      </c>
      <c r="C43" s="75" t="s">
        <v>230</v>
      </c>
      <c r="D43" s="596">
        <v>433246.14772400004</v>
      </c>
      <c r="E43" s="596">
        <v>8051.2698663682568</v>
      </c>
      <c r="F43" s="596">
        <v>115680.27464298872</v>
      </c>
      <c r="G43" s="596">
        <v>0</v>
      </c>
      <c r="H43" s="596">
        <v>0</v>
      </c>
    </row>
    <row r="45" spans="2:8">
      <c r="B45" s="6" t="s">
        <v>652</v>
      </c>
      <c r="C45" s="75" t="s">
        <v>230</v>
      </c>
      <c r="D45" s="597">
        <f t="shared" ref="D45:H45" si="4">SUM(D34,D42)</f>
        <v>600898.40477600007</v>
      </c>
      <c r="E45" s="597">
        <f t="shared" si="4"/>
        <v>22988.664511368261</v>
      </c>
      <c r="F45" s="597">
        <f t="shared" si="4"/>
        <v>178768.86447115001</v>
      </c>
      <c r="G45" s="597">
        <f t="shared" si="4"/>
        <v>70224.986833000003</v>
      </c>
      <c r="H45" s="597">
        <f t="shared" si="4"/>
        <v>0</v>
      </c>
    </row>
    <row r="46" spans="2:8">
      <c r="B46" s="6" t="s">
        <v>653</v>
      </c>
      <c r="C46" s="75" t="s">
        <v>230</v>
      </c>
      <c r="D46" s="597">
        <f>D35+D43</f>
        <v>600898.40477600007</v>
      </c>
      <c r="E46" s="597">
        <f t="shared" ref="E46:H46" si="5">E35+E43</f>
        <v>22988.664511368257</v>
      </c>
      <c r="F46" s="597">
        <f t="shared" si="5"/>
        <v>178768.86447115001</v>
      </c>
      <c r="G46" s="597">
        <f t="shared" si="5"/>
        <v>70224.986833000003</v>
      </c>
      <c r="H46" s="597">
        <f t="shared" si="5"/>
        <v>0</v>
      </c>
    </row>
    <row r="48" spans="2:8">
      <c r="B48" s="6" t="s">
        <v>654</v>
      </c>
    </row>
    <row r="49" spans="2:14">
      <c r="B49" t="s">
        <v>655</v>
      </c>
      <c r="C49" s="75" t="s">
        <v>656</v>
      </c>
      <c r="D49" s="204">
        <v>0</v>
      </c>
      <c r="E49" s="204">
        <v>0</v>
      </c>
      <c r="F49" s="204">
        <v>0</v>
      </c>
      <c r="G49" s="204">
        <v>0</v>
      </c>
      <c r="H49" s="204">
        <v>0</v>
      </c>
    </row>
    <row r="50" spans="2:14">
      <c r="B50" s="146" t="s">
        <v>527</v>
      </c>
      <c r="C50" s="75"/>
      <c r="D50" s="204">
        <v>0</v>
      </c>
      <c r="E50" s="204">
        <v>0</v>
      </c>
      <c r="F50" s="204">
        <v>0</v>
      </c>
      <c r="G50" s="204">
        <v>0</v>
      </c>
      <c r="H50" s="204">
        <v>0</v>
      </c>
    </row>
    <row r="51" spans="2:14">
      <c r="B51" t="s">
        <v>657</v>
      </c>
      <c r="C51" s="75" t="s">
        <v>194</v>
      </c>
      <c r="D51" s="204">
        <v>0</v>
      </c>
      <c r="E51" s="204">
        <v>0</v>
      </c>
      <c r="F51" s="204">
        <v>0</v>
      </c>
      <c r="G51" s="204">
        <v>0</v>
      </c>
      <c r="H51" s="204">
        <v>0</v>
      </c>
    </row>
    <row r="52" spans="2:14">
      <c r="B52" s="523" t="s">
        <v>658</v>
      </c>
      <c r="C52" s="75" t="s">
        <v>194</v>
      </c>
      <c r="D52" s="204">
        <v>0</v>
      </c>
      <c r="E52" s="204">
        <v>0</v>
      </c>
      <c r="F52" s="204">
        <v>0</v>
      </c>
      <c r="G52" s="204">
        <v>0</v>
      </c>
      <c r="H52" s="204">
        <v>0</v>
      </c>
    </row>
    <row r="53" spans="2:14">
      <c r="B53" s="6" t="s">
        <v>659</v>
      </c>
      <c r="C53" s="75" t="s">
        <v>230</v>
      </c>
      <c r="D53" s="204">
        <v>0</v>
      </c>
      <c r="E53" s="204">
        <v>0</v>
      </c>
      <c r="F53" s="204">
        <v>0</v>
      </c>
      <c r="G53" s="204">
        <v>0</v>
      </c>
      <c r="H53" s="204">
        <v>0</v>
      </c>
    </row>
    <row r="54" spans="2:14">
      <c r="B54" s="523" t="s">
        <v>660</v>
      </c>
      <c r="C54" s="75" t="s">
        <v>661</v>
      </c>
      <c r="D54" s="204">
        <v>0</v>
      </c>
      <c r="E54" s="204">
        <v>0</v>
      </c>
      <c r="F54" s="204">
        <v>0</v>
      </c>
      <c r="G54" s="204">
        <v>0</v>
      </c>
      <c r="H54" s="204">
        <v>0</v>
      </c>
    </row>
    <row r="55" spans="2:14">
      <c r="B55" s="523" t="s">
        <v>662</v>
      </c>
      <c r="C55" s="75" t="s">
        <v>663</v>
      </c>
      <c r="D55" s="204">
        <v>0</v>
      </c>
      <c r="E55" s="204">
        <v>0</v>
      </c>
      <c r="F55" s="204">
        <v>0</v>
      </c>
      <c r="G55" s="204">
        <v>0</v>
      </c>
      <c r="H55" s="204">
        <v>0</v>
      </c>
    </row>
    <row r="56" spans="2:14">
      <c r="B56" s="523" t="s">
        <v>664</v>
      </c>
      <c r="C56" s="75" t="s">
        <v>661</v>
      </c>
      <c r="D56" s="204">
        <v>0</v>
      </c>
      <c r="E56" s="204">
        <v>0</v>
      </c>
      <c r="F56" s="204">
        <v>0</v>
      </c>
      <c r="G56" s="204">
        <v>0</v>
      </c>
      <c r="H56" s="204">
        <v>0</v>
      </c>
    </row>
    <row r="57" spans="2:14">
      <c r="B57" s="6" t="s">
        <v>665</v>
      </c>
      <c r="C57" s="75" t="s">
        <v>230</v>
      </c>
      <c r="D57" s="221">
        <f>D55*D56</f>
        <v>0</v>
      </c>
      <c r="E57" s="221">
        <f t="shared" ref="E57:H57" si="6">E55*E56</f>
        <v>0</v>
      </c>
      <c r="F57" s="221">
        <f t="shared" si="6"/>
        <v>0</v>
      </c>
      <c r="G57" s="221">
        <f t="shared" si="6"/>
        <v>0</v>
      </c>
      <c r="H57" s="221">
        <f t="shared" si="6"/>
        <v>0</v>
      </c>
    </row>
    <row r="58" spans="2:14">
      <c r="C58" s="75"/>
    </row>
    <row r="59" spans="2:14">
      <c r="B59" s="6" t="s">
        <v>666</v>
      </c>
      <c r="C59" s="75" t="s">
        <v>230</v>
      </c>
      <c r="D59" s="204">
        <v>0</v>
      </c>
      <c r="E59" s="204">
        <v>0</v>
      </c>
      <c r="F59" s="204">
        <v>0</v>
      </c>
      <c r="G59" s="204">
        <v>0</v>
      </c>
      <c r="H59" s="204">
        <v>0</v>
      </c>
    </row>
    <row r="60" spans="2:14">
      <c r="B60" s="6"/>
      <c r="C60" s="6"/>
      <c r="D60" s="6"/>
      <c r="E60" s="6"/>
      <c r="F60" s="6"/>
      <c r="G60" s="6"/>
      <c r="H60" s="6"/>
      <c r="I60" s="6"/>
      <c r="J60" s="6"/>
      <c r="K60" s="6"/>
      <c r="L60" s="6"/>
      <c r="M60" s="6"/>
      <c r="N60" s="6"/>
    </row>
    <row r="61" spans="2:14">
      <c r="B61" s="6" t="s">
        <v>667</v>
      </c>
      <c r="C61" s="75"/>
      <c r="D61" s="221">
        <f>D53+D57+D59</f>
        <v>0</v>
      </c>
      <c r="E61" s="221">
        <f>E53+E57+E59</f>
        <v>0</v>
      </c>
      <c r="F61" s="221">
        <f>F53+F57+F59</f>
        <v>0</v>
      </c>
      <c r="G61" s="221">
        <f>G53+G57+G59</f>
        <v>0</v>
      </c>
      <c r="H61" s="221">
        <f>H53+H57+H59</f>
        <v>0</v>
      </c>
    </row>
    <row r="62" spans="2:14">
      <c r="B62" s="6" t="s">
        <v>647</v>
      </c>
      <c r="C62" s="75" t="s">
        <v>230</v>
      </c>
      <c r="D62" s="204">
        <v>0</v>
      </c>
      <c r="E62" s="204">
        <v>0</v>
      </c>
      <c r="F62" s="204">
        <v>0</v>
      </c>
      <c r="G62" s="204">
        <v>0</v>
      </c>
      <c r="H62" s="204">
        <v>0</v>
      </c>
    </row>
    <row r="63" spans="2:14">
      <c r="B63" s="6"/>
      <c r="C63" s="75"/>
      <c r="D63" s="6"/>
      <c r="E63" s="6"/>
      <c r="F63" s="6"/>
      <c r="G63" s="6"/>
      <c r="H63" s="6"/>
      <c r="J63" s="6"/>
      <c r="K63" s="6"/>
    </row>
    <row r="64" spans="2:14">
      <c r="B64" s="6" t="s">
        <v>668</v>
      </c>
      <c r="C64" s="75" t="s">
        <v>230</v>
      </c>
      <c r="D64" s="221">
        <f>D45+D61</f>
        <v>600898.40477600007</v>
      </c>
      <c r="E64" s="221">
        <f t="shared" ref="E64:H64" si="7">E45+E61</f>
        <v>22988.664511368261</v>
      </c>
      <c r="F64" s="221">
        <f t="shared" si="7"/>
        <v>178768.86447115001</v>
      </c>
      <c r="G64" s="221">
        <f t="shared" si="7"/>
        <v>70224.986833000003</v>
      </c>
      <c r="H64" s="221">
        <f t="shared" si="7"/>
        <v>0</v>
      </c>
    </row>
    <row r="65" spans="1:12">
      <c r="B65" s="6" t="s">
        <v>669</v>
      </c>
      <c r="C65" s="75" t="s">
        <v>230</v>
      </c>
      <c r="D65" s="221">
        <f>D46+D62</f>
        <v>600898.40477600007</v>
      </c>
      <c r="E65" s="221">
        <f t="shared" ref="E65:H65" si="8">E46+E62</f>
        <v>22988.664511368257</v>
      </c>
      <c r="F65" s="221">
        <f t="shared" si="8"/>
        <v>178768.86447115001</v>
      </c>
      <c r="G65" s="221">
        <f t="shared" si="8"/>
        <v>70224.986833000003</v>
      </c>
      <c r="H65" s="221">
        <f t="shared" si="8"/>
        <v>0</v>
      </c>
      <c r="J65" s="6"/>
    </row>
    <row r="66" spans="1:12">
      <c r="B66" s="6"/>
      <c r="C66" s="75"/>
      <c r="D66" s="416"/>
      <c r="E66" s="416"/>
      <c r="F66" s="416"/>
      <c r="G66" s="416"/>
      <c r="H66" s="416"/>
      <c r="J66" s="6"/>
    </row>
    <row r="67" spans="1:12">
      <c r="B67" s="6" t="s">
        <v>670</v>
      </c>
      <c r="C67" s="75"/>
      <c r="D67" s="416"/>
      <c r="E67" s="416"/>
      <c r="F67" s="416"/>
      <c r="G67" s="416"/>
      <c r="H67" s="416"/>
      <c r="J67" s="6"/>
    </row>
    <row r="68" spans="1:12">
      <c r="B68" t="s">
        <v>671</v>
      </c>
      <c r="C68" s="75"/>
      <c r="D68" s="596">
        <v>0</v>
      </c>
      <c r="E68" s="416"/>
      <c r="F68" s="416"/>
      <c r="G68" s="416"/>
      <c r="H68" s="416"/>
      <c r="J68" s="6"/>
    </row>
    <row r="69" spans="1:12">
      <c r="B69" t="s">
        <v>672</v>
      </c>
      <c r="C69" s="75"/>
      <c r="D69" s="596">
        <v>0</v>
      </c>
      <c r="E69" s="416"/>
      <c r="F69" s="416"/>
      <c r="G69" s="416"/>
      <c r="H69" s="416"/>
      <c r="J69" s="6"/>
    </row>
    <row r="70" spans="1:12">
      <c r="B70" t="s">
        <v>673</v>
      </c>
      <c r="C70" s="75"/>
      <c r="D70" s="596">
        <v>0</v>
      </c>
      <c r="E70" s="416"/>
      <c r="F70" s="416"/>
      <c r="G70" s="416"/>
      <c r="H70" s="416"/>
      <c r="J70" s="6"/>
    </row>
    <row r="71" spans="1:12">
      <c r="B71" s="6"/>
      <c r="C71" s="75"/>
      <c r="D71" s="416"/>
      <c r="E71" s="416"/>
      <c r="F71" s="416"/>
      <c r="G71" s="416"/>
      <c r="H71" s="416"/>
      <c r="J71" s="6"/>
    </row>
    <row r="72" spans="1:12">
      <c r="A72" s="351" t="s">
        <v>674</v>
      </c>
      <c r="B72" s="6"/>
      <c r="C72" s="75"/>
      <c r="D72" s="75"/>
      <c r="E72" s="75"/>
      <c r="F72" s="75"/>
      <c r="G72" s="75"/>
      <c r="H72" s="75"/>
      <c r="I72" s="75"/>
      <c r="J72" s="75"/>
      <c r="K72" s="75"/>
      <c r="L72" s="75"/>
    </row>
    <row r="73" spans="1:12">
      <c r="A73" s="351" t="s">
        <v>675</v>
      </c>
      <c r="B73" s="6"/>
      <c r="C73" s="6"/>
      <c r="D73" s="6"/>
      <c r="E73" s="6"/>
      <c r="F73" s="6"/>
      <c r="G73" s="6"/>
      <c r="H73" s="6"/>
      <c r="I73" s="6"/>
      <c r="J73" s="6"/>
    </row>
    <row r="74" spans="1:12">
      <c r="A74" s="351"/>
      <c r="B74" s="6"/>
      <c r="C74" s="6"/>
      <c r="D74" s="6"/>
      <c r="E74" s="6"/>
      <c r="F74" s="6"/>
      <c r="G74" s="6"/>
      <c r="H74" s="6"/>
      <c r="I74" s="6"/>
      <c r="J74" s="6"/>
    </row>
    <row r="75" spans="1:12">
      <c r="B75" s="6" t="s">
        <v>676</v>
      </c>
    </row>
    <row r="76" spans="1:12">
      <c r="B76" s="6"/>
    </row>
    <row r="77" spans="1:12" ht="24.75">
      <c r="B77" s="797" t="s">
        <v>677</v>
      </c>
      <c r="C77" s="798"/>
      <c r="D77" s="798"/>
      <c r="E77" s="798"/>
      <c r="F77" s="798"/>
      <c r="G77" s="774"/>
      <c r="H77" s="799"/>
    </row>
    <row r="78" spans="1:12">
      <c r="B78" s="632"/>
      <c r="C78" s="633"/>
      <c r="D78" s="364"/>
      <c r="E78" s="337"/>
      <c r="F78" s="337"/>
      <c r="G78" s="337"/>
      <c r="H78" s="365"/>
    </row>
    <row r="79" spans="1:12">
      <c r="B79" s="632"/>
      <c r="C79" s="633"/>
      <c r="D79" s="364"/>
      <c r="E79" s="337"/>
      <c r="F79" s="337"/>
      <c r="G79" s="337"/>
      <c r="H79" s="365"/>
    </row>
    <row r="80" spans="1:12">
      <c r="B80" s="632"/>
      <c r="C80" s="633"/>
      <c r="D80" s="364"/>
      <c r="E80" s="337"/>
      <c r="F80" s="337"/>
      <c r="G80" s="337"/>
      <c r="H80" s="365"/>
    </row>
    <row r="81" spans="2:8">
      <c r="B81" s="632"/>
      <c r="C81" s="633"/>
      <c r="D81" s="364"/>
      <c r="E81" s="337"/>
      <c r="F81" s="337"/>
      <c r="G81" s="337"/>
      <c r="H81" s="365"/>
    </row>
    <row r="82" spans="2:8">
      <c r="B82" s="634"/>
      <c r="C82" s="635"/>
      <c r="D82" s="583"/>
      <c r="E82" s="584"/>
      <c r="F82" s="584"/>
      <c r="G82" s="584"/>
      <c r="H82" s="367"/>
    </row>
  </sheetData>
  <mergeCells count="1">
    <mergeCell ref="D23:H23"/>
  </mergeCells>
  <phoneticPr fontId="251" type="noConversion"/>
  <conditionalFormatting sqref="D5:G6">
    <cfRule type="expression" dxfId="33" priority="47">
      <formula>AND(D$5="Actuals",E$5="N/A")</formula>
    </cfRule>
  </conditionalFormatting>
  <conditionalFormatting sqref="D5:H6 D34:H34 D57:H57 D64:H67 D71:H71 E68:H70">
    <cfRule type="expression" dxfId="32" priority="39">
      <formula>D$5="N/A"</formula>
    </cfRule>
  </conditionalFormatting>
  <conditionalFormatting sqref="D20:H20">
    <cfRule type="expression" priority="33">
      <formula>D$5="N/A"</formula>
    </cfRule>
  </conditionalFormatting>
  <conditionalFormatting sqref="H5:H6">
    <cfRule type="expression" dxfId="31" priority="286">
      <formula>AND(H$5="Actuals",#REF!="N/A")</formula>
    </cfRule>
  </conditionalFormatting>
  <conditionalFormatting sqref="D61:H61">
    <cfRule type="expression" dxfId="30" priority="25">
      <formula>D$5="N/A"</formula>
    </cfRule>
  </conditionalFormatting>
  <conditionalFormatting sqref="D7:H7">
    <cfRule type="expression" dxfId="29" priority="22">
      <formula>AND(D$5="Actuals",E$5="Forecast")</formula>
    </cfRule>
  </conditionalFormatting>
  <conditionalFormatting sqref="E11:H11">
    <cfRule type="expression" dxfId="28" priority="17">
      <formula>E$5="Forecast"</formula>
    </cfRule>
  </conditionalFormatting>
  <conditionalFormatting sqref="E13:H14">
    <cfRule type="expression" dxfId="27" priority="16">
      <formula>E$5="Forecast"</formula>
    </cfRule>
  </conditionalFormatting>
  <conditionalFormatting sqref="E15:H15">
    <cfRule type="expression" dxfId="26" priority="15">
      <formula>E$5="Forecast"</formula>
    </cfRule>
  </conditionalFormatting>
  <conditionalFormatting sqref="E18:H18">
    <cfRule type="expression" dxfId="25" priority="14">
      <formula>E$5="Forecast"</formula>
    </cfRule>
  </conditionalFormatting>
  <conditionalFormatting sqref="D16:H16">
    <cfRule type="expression" dxfId="24" priority="13">
      <formula>D$5="Forecast"</formula>
    </cfRule>
  </conditionalFormatting>
  <conditionalFormatting sqref="D11">
    <cfRule type="expression" dxfId="23" priority="12">
      <formula>D$5="Forecast"</formula>
    </cfRule>
  </conditionalFormatting>
  <conditionalFormatting sqref="D13:D15">
    <cfRule type="expression" dxfId="22" priority="11">
      <formula>D$5="Forecast"</formula>
    </cfRule>
  </conditionalFormatting>
  <conditionalFormatting sqref="D18">
    <cfRule type="expression" dxfId="21" priority="10">
      <formula>D$5="Forecast"</formula>
    </cfRule>
  </conditionalFormatting>
  <conditionalFormatting sqref="D27:H33">
    <cfRule type="expression" dxfId="20" priority="9">
      <formula>D$5="N/A"</formula>
    </cfRule>
  </conditionalFormatting>
  <conditionalFormatting sqref="D35:H35">
    <cfRule type="expression" dxfId="19" priority="8">
      <formula>D$5="N/A"</formula>
    </cfRule>
  </conditionalFormatting>
  <conditionalFormatting sqref="D38:H41">
    <cfRule type="expression" dxfId="18" priority="7">
      <formula>D$5="N/A"</formula>
    </cfRule>
  </conditionalFormatting>
  <conditionalFormatting sqref="D43:H43">
    <cfRule type="expression" dxfId="17" priority="6">
      <formula>D$5="N/A"</formula>
    </cfRule>
  </conditionalFormatting>
  <conditionalFormatting sqref="D49:H56">
    <cfRule type="expression" dxfId="16" priority="5">
      <formula>D$5="N/A"</formula>
    </cfRule>
  </conditionalFormatting>
  <conditionalFormatting sqref="D62:H62">
    <cfRule type="expression" dxfId="15" priority="3">
      <formula>D$5="N/A"</formula>
    </cfRule>
  </conditionalFormatting>
  <conditionalFormatting sqref="D68:D70">
    <cfRule type="expression" dxfId="14" priority="2">
      <formula>D$5="N/A"</formula>
    </cfRule>
  </conditionalFormatting>
  <conditionalFormatting sqref="D59:H59">
    <cfRule type="expression" dxfId="13" priority="1">
      <formula>D$5="N/A"</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zoomScale="80" zoomScaleNormal="70" workbookViewId="0">
      <pane ySplit="6" topLeftCell="A20" activePane="bottomLeft" state="frozen"/>
      <selection activeCell="D15" sqref="D15"/>
      <selection pane="bottomLeft" activeCell="D34" sqref="D34"/>
    </sheetView>
  </sheetViews>
  <sheetFormatPr defaultRowHeight="12.4"/>
  <cols>
    <col min="1" max="1" width="8.3515625" customWidth="1"/>
    <col min="2" max="2" width="82" customWidth="1"/>
    <col min="3" max="3" width="14.1171875" customWidth="1"/>
    <col min="4" max="8" width="11.1171875" customWidth="1"/>
    <col min="9" max="9" width="6.64453125" bestFit="1" customWidth="1"/>
  </cols>
  <sheetData>
    <row r="1" spans="1:10" ht="20.65">
      <c r="A1" s="777" t="s">
        <v>678</v>
      </c>
      <c r="B1" s="397"/>
      <c r="C1" s="398"/>
      <c r="D1" s="398"/>
      <c r="E1" s="398"/>
      <c r="F1" s="398"/>
      <c r="G1" s="398"/>
      <c r="H1" s="398"/>
      <c r="I1" s="786"/>
    </row>
    <row r="2" spans="1:10" ht="20.65">
      <c r="A2" s="295" t="str">
        <f>Licensee</f>
        <v>Cadent-NW</v>
      </c>
      <c r="B2" s="290"/>
      <c r="C2" s="16"/>
      <c r="D2" s="16"/>
      <c r="E2" s="16"/>
      <c r="F2" s="16"/>
      <c r="G2" s="16"/>
      <c r="H2" s="16"/>
      <c r="I2" s="65"/>
    </row>
    <row r="3" spans="1:10" ht="20.65">
      <c r="A3" s="290">
        <f>Reporting_Year</f>
        <v>2022</v>
      </c>
      <c r="B3" s="590"/>
      <c r="C3" s="577"/>
      <c r="D3" s="577"/>
      <c r="E3" s="577"/>
      <c r="F3" s="577"/>
      <c r="G3" s="577"/>
      <c r="H3" s="577"/>
      <c r="I3" s="119"/>
    </row>
    <row r="4" spans="1:10" s="2" customFormat="1" ht="12.75" customHeight="1">
      <c r="B4" s="3"/>
      <c r="C4"/>
      <c r="D4" s="123"/>
      <c r="E4" s="123"/>
    </row>
    <row r="5" spans="1:10" s="2" customFormat="1" ht="12.75" customHeight="1">
      <c r="B5" s="3"/>
      <c r="C5"/>
      <c r="D5" s="598" t="str">
        <f t="shared" ref="D5:H5" si="0">IF(D6&lt;=Reporting_Year,"Actuals","Forecast")</f>
        <v>Actuals</v>
      </c>
      <c r="E5" s="598" t="str">
        <f t="shared" si="0"/>
        <v>Forecast</v>
      </c>
      <c r="F5" s="598" t="str">
        <f t="shared" si="0"/>
        <v>Forecast</v>
      </c>
      <c r="G5" s="598" t="str">
        <f t="shared" si="0"/>
        <v>Forecast</v>
      </c>
      <c r="H5" s="598" t="str">
        <f t="shared" si="0"/>
        <v>Forecast</v>
      </c>
      <c r="I5" s="1"/>
    </row>
    <row r="6" spans="1:10" s="2" customFormat="1">
      <c r="C6"/>
      <c r="D6" s="422">
        <f>'RFPR cover'!$C$6</f>
        <v>2022</v>
      </c>
      <c r="E6" s="422">
        <f>D6+1</f>
        <v>2023</v>
      </c>
      <c r="F6" s="422">
        <f t="shared" ref="F6:H6" si="1">E6+1</f>
        <v>2024</v>
      </c>
      <c r="G6" s="422">
        <f t="shared" si="1"/>
        <v>2025</v>
      </c>
      <c r="H6" s="422">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c r="I7" s="1"/>
    </row>
    <row r="8" spans="1:10" s="2" customFormat="1">
      <c r="I8" s="1"/>
    </row>
    <row r="9" spans="1:10" s="2" customFormat="1">
      <c r="B9" s="61" t="s">
        <v>679</v>
      </c>
      <c r="C9" s="73"/>
      <c r="D9" s="40"/>
      <c r="E9" s="40"/>
      <c r="F9" s="40"/>
      <c r="G9" s="40"/>
      <c r="H9" s="40"/>
      <c r="I9" s="1"/>
    </row>
    <row r="10" spans="1:10" s="2" customFormat="1">
      <c r="B10" s="5"/>
      <c r="C10" s="69"/>
      <c r="I10" s="1"/>
    </row>
    <row r="11" spans="1:10" s="2" customFormat="1">
      <c r="B11" s="5"/>
      <c r="C11" s="69"/>
      <c r="I11" s="1"/>
    </row>
    <row r="12" spans="1:10">
      <c r="B12" s="6" t="s">
        <v>680</v>
      </c>
      <c r="C12" s="75" t="s">
        <v>230</v>
      </c>
      <c r="D12" s="599">
        <v>5.672798278250303</v>
      </c>
      <c r="E12" s="599"/>
      <c r="F12" s="599"/>
      <c r="G12" s="599"/>
      <c r="H12" s="599"/>
      <c r="I12" s="1"/>
      <c r="J12" s="2"/>
    </row>
    <row r="13" spans="1:10">
      <c r="B13" s="8" t="s">
        <v>681</v>
      </c>
      <c r="D13" s="238"/>
      <c r="E13" s="238"/>
      <c r="F13" s="238"/>
      <c r="G13" s="238"/>
      <c r="H13" s="238"/>
      <c r="J13" s="2"/>
    </row>
    <row r="14" spans="1:10">
      <c r="B14" t="s">
        <v>682</v>
      </c>
      <c r="C14" s="75" t="s">
        <v>230</v>
      </c>
      <c r="D14" s="599">
        <v>7.8821960522478731</v>
      </c>
      <c r="E14" s="599"/>
      <c r="F14" s="599"/>
      <c r="G14" s="599"/>
      <c r="H14" s="599"/>
      <c r="I14" s="1"/>
      <c r="J14" s="2"/>
    </row>
    <row r="15" spans="1:10">
      <c r="B15" t="s">
        <v>683</v>
      </c>
      <c r="C15" s="75" t="s">
        <v>230</v>
      </c>
      <c r="D15" s="599">
        <v>-2.2093977739975701</v>
      </c>
      <c r="E15" s="599"/>
      <c r="F15" s="599"/>
      <c r="G15" s="599"/>
      <c r="H15" s="599"/>
      <c r="I15" s="1"/>
      <c r="J15" s="2"/>
    </row>
    <row r="16" spans="1:10">
      <c r="D16" s="238"/>
      <c r="E16" s="238"/>
      <c r="F16" s="238"/>
      <c r="G16" s="238"/>
      <c r="H16" s="238"/>
      <c r="I16" s="1"/>
      <c r="J16" s="2"/>
    </row>
    <row r="17" spans="2:10">
      <c r="D17" s="238"/>
      <c r="E17" s="238"/>
      <c r="F17" s="238"/>
      <c r="G17" s="238"/>
      <c r="H17" s="238"/>
      <c r="I17" s="1"/>
      <c r="J17" s="2"/>
    </row>
    <row r="18" spans="2:10">
      <c r="B18" t="s">
        <v>682</v>
      </c>
      <c r="C18" s="94" t="str">
        <f>Data!$C$9</f>
        <v>£m 18/19</v>
      </c>
      <c r="D18" s="585">
        <f t="shared" ref="D18:H18" si="2">D$14/INDEX(real_to_nominal_CF,MATCH(D6,calendar_year,0))</f>
        <v>7.2661465007567054</v>
      </c>
      <c r="E18" s="585">
        <f t="shared" si="2"/>
        <v>0</v>
      </c>
      <c r="F18" s="585">
        <f t="shared" si="2"/>
        <v>0</v>
      </c>
      <c r="G18" s="585">
        <f t="shared" si="2"/>
        <v>0</v>
      </c>
      <c r="H18" s="585">
        <f t="shared" si="2"/>
        <v>0</v>
      </c>
      <c r="I18" s="1"/>
      <c r="J18" s="2"/>
    </row>
    <row r="19" spans="2:10">
      <c r="D19" s="238"/>
      <c r="E19" s="238"/>
      <c r="F19" s="238"/>
      <c r="G19" s="238"/>
      <c r="H19" s="238"/>
      <c r="I19" s="1"/>
      <c r="J19" s="2"/>
    </row>
    <row r="20" spans="2:10">
      <c r="D20" s="238"/>
      <c r="E20" s="238"/>
      <c r="F20" s="238"/>
      <c r="G20" s="238"/>
      <c r="H20" s="238"/>
      <c r="I20" s="1"/>
      <c r="J20" s="2"/>
    </row>
    <row r="21" spans="2:10" s="2" customFormat="1">
      <c r="B21" s="6" t="s">
        <v>684</v>
      </c>
      <c r="C21" s="94" t="str">
        <f>Data!$C$9</f>
        <v>£m 18/19</v>
      </c>
      <c r="D21" s="600">
        <v>6.6</v>
      </c>
      <c r="E21" s="600">
        <v>3.1</v>
      </c>
      <c r="F21" s="600">
        <v>0</v>
      </c>
      <c r="G21" s="600">
        <v>0</v>
      </c>
      <c r="H21" s="600">
        <v>0</v>
      </c>
      <c r="I21" s="1"/>
    </row>
    <row r="22" spans="2:10" s="2" customFormat="1">
      <c r="B22" t="s">
        <v>685</v>
      </c>
      <c r="C22" s="94" t="str">
        <f>Data!$C$9</f>
        <v>£m 18/19</v>
      </c>
      <c r="D22" s="599">
        <v>0.5</v>
      </c>
      <c r="E22" s="593">
        <v>0.5</v>
      </c>
      <c r="F22" s="593">
        <v>0</v>
      </c>
      <c r="G22" s="593">
        <v>0</v>
      </c>
      <c r="H22" s="593">
        <v>0</v>
      </c>
      <c r="I22" s="1"/>
    </row>
    <row r="23" spans="2:10" s="2" customFormat="1">
      <c r="B23" s="6" t="s">
        <v>686</v>
      </c>
      <c r="C23" s="94" t="str">
        <f>Data!$C$9</f>
        <v>£m 18/19</v>
      </c>
      <c r="D23" s="585">
        <f>D21-D22</f>
        <v>6.1</v>
      </c>
      <c r="E23" s="585">
        <f t="shared" ref="E23:H23" si="3">E21-E22</f>
        <v>2.6</v>
      </c>
      <c r="F23" s="585">
        <f t="shared" si="3"/>
        <v>0</v>
      </c>
      <c r="G23" s="585">
        <f t="shared" si="3"/>
        <v>0</v>
      </c>
      <c r="H23" s="585">
        <f t="shared" si="3"/>
        <v>0</v>
      </c>
      <c r="I23" s="1"/>
    </row>
    <row r="24" spans="2:10" s="2" customFormat="1">
      <c r="B24" s="6"/>
      <c r="C24" s="6"/>
      <c r="D24" s="6"/>
      <c r="E24" s="6"/>
      <c r="F24" s="6"/>
      <c r="G24" s="6"/>
      <c r="H24" s="6"/>
      <c r="I24" s="1"/>
    </row>
    <row r="25" spans="2:10" s="2" customFormat="1">
      <c r="B25" s="6"/>
      <c r="C25" s="6"/>
      <c r="D25" s="879" t="s">
        <v>687</v>
      </c>
      <c r="E25" s="6"/>
      <c r="F25" s="6"/>
      <c r="G25" s="6"/>
      <c r="H25" s="6"/>
      <c r="I25" s="1"/>
    </row>
    <row r="26" spans="2:10" s="2" customFormat="1" ht="12.75" customHeight="1">
      <c r="B26" s="6"/>
      <c r="C26" s="6"/>
      <c r="D26" s="880"/>
      <c r="E26" s="6"/>
      <c r="F26" s="6"/>
      <c r="G26" s="6"/>
      <c r="H26" s="6"/>
      <c r="I26" s="1"/>
    </row>
    <row r="27" spans="2:10">
      <c r="C27" s="6"/>
      <c r="D27" s="881"/>
      <c r="E27" s="6"/>
      <c r="I27" s="1"/>
    </row>
    <row r="28" spans="2:10">
      <c r="B28" s="6" t="s">
        <v>688</v>
      </c>
      <c r="C28" s="6"/>
      <c r="D28" s="601">
        <v>43555</v>
      </c>
      <c r="I28" s="1"/>
    </row>
    <row r="29" spans="2:10">
      <c r="B29" s="6"/>
      <c r="C29" s="6"/>
      <c r="D29" s="23"/>
      <c r="E29" s="24"/>
      <c r="F29" s="24"/>
      <c r="I29" s="1"/>
    </row>
    <row r="30" spans="2:10">
      <c r="B30" t="s">
        <v>548</v>
      </c>
      <c r="C30" s="6"/>
      <c r="D30" s="800">
        <v>43555</v>
      </c>
      <c r="E30" s="24"/>
      <c r="F30" s="24"/>
      <c r="I30" s="1"/>
    </row>
    <row r="31" spans="2:10">
      <c r="C31" s="6"/>
      <c r="D31" s="23"/>
      <c r="E31" s="24"/>
      <c r="F31" s="24"/>
      <c r="I31" s="1"/>
    </row>
    <row r="32" spans="2:10">
      <c r="B32" s="6"/>
      <c r="D32" s="143"/>
      <c r="E32" s="24"/>
      <c r="F32" s="24"/>
      <c r="I32" s="1"/>
    </row>
    <row r="33" spans="2:9">
      <c r="B33" t="s">
        <v>689</v>
      </c>
      <c r="C33" s="649" t="str">
        <f>"£m "&amp;$D$30</f>
        <v>£m 43555</v>
      </c>
      <c r="D33" s="593">
        <v>189.9403274103077</v>
      </c>
      <c r="I33" s="1"/>
    </row>
    <row r="34" spans="2:9">
      <c r="B34" t="s">
        <v>690</v>
      </c>
      <c r="C34" s="649" t="str">
        <f>"£m "&amp;$D$30</f>
        <v>£m 43555</v>
      </c>
      <c r="D34" s="593">
        <v>6559.7596725896919</v>
      </c>
      <c r="I34" s="1"/>
    </row>
    <row r="35" spans="2:9">
      <c r="C35" s="143"/>
      <c r="D35" s="238"/>
      <c r="I35" s="1"/>
    </row>
    <row r="36" spans="2:9">
      <c r="B36" t="s">
        <v>691</v>
      </c>
      <c r="C36" s="649" t="str">
        <f>"£m "&amp;$D$30</f>
        <v>£m 43555</v>
      </c>
      <c r="D36" s="593">
        <v>221.90000000000003</v>
      </c>
      <c r="I36" s="1"/>
    </row>
    <row r="37" spans="2:9">
      <c r="B37" t="s">
        <v>692</v>
      </c>
      <c r="C37" s="649" t="str">
        <f>"£m "&amp;$D$30</f>
        <v>£m 43555</v>
      </c>
      <c r="D37" s="593">
        <v>6445.5000000000009</v>
      </c>
      <c r="I37" s="1"/>
    </row>
    <row r="38" spans="2:9">
      <c r="C38" s="143"/>
      <c r="D38" s="238"/>
      <c r="I38" s="1"/>
    </row>
    <row r="39" spans="2:9">
      <c r="B39" s="25" t="s">
        <v>693</v>
      </c>
      <c r="C39" s="649" t="str">
        <f>"£m "&amp;$D$30</f>
        <v>£m 43555</v>
      </c>
      <c r="D39" s="585">
        <f>D33-D36</f>
        <v>-31.959672589692332</v>
      </c>
      <c r="I39" s="1"/>
    </row>
    <row r="40" spans="2:9">
      <c r="B40" s="25" t="s">
        <v>694</v>
      </c>
      <c r="C40" s="649" t="str">
        <f>"£m "&amp;$D$30</f>
        <v>£m 43555</v>
      </c>
      <c r="D40" s="585">
        <f>D34-D37</f>
        <v>114.25967258969104</v>
      </c>
      <c r="I40" s="1"/>
    </row>
    <row r="41" spans="2:9">
      <c r="C41" s="143"/>
      <c r="D41" s="238"/>
      <c r="I41" s="1"/>
    </row>
    <row r="42" spans="2:9">
      <c r="B42" t="s">
        <v>695</v>
      </c>
      <c r="C42" s="649" t="str">
        <f>"£m "&amp;$D$30</f>
        <v>£m 43555</v>
      </c>
      <c r="D42" s="593">
        <v>28.45065847483307</v>
      </c>
      <c r="I42" s="1"/>
    </row>
    <row r="43" spans="2:9">
      <c r="B43" t="s">
        <v>696</v>
      </c>
      <c r="C43" s="649" t="str">
        <f>"£m "&amp;$D$30</f>
        <v>£m 43555</v>
      </c>
      <c r="D43" s="593">
        <v>-7.9690741756208618</v>
      </c>
      <c r="I43" s="1"/>
    </row>
    <row r="44" spans="2:9">
      <c r="I44" s="1"/>
    </row>
    <row r="45" spans="2:9">
      <c r="I45" s="1"/>
    </row>
    <row r="46" spans="2:9">
      <c r="I46" s="1"/>
    </row>
    <row r="47" spans="2:9">
      <c r="B47" s="61" t="s">
        <v>697</v>
      </c>
      <c r="C47" s="73"/>
      <c r="D47" s="40"/>
      <c r="E47" s="40"/>
      <c r="F47" s="40"/>
      <c r="G47" s="40"/>
      <c r="H47" s="40"/>
      <c r="I47" s="1"/>
    </row>
    <row r="48" spans="2:9">
      <c r="I48" s="1"/>
    </row>
    <row r="49" spans="1:9">
      <c r="I49" s="1"/>
    </row>
    <row r="50" spans="1:9">
      <c r="I50" s="1"/>
    </row>
    <row r="51" spans="1:9">
      <c r="A51" s="2"/>
      <c r="B51" s="3"/>
      <c r="C51" s="3"/>
      <c r="D51" s="598" t="str">
        <f t="shared" ref="D51:H51" si="4">IF(D52&lt;=Reporting_Year,"Actuals","Forecast")</f>
        <v>Actuals</v>
      </c>
      <c r="E51" s="598" t="str">
        <f t="shared" si="4"/>
        <v>Forecast</v>
      </c>
      <c r="F51" s="598" t="str">
        <f t="shared" si="4"/>
        <v>Forecast</v>
      </c>
      <c r="G51" s="598" t="str">
        <f t="shared" si="4"/>
        <v>Forecast</v>
      </c>
      <c r="H51" s="598" t="str">
        <f t="shared" si="4"/>
        <v>Forecast</v>
      </c>
      <c r="I51" s="1"/>
    </row>
    <row r="52" spans="1:9">
      <c r="A52" s="2"/>
      <c r="B52" s="2"/>
      <c r="C52" s="6"/>
      <c r="D52" s="422">
        <f>'RFPR cover'!$C$6</f>
        <v>2022</v>
      </c>
      <c r="E52" s="422">
        <f t="shared" ref="E52:H52" si="5">D52+1</f>
        <v>2023</v>
      </c>
      <c r="F52" s="422">
        <f t="shared" si="5"/>
        <v>2024</v>
      </c>
      <c r="G52" s="422">
        <f t="shared" si="5"/>
        <v>2025</v>
      </c>
      <c r="H52" s="422">
        <f t="shared" si="5"/>
        <v>2026</v>
      </c>
      <c r="I52" s="1"/>
    </row>
    <row r="53" spans="1:9">
      <c r="D53" s="239"/>
      <c r="E53" s="239"/>
      <c r="F53" s="239"/>
      <c r="G53" s="239"/>
      <c r="H53" s="239"/>
      <c r="I53" s="1"/>
    </row>
    <row r="54" spans="1:9">
      <c r="B54" s="5" t="s">
        <v>698</v>
      </c>
      <c r="C54" s="94" t="str">
        <f>Data!$C$9</f>
        <v>£m 18/19</v>
      </c>
      <c r="D54" s="602">
        <f>(D$62+D$67)/INDEX(real_to_nominal_CF,MATCH('R10 - Pensions &amp; Oth Activities'!D52,calendar_year,0))</f>
        <v>0.56163558666096347</v>
      </c>
      <c r="E54" s="602">
        <f>(E$62+E$67)/INDEX(real_to_nominal_CF,MATCH('R10 - Pensions &amp; Oth Activities'!E52,calendar_year,0))</f>
        <v>0.48289486932399345</v>
      </c>
      <c r="F54" s="602">
        <f>(F$62+F$67)/INDEX(real_to_nominal_CF,MATCH('R10 - Pensions &amp; Oth Activities'!F52,calendar_year,0))</f>
        <v>0.46735506280763089</v>
      </c>
      <c r="G54" s="602">
        <f>(G$62+G$67)/INDEX(real_to_nominal_CF,MATCH('R10 - Pensions &amp; Oth Activities'!G52,calendar_year,0))</f>
        <v>0.45956810891975614</v>
      </c>
      <c r="H54" s="602">
        <f>(H$62+H$67)/INDEX(real_to_nominal_CF,MATCH('R10 - Pensions &amp; Oth Activities'!H52,calendar_year,0))</f>
        <v>0.45095275182556227</v>
      </c>
      <c r="I54" s="1"/>
    </row>
    <row r="55" spans="1:9">
      <c r="D55" s="239"/>
      <c r="E55" s="239"/>
      <c r="F55" s="239"/>
      <c r="G55" s="239"/>
      <c r="H55" s="239"/>
    </row>
    <row r="56" spans="1:9">
      <c r="B56" s="6" t="s">
        <v>699</v>
      </c>
      <c r="D56" s="239"/>
      <c r="E56" s="239"/>
      <c r="F56" s="239"/>
      <c r="G56" s="239"/>
      <c r="H56" s="239"/>
    </row>
    <row r="57" spans="1:9">
      <c r="B57" s="662" t="s">
        <v>700</v>
      </c>
      <c r="C57" s="75" t="s">
        <v>230</v>
      </c>
      <c r="D57" s="596">
        <v>0</v>
      </c>
      <c r="E57" s="596">
        <v>0</v>
      </c>
      <c r="F57" s="596">
        <v>0</v>
      </c>
      <c r="G57" s="596">
        <v>0</v>
      </c>
      <c r="H57" s="596">
        <v>0</v>
      </c>
    </row>
    <row r="58" spans="1:9">
      <c r="B58" s="662" t="s">
        <v>700</v>
      </c>
      <c r="C58" s="75" t="s">
        <v>230</v>
      </c>
      <c r="D58" s="596">
        <v>0</v>
      </c>
      <c r="E58" s="596">
        <v>0</v>
      </c>
      <c r="F58" s="596">
        <v>0</v>
      </c>
      <c r="G58" s="596">
        <v>0</v>
      </c>
      <c r="H58" s="596">
        <v>0</v>
      </c>
    </row>
    <row r="59" spans="1:9">
      <c r="B59" s="662" t="s">
        <v>527</v>
      </c>
      <c r="C59" s="75" t="s">
        <v>230</v>
      </c>
      <c r="D59" s="596">
        <v>0</v>
      </c>
      <c r="E59" s="596">
        <v>0</v>
      </c>
      <c r="F59" s="596">
        <v>0</v>
      </c>
      <c r="G59" s="596">
        <v>0</v>
      </c>
      <c r="H59" s="596">
        <v>0</v>
      </c>
    </row>
    <row r="60" spans="1:9">
      <c r="B60" s="6" t="s">
        <v>701</v>
      </c>
      <c r="C60" s="75" t="s">
        <v>230</v>
      </c>
      <c r="D60" s="602">
        <f t="shared" ref="D60:H60" si="6">SUM(D57:D59)</f>
        <v>0</v>
      </c>
      <c r="E60" s="602">
        <f t="shared" si="6"/>
        <v>0</v>
      </c>
      <c r="F60" s="602">
        <f t="shared" si="6"/>
        <v>0</v>
      </c>
      <c r="G60" s="602">
        <f t="shared" si="6"/>
        <v>0</v>
      </c>
      <c r="H60" s="602">
        <f t="shared" si="6"/>
        <v>0</v>
      </c>
    </row>
    <row r="61" spans="1:9">
      <c r="B61" s="2" t="s">
        <v>702</v>
      </c>
      <c r="C61" s="75" t="s">
        <v>230</v>
      </c>
      <c r="D61" s="596">
        <v>0</v>
      </c>
      <c r="E61" s="596">
        <v>0</v>
      </c>
      <c r="F61" s="596">
        <v>0</v>
      </c>
      <c r="G61" s="596">
        <v>0</v>
      </c>
      <c r="H61" s="596">
        <v>0</v>
      </c>
    </row>
    <row r="62" spans="1:9">
      <c r="B62" s="5" t="s">
        <v>703</v>
      </c>
      <c r="C62" s="75" t="s">
        <v>230</v>
      </c>
      <c r="D62" s="602">
        <f t="shared" ref="D62:H62" si="7">D60-D61</f>
        <v>0</v>
      </c>
      <c r="E62" s="602">
        <f t="shared" si="7"/>
        <v>0</v>
      </c>
      <c r="F62" s="602">
        <f t="shared" si="7"/>
        <v>0</v>
      </c>
      <c r="G62" s="602">
        <f t="shared" si="7"/>
        <v>0</v>
      </c>
      <c r="H62" s="602">
        <f t="shared" si="7"/>
        <v>0</v>
      </c>
    </row>
    <row r="64" spans="1:9">
      <c r="B64" s="6" t="s">
        <v>704</v>
      </c>
      <c r="D64" s="239"/>
      <c r="E64" s="239"/>
      <c r="F64" s="239"/>
      <c r="G64" s="239"/>
      <c r="H64" s="239"/>
    </row>
    <row r="65" spans="2:8">
      <c r="B65" s="662" t="s">
        <v>705</v>
      </c>
      <c r="C65" s="75" t="s">
        <v>230</v>
      </c>
      <c r="D65" s="596">
        <v>0.75216424000000004</v>
      </c>
      <c r="E65" s="596">
        <v>0.75216424000000004</v>
      </c>
      <c r="F65" s="596">
        <v>0.75216424000000004</v>
      </c>
      <c r="G65" s="596">
        <v>0.75216424000000004</v>
      </c>
      <c r="H65" s="596">
        <v>0.75216424000000004</v>
      </c>
    </row>
    <row r="66" spans="2:8">
      <c r="B66" s="2" t="s">
        <v>702</v>
      </c>
      <c r="C66" s="75" t="s">
        <v>230</v>
      </c>
      <c r="D66" s="596">
        <v>0.14291120560000001</v>
      </c>
      <c r="E66" s="596">
        <v>0.18804106000000001</v>
      </c>
      <c r="F66" s="596">
        <v>0.18804106000000001</v>
      </c>
      <c r="G66" s="596">
        <v>0.18804106000000001</v>
      </c>
      <c r="H66" s="596">
        <v>0.18804106000000001</v>
      </c>
    </row>
    <row r="67" spans="2:8">
      <c r="B67" s="5" t="s">
        <v>706</v>
      </c>
      <c r="C67" s="75" t="s">
        <v>230</v>
      </c>
      <c r="D67" s="602">
        <f t="shared" ref="D67:H67" si="8">D65-D66</f>
        <v>0.6092530344</v>
      </c>
      <c r="E67" s="602">
        <f t="shared" si="8"/>
        <v>0.56412318000000006</v>
      </c>
      <c r="F67" s="602">
        <f t="shared" si="8"/>
        <v>0.56412318000000006</v>
      </c>
      <c r="G67" s="602">
        <f t="shared" si="8"/>
        <v>0.56412318000000006</v>
      </c>
      <c r="H67" s="602">
        <f t="shared" si="8"/>
        <v>0.56412318000000006</v>
      </c>
    </row>
  </sheetData>
  <mergeCells count="1">
    <mergeCell ref="D25:D27"/>
  </mergeCells>
  <conditionalFormatting sqref="D6:G6 D52:G52">
    <cfRule type="expression" dxfId="12" priority="24">
      <formula>AND(D$4="Actuals",E$4="Forecast")</formula>
    </cfRule>
  </conditionalFormatting>
  <conditionalFormatting sqref="E12:H12 E14:H15">
    <cfRule type="expression" dxfId="11" priority="18">
      <formula>E$5="Forecast"</formula>
    </cfRule>
    <cfRule type="expression" dxfId="10" priority="19">
      <formula>E$5="Actuals"</formula>
    </cfRule>
  </conditionalFormatting>
  <conditionalFormatting sqref="D5:G6 D51:G52 I5:I12 I14:I54">
    <cfRule type="expression" dxfId="9" priority="17">
      <formula>AND(D$5="Actuals",E$5="Forecast")</formula>
    </cfRule>
  </conditionalFormatting>
  <conditionalFormatting sqref="D25">
    <cfRule type="expression" dxfId="8" priority="14">
      <formula>AND(E$4="Actuals",F$4="Forecast")</formula>
    </cfRule>
  </conditionalFormatting>
  <conditionalFormatting sqref="H6 H52">
    <cfRule type="expression" dxfId="7" priority="270">
      <formula>AND(H$4="Actuals",#REF!="Forecast")</formula>
    </cfRule>
  </conditionalFormatting>
  <conditionalFormatting sqref="H5:H6 H51:H52">
    <cfRule type="expression" dxfId="6" priority="278">
      <formula>AND(H$5="Actuals",#REF!="Forecast")</formula>
    </cfRule>
  </conditionalFormatting>
  <conditionalFormatting sqref="D7:H7">
    <cfRule type="expression" dxfId="5" priority="5">
      <formula>AND(D$5="Actuals",E$5="Forecast")</formula>
    </cfRule>
  </conditionalFormatting>
  <conditionalFormatting sqref="J17:J22">
    <cfRule type="expression" dxfId="4" priority="290">
      <formula>AND(I$5="Actuals",J$5="Forecast")</formula>
    </cfRule>
  </conditionalFormatting>
  <conditionalFormatting sqref="D12 D14:D15">
    <cfRule type="expression" dxfId="3" priority="3">
      <formula>D$5="Forecast"</formula>
    </cfRule>
    <cfRule type="expression" dxfId="2" priority="4">
      <formula>D$5="Actuals"</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zoomScale="80" zoomScaleNormal="80" workbookViewId="0">
      <pane ySplit="4" topLeftCell="A5" activePane="bottomLeft" state="frozen"/>
      <selection activeCell="B26" sqref="B26"/>
      <selection pane="bottomLeft" activeCell="C15" sqref="C15:N19"/>
    </sheetView>
  </sheetViews>
  <sheetFormatPr defaultRowHeight="12.4"/>
  <cols>
    <col min="1" max="1" width="8.3515625" customWidth="1"/>
    <col min="2" max="2" width="45.46875" customWidth="1"/>
    <col min="3" max="3" width="17.76171875" customWidth="1"/>
    <col min="4" max="4" width="13" customWidth="1"/>
    <col min="5" max="5" width="11.76171875" customWidth="1"/>
    <col min="6" max="6" width="11.234375" customWidth="1"/>
    <col min="7" max="7" width="13.76171875" customWidth="1"/>
    <col min="8" max="8" width="16.87890625" bestFit="1" customWidth="1"/>
    <col min="9" max="9" width="11.1171875" bestFit="1" customWidth="1"/>
    <col min="10" max="10" width="12.3515625" customWidth="1"/>
    <col min="11" max="11" width="11.234375" customWidth="1"/>
    <col min="12" max="12" width="12" customWidth="1"/>
    <col min="13" max="13" width="11.87890625" customWidth="1"/>
    <col min="14" max="14" width="12.76171875" customWidth="1"/>
  </cols>
  <sheetData>
    <row r="1" spans="1:14" ht="20.65">
      <c r="A1" s="777" t="s">
        <v>16</v>
      </c>
      <c r="B1" s="390"/>
      <c r="C1" s="390"/>
      <c r="D1" s="390"/>
      <c r="E1" s="390"/>
      <c r="F1" s="390"/>
      <c r="G1" s="390"/>
      <c r="H1" s="390"/>
      <c r="I1" s="390"/>
      <c r="J1" s="390"/>
      <c r="K1" s="390"/>
      <c r="L1" s="390"/>
      <c r="M1" s="390"/>
      <c r="N1" s="778"/>
    </row>
    <row r="2" spans="1:14" ht="20.65">
      <c r="A2" s="295" t="str">
        <f>Licensee</f>
        <v>Cadent-NW</v>
      </c>
      <c r="B2" s="293"/>
      <c r="C2" s="293"/>
      <c r="D2" s="293"/>
      <c r="E2" s="293"/>
      <c r="F2" s="293"/>
      <c r="G2" s="293"/>
      <c r="H2" s="293"/>
      <c r="I2" s="293"/>
      <c r="J2" s="293"/>
      <c r="K2" s="293"/>
      <c r="L2" s="293"/>
      <c r="M2" s="293"/>
      <c r="N2" s="296"/>
    </row>
    <row r="3" spans="1:14" ht="20.65">
      <c r="A3" s="290">
        <f>Reporting_Year</f>
        <v>2022</v>
      </c>
      <c r="B3" s="558"/>
      <c r="C3" s="558"/>
      <c r="D3" s="558"/>
      <c r="E3" s="558"/>
      <c r="F3" s="558"/>
      <c r="G3" s="558"/>
      <c r="H3" s="558"/>
      <c r="I3" s="558"/>
      <c r="J3" s="558"/>
      <c r="K3" s="558"/>
      <c r="L3" s="558"/>
      <c r="M3" s="558"/>
      <c r="N3" s="297"/>
    </row>
    <row r="6" spans="1:14" ht="24.75">
      <c r="B6" s="544" t="s">
        <v>17</v>
      </c>
      <c r="C6" s="561">
        <f>INDEX(O55:U83,MATCH(Licensee,Data!B55:B83,0),MATCH(Reporting_Year,Data!O54:U54,0))</f>
        <v>4.5181881000000007E-2</v>
      </c>
      <c r="F6" s="529" t="s">
        <v>18</v>
      </c>
      <c r="G6" s="88"/>
      <c r="H6" s="508" t="s">
        <v>19</v>
      </c>
      <c r="I6" s="560" t="s">
        <v>20</v>
      </c>
    </row>
    <row r="7" spans="1:14">
      <c r="B7" s="544" t="s">
        <v>21</v>
      </c>
      <c r="C7" s="561">
        <f>SUMIF(Data!$B$54:$B$83,'RFPR cover'!C7,Data!$C$54:$C$83)</f>
        <v>0.5</v>
      </c>
      <c r="F7" s="562">
        <v>0.1</v>
      </c>
      <c r="G7" s="195"/>
      <c r="H7" s="508" t="s">
        <v>22</v>
      </c>
      <c r="I7" s="509" t="s">
        <v>23</v>
      </c>
    </row>
    <row r="8" spans="1:14">
      <c r="B8" s="544" t="s">
        <v>24</v>
      </c>
      <c r="C8" s="559">
        <f>SUMIF(Data!$B$54:$B$83,'RFPR cover'!C7,Data!$D$54:$D$83)</f>
        <v>0.6</v>
      </c>
      <c r="H8" s="508" t="s">
        <v>25</v>
      </c>
      <c r="I8" s="509" t="s">
        <v>23</v>
      </c>
    </row>
    <row r="9" spans="1:14">
      <c r="B9" s="391" t="s">
        <v>26</v>
      </c>
      <c r="C9" s="548" t="str">
        <f>INDEX(Data!$F$55:$F$83,MATCH('RFPR cover'!$C$7,Data!$B$55:$B$83,0),0)</f>
        <v>£m 18/19</v>
      </c>
      <c r="H9" s="508" t="s">
        <v>27</v>
      </c>
      <c r="I9" s="509" t="s">
        <v>23</v>
      </c>
    </row>
    <row r="10" spans="1:14">
      <c r="H10" s="508" t="s">
        <v>28</v>
      </c>
      <c r="I10" s="509" t="s">
        <v>23</v>
      </c>
    </row>
    <row r="12" spans="1:14">
      <c r="B12" s="6" t="s">
        <v>29</v>
      </c>
    </row>
    <row r="13" spans="1:14">
      <c r="A13" s="17"/>
      <c r="B13" s="563" t="s">
        <v>30</v>
      </c>
      <c r="C13" s="564" t="str">
        <f t="shared" ref="C13:N13" si="0">IF(VALUE(C15)&lt;=Reporting_Year,"Actual","Forecast")</f>
        <v>Actual</v>
      </c>
      <c r="D13" s="564" t="str">
        <f t="shared" si="0"/>
        <v>Actual</v>
      </c>
      <c r="E13" s="564" t="str">
        <f t="shared" si="0"/>
        <v>Actual</v>
      </c>
      <c r="F13" s="564" t="str">
        <f t="shared" si="0"/>
        <v>Actual</v>
      </c>
      <c r="G13" s="564" t="str">
        <f t="shared" si="0"/>
        <v>Forecast</v>
      </c>
      <c r="H13" s="564" t="str">
        <f t="shared" si="0"/>
        <v>Forecast</v>
      </c>
      <c r="I13" s="564" t="str">
        <f t="shared" si="0"/>
        <v>Forecast</v>
      </c>
      <c r="J13" s="564" t="str">
        <f t="shared" si="0"/>
        <v>Forecast</v>
      </c>
      <c r="K13" s="564" t="str">
        <f t="shared" si="0"/>
        <v>Forecast</v>
      </c>
      <c r="L13" s="564" t="str">
        <f t="shared" si="0"/>
        <v>Forecast</v>
      </c>
      <c r="M13" s="564" t="str">
        <f t="shared" si="0"/>
        <v>Forecast</v>
      </c>
      <c r="N13" s="564" t="str">
        <f t="shared" si="0"/>
        <v>Forecast</v>
      </c>
    </row>
    <row r="14" spans="1:14">
      <c r="A14" s="17"/>
      <c r="B14" s="563" t="s">
        <v>31</v>
      </c>
      <c r="C14" s="565">
        <v>43555</v>
      </c>
      <c r="D14" s="566">
        <v>43921</v>
      </c>
      <c r="E14" s="566">
        <v>44286</v>
      </c>
      <c r="F14" s="566">
        <v>44651</v>
      </c>
      <c r="G14" s="566">
        <v>45016</v>
      </c>
      <c r="H14" s="565">
        <v>45382</v>
      </c>
      <c r="I14" s="565">
        <v>45747</v>
      </c>
      <c r="J14" s="565">
        <v>46112</v>
      </c>
      <c r="K14" s="565">
        <v>46477</v>
      </c>
      <c r="L14" s="565">
        <v>46843</v>
      </c>
      <c r="M14" s="565">
        <v>47208</v>
      </c>
      <c r="N14" s="565">
        <v>47573</v>
      </c>
    </row>
    <row r="15" spans="1:14">
      <c r="A15" s="17"/>
      <c r="B15" s="563" t="s">
        <v>32</v>
      </c>
      <c r="C15" s="567">
        <v>2019</v>
      </c>
      <c r="D15" s="568">
        <v>2020</v>
      </c>
      <c r="E15" s="567">
        <v>2021</v>
      </c>
      <c r="F15" s="568">
        <v>2022</v>
      </c>
      <c r="G15" s="567">
        <v>2023</v>
      </c>
      <c r="H15" s="568">
        <v>2024</v>
      </c>
      <c r="I15" s="567">
        <v>2025</v>
      </c>
      <c r="J15" s="568">
        <v>2026</v>
      </c>
      <c r="K15" s="567">
        <v>2027</v>
      </c>
      <c r="L15" s="568">
        <v>2028</v>
      </c>
      <c r="M15" s="567">
        <v>2029</v>
      </c>
      <c r="N15" s="568">
        <v>2030</v>
      </c>
    </row>
    <row r="16" spans="1:14">
      <c r="A16" s="17"/>
      <c r="B16" s="569" t="s">
        <v>33</v>
      </c>
      <c r="C16" s="616">
        <v>283.30833333333334</v>
      </c>
      <c r="D16" s="617">
        <v>290.64166666666665</v>
      </c>
      <c r="E16" s="617">
        <v>294.16666666666669</v>
      </c>
      <c r="F16" s="617">
        <v>307.32821397646848</v>
      </c>
      <c r="G16" s="617">
        <v>330.96395938982295</v>
      </c>
      <c r="H16" s="617">
        <v>341.96868856063776</v>
      </c>
      <c r="I16" s="617">
        <v>347.76302971972729</v>
      </c>
      <c r="J16" s="617">
        <v>354.40696896406115</v>
      </c>
      <c r="K16" s="426">
        <f t="shared" ref="K16:N17" si="1">J16*(1+K$20)</f>
        <v>361.49510834334239</v>
      </c>
      <c r="L16" s="426">
        <f t="shared" si="1"/>
        <v>368.72501051020924</v>
      </c>
      <c r="M16" s="426">
        <f t="shared" si="1"/>
        <v>376.09951072041343</v>
      </c>
      <c r="N16" s="426">
        <f t="shared" si="1"/>
        <v>383.62150093482171</v>
      </c>
    </row>
    <row r="17" spans="1:23">
      <c r="A17" s="17"/>
      <c r="B17" s="563" t="s">
        <v>34</v>
      </c>
      <c r="C17" s="616">
        <v>286.64999999999998</v>
      </c>
      <c r="D17" s="617">
        <v>292.60000000000002</v>
      </c>
      <c r="E17" s="617">
        <v>298.42363263445759</v>
      </c>
      <c r="F17" s="617">
        <v>319.91658048382931</v>
      </c>
      <c r="G17" s="617">
        <v>337.82117245956056</v>
      </c>
      <c r="H17" s="617">
        <v>344.75394696522062</v>
      </c>
      <c r="I17" s="617">
        <v>350.98716524424435</v>
      </c>
      <c r="J17" s="617">
        <v>357.62377789692238</v>
      </c>
      <c r="K17" s="426">
        <f t="shared" si="1"/>
        <v>364.77625345486081</v>
      </c>
      <c r="L17" s="426">
        <f t="shared" si="1"/>
        <v>372.07177852395802</v>
      </c>
      <c r="M17" s="426">
        <f t="shared" si="1"/>
        <v>379.51321409443716</v>
      </c>
      <c r="N17" s="426">
        <f t="shared" si="1"/>
        <v>387.10347837632588</v>
      </c>
    </row>
    <row r="18" spans="1:23" ht="12.75">
      <c r="A18" s="17"/>
      <c r="B18" s="563" t="s">
        <v>35</v>
      </c>
      <c r="C18" s="448">
        <v>0.19</v>
      </c>
      <c r="D18" s="618">
        <v>0.19</v>
      </c>
      <c r="E18" s="618">
        <v>0.19</v>
      </c>
      <c r="F18" s="618">
        <v>0.19</v>
      </c>
      <c r="G18" s="448">
        <v>0.19</v>
      </c>
      <c r="H18" s="448">
        <v>0.25</v>
      </c>
      <c r="I18" s="448">
        <v>0.25</v>
      </c>
      <c r="J18" s="448">
        <v>0.25</v>
      </c>
      <c r="K18" s="447">
        <v>0.25</v>
      </c>
      <c r="L18" s="447">
        <v>0.25</v>
      </c>
      <c r="M18" s="447">
        <v>0.25</v>
      </c>
      <c r="N18" s="447">
        <v>0.25</v>
      </c>
    </row>
    <row r="19" spans="1:23">
      <c r="A19" s="17"/>
      <c r="B19" s="334" t="s">
        <v>36</v>
      </c>
      <c r="C19" s="619">
        <v>106.43333333333334</v>
      </c>
      <c r="D19" s="619">
        <v>108.24166666666663</v>
      </c>
      <c r="E19" s="619">
        <v>109.10833333333335</v>
      </c>
      <c r="F19" s="619">
        <v>113.11666666666667</v>
      </c>
      <c r="G19" s="619">
        <v>121.81615019519597</v>
      </c>
      <c r="H19" s="619">
        <v>125.86660252843778</v>
      </c>
      <c r="I19" s="619">
        <v>127.99929496485652</v>
      </c>
      <c r="J19" s="619">
        <v>130.44469446505488</v>
      </c>
      <c r="K19" s="426">
        <f>J19*(1+K$20)</f>
        <v>133.05358835435598</v>
      </c>
      <c r="L19" s="426">
        <f>K19*(1+L$20)</f>
        <v>135.7146601214431</v>
      </c>
      <c r="M19" s="426">
        <f>L19*(1+M$20)</f>
        <v>138.42895332387198</v>
      </c>
      <c r="N19" s="426">
        <f>M19*(1+N$20)</f>
        <v>141.19753239034941</v>
      </c>
      <c r="U19" s="326"/>
      <c r="V19" s="326"/>
    </row>
    <row r="20" spans="1:23" ht="15.4">
      <c r="A20" s="17"/>
      <c r="B20" s="563" t="s">
        <v>37</v>
      </c>
      <c r="C20" s="334"/>
      <c r="D20" s="334"/>
      <c r="E20" s="334"/>
      <c r="F20" s="334"/>
      <c r="G20" s="334"/>
      <c r="H20" s="335"/>
      <c r="I20" s="334"/>
      <c r="J20" s="334"/>
      <c r="K20" s="448">
        <v>0.02</v>
      </c>
      <c r="L20" s="448">
        <v>0.02</v>
      </c>
      <c r="M20" s="448">
        <v>0.02</v>
      </c>
      <c r="N20" s="448">
        <v>0.02</v>
      </c>
      <c r="O20" s="371" t="s">
        <v>38</v>
      </c>
      <c r="U20" s="326"/>
      <c r="V20" s="326"/>
    </row>
    <row r="21" spans="1:23" ht="15.4">
      <c r="A21" s="17"/>
      <c r="B21" s="331"/>
      <c r="C21" s="327"/>
      <c r="D21" s="327"/>
      <c r="E21" s="327"/>
      <c r="F21" s="327"/>
      <c r="G21" s="327"/>
      <c r="U21" s="326"/>
      <c r="V21" s="326"/>
    </row>
    <row r="22" spans="1:23" ht="15.4">
      <c r="A22" s="17"/>
      <c r="B22" s="342"/>
      <c r="C22" s="343"/>
      <c r="D22" s="671"/>
      <c r="E22" s="343"/>
      <c r="F22" s="343"/>
      <c r="G22" s="343"/>
      <c r="U22" s="326"/>
      <c r="V22" s="326"/>
    </row>
    <row r="23" spans="1:23">
      <c r="B23" s="321"/>
      <c r="C23" s="525"/>
      <c r="D23" s="322"/>
      <c r="E23" s="323"/>
      <c r="F23" s="323"/>
      <c r="G23" s="324"/>
    </row>
    <row r="24" spans="1:23">
      <c r="D24" s="564" t="str">
        <f>IF(D25&lt;='RFPR cover'!$C$9,"Actuals","Forecast")</f>
        <v>Actuals</v>
      </c>
      <c r="E24" s="564" t="str">
        <f>IF(E25&lt;='RFPR cover'!$C$9,"Actuals","Forecast")</f>
        <v>Actuals</v>
      </c>
      <c r="F24" s="564" t="str">
        <f>IF(F25&lt;='RFPR cover'!$C$9,"Actuals","Forecast")</f>
        <v>Forecast</v>
      </c>
      <c r="G24" s="564" t="str">
        <f>IF(G25&lt;='RFPR cover'!$C$9,"Actuals","Forecast")</f>
        <v>Forecast</v>
      </c>
      <c r="H24" s="564" t="str">
        <f>IF(H25&lt;='RFPR cover'!$C$9,"Actuals","Forecast")</f>
        <v>Forecast</v>
      </c>
      <c r="I24" s="564" t="str">
        <f>IF(I25&lt;='RFPR cover'!$C$9,"Actuals","Forecast")</f>
        <v>Forecast</v>
      </c>
      <c r="J24" s="564" t="str">
        <f>IF(J25&lt;='RFPR cover'!$C$9,"Actuals","Forecast")</f>
        <v>Forecast</v>
      </c>
      <c r="K24" s="564" t="str">
        <f>IF(K25&lt;='RFPR cover'!$C$9,"Actuals","Forecast")</f>
        <v>Forecast</v>
      </c>
    </row>
    <row r="25" spans="1:23" ht="14.25" customHeight="1">
      <c r="D25" s="392">
        <v>2021</v>
      </c>
      <c r="E25" s="393">
        <f t="shared" ref="E25:K25" si="2">D25+1</f>
        <v>2022</v>
      </c>
      <c r="F25" s="393">
        <f t="shared" si="2"/>
        <v>2023</v>
      </c>
      <c r="G25" s="393">
        <f t="shared" si="2"/>
        <v>2024</v>
      </c>
      <c r="H25" s="393">
        <f t="shared" si="2"/>
        <v>2025</v>
      </c>
      <c r="I25" s="393">
        <f t="shared" si="2"/>
        <v>2026</v>
      </c>
      <c r="J25" s="393">
        <f t="shared" si="2"/>
        <v>2027</v>
      </c>
      <c r="K25" s="393">
        <f t="shared" si="2"/>
        <v>2028</v>
      </c>
      <c r="M25" s="27"/>
    </row>
    <row r="26" spans="1:23" ht="48.75" customHeight="1">
      <c r="C26" s="570" t="s">
        <v>39</v>
      </c>
      <c r="D26" s="432">
        <f t="shared" ref="D26:K26" si="3">IF(SectorCov="ED2",G16/INDEX($C$16:$N$16,MATCH($E$15,$C$15:$N$15,0)),E16/INDEX($C$16:$N$16,MATCH($C$15,$C$15:$N$15,0)))</f>
        <v>1.0383269111980469</v>
      </c>
      <c r="E26" s="432">
        <f t="shared" si="3"/>
        <v>1.0847835302284383</v>
      </c>
      <c r="F26" s="432">
        <f t="shared" si="3"/>
        <v>1.1682111694202062</v>
      </c>
      <c r="G26" s="432">
        <f t="shared" si="3"/>
        <v>1.2070548174037865</v>
      </c>
      <c r="H26" s="432">
        <f t="shared" si="3"/>
        <v>1.2275072378847331</v>
      </c>
      <c r="I26" s="432">
        <f t="shared" si="3"/>
        <v>1.2509585044470788</v>
      </c>
      <c r="J26" s="432">
        <f t="shared" si="3"/>
        <v>1.2759776745360205</v>
      </c>
      <c r="K26" s="432">
        <f t="shared" si="3"/>
        <v>1.3014972280267409</v>
      </c>
      <c r="M26" s="347"/>
      <c r="N26" s="347"/>
      <c r="O26" s="347"/>
      <c r="P26" s="347"/>
      <c r="Q26" s="347"/>
      <c r="R26" s="347"/>
    </row>
    <row r="27" spans="1:23" ht="58.5" customHeight="1">
      <c r="C27" s="379" t="s">
        <v>40</v>
      </c>
      <c r="D27" s="432">
        <f>INDEX(Data!$C$16:$N$16,MATCH(D$25,Data!$C$15:$N$15,0))/INDEX(Data!$C$16:$N$16,MATCH(D$25-1,Data!$C$15:$N$15,0))</f>
        <v>1.0121283367262093</v>
      </c>
      <c r="E27" s="432">
        <f>INDEX(Data!$C$16:$N$16,MATCH(E$25,Data!$C$15:$N$15,0))/INDEX(Data!$C$16:$N$16,MATCH(E$25-1,Data!$C$15:$N$15,0))</f>
        <v>1.0447418038860117</v>
      </c>
      <c r="F27" s="432">
        <f>INDEX(Data!$C$16:$N$16,MATCH(F$25,Data!$C$15:$N$15,0))/INDEX(Data!$C$16:$N$16,MATCH(F$25-1,Data!$C$15:$N$15,0))</f>
        <v>1.0769071772081564</v>
      </c>
      <c r="G27" s="432">
        <f>INDEX(Data!$C$16:$N$16,MATCH(G$25,Data!$C$15:$N$15,0))/INDEX(Data!$C$16:$N$16,MATCH(G$25-1,Data!$C$15:$N$15,0))</f>
        <v>1.033250536375935</v>
      </c>
      <c r="H27" s="432">
        <f>INDEX(Data!$C$16:$N$16,MATCH(H$25,Data!$C$15:$N$15,0))/INDEX(Data!$C$16:$N$16,MATCH(H$25-1,Data!$C$15:$N$15,0))</f>
        <v>1.0169440693049361</v>
      </c>
      <c r="I27" s="432">
        <f>INDEX(Data!$C$16:$N$16,MATCH(I$25,Data!$C$15:$N$15,0))/INDEX(Data!$C$16:$N$16,MATCH(I$25-1,Data!$C$15:$N$15,0))</f>
        <v>1.0191047888261395</v>
      </c>
      <c r="J27" s="432">
        <f>INDEX(Data!$C$16:$N$16,MATCH(J$25,Data!$C$15:$N$15,0))/INDEX(Data!$C$16:$N$16,MATCH(J$25-1,Data!$C$15:$N$15,0))</f>
        <v>1.02</v>
      </c>
      <c r="K27" s="432">
        <f>INDEX(Data!$C$16:$N$16,MATCH(K$25,Data!$C$15:$N$15,0))/INDEX(Data!$C$16:$N$16,MATCH(K$25-1,Data!$C$15:$N$15,0))</f>
        <v>1.02</v>
      </c>
      <c r="M27" s="347"/>
    </row>
    <row r="28" spans="1:23" ht="71.25" customHeight="1">
      <c r="C28" s="379" t="s">
        <v>41</v>
      </c>
      <c r="D28" s="432">
        <f>IF(SectorCov="ED2",INDEX(Data!$C$17:$N$17,MATCH(D$25,Data!$C$15:$N$15,0))/Data!$E$16,INDEX(Data!$C$17:$N$17,MATCH(D$25,Data!$C$15:$N$15,0))/Data!$C$16)</f>
        <v>1.0533528227824487</v>
      </c>
      <c r="E28" s="432">
        <f>IF(SectorCov="ED2",INDEX(Data!$C$17:$N$17,MATCH(E$25,Data!$C$15:$N$15,0))/Data!$E$16,INDEX(Data!$C$17:$N$17,MATCH(E$25,Data!$C$15:$N$15,0))/Data!$C$16)</f>
        <v>1.1292169796764278</v>
      </c>
      <c r="F28" s="432">
        <f>IF(SectorCov="ED2",INDEX(Data!$C$17:$N$17,MATCH(F$25,Data!$C$15:$N$15,0))/Data!$E$16,INDEX(Data!$C$17:$N$17,MATCH(F$25,Data!$C$15:$N$15,0))/Data!$C$16)</f>
        <v>1.192415233554351</v>
      </c>
      <c r="G28" s="432">
        <f>IF(SectorCov="ED2",INDEX(Data!$C$17:$N$17,MATCH(G$25,Data!$C$15:$N$15,0))/Data!$E$16,INDEX(Data!$C$17:$N$17,MATCH(G$25,Data!$C$15:$N$15,0))/Data!$C$16)</f>
        <v>1.2168860086427178</v>
      </c>
      <c r="H28" s="432">
        <f>IF(SectorCov="ED2",INDEX(Data!$C$17:$N$17,MATCH(H$25,Data!$C$15:$N$15,0))/Data!$E$16,INDEX(Data!$C$17:$N$17,MATCH(H$25,Data!$C$15:$N$15,0))/Data!$C$16)</f>
        <v>1.2388875438806166</v>
      </c>
      <c r="I28" s="432">
        <f>IF(SectorCov="ED2",INDEX(Data!$C$17:$N$17,MATCH(I$25,Data!$C$15:$N$15,0))/Data!$E$16,INDEX(Data!$C$17:$N$17,MATCH(I$25,Data!$C$15:$N$15,0))/Data!$C$16)</f>
        <v>1.262312949602338</v>
      </c>
      <c r="J28" s="432">
        <f>IF(SectorCov="ED2",INDEX(Data!$C$17:$N$17,MATCH(J$25,Data!$C$15:$N$15,0))/Data!$E$16,INDEX(Data!$C$17:$N$17,MATCH(J$25,Data!$C$15:$N$15,0))/Data!$C$16)</f>
        <v>1.2875592085943848</v>
      </c>
      <c r="K28" s="432">
        <f>IF(SectorCov="ED2",INDEX(Data!$C$17:$N$17,MATCH(K$25,Data!$C$15:$N$15,0))/Data!$E$16,INDEX(Data!$C$17:$N$17,MATCH(K$25,Data!$C$15:$N$15,0))/Data!$C$16)</f>
        <v>1.3133103927662724</v>
      </c>
      <c r="M28" s="347"/>
    </row>
    <row r="29" spans="1:23">
      <c r="A29" s="332"/>
      <c r="B29" s="332"/>
      <c r="C29" s="332"/>
      <c r="M29" s="347"/>
      <c r="N29" s="332"/>
      <c r="O29" s="332"/>
      <c r="P29" s="332"/>
      <c r="Q29" s="332"/>
      <c r="R29" s="332"/>
      <c r="S29" s="332"/>
      <c r="T29" s="332"/>
      <c r="U29" s="332"/>
      <c r="V29" s="332"/>
      <c r="W29" s="332"/>
    </row>
    <row r="30" spans="1:23">
      <c r="B30" s="270"/>
      <c r="C30" s="325"/>
      <c r="D30" s="325"/>
      <c r="E30" s="325"/>
      <c r="F30" s="325"/>
      <c r="G30" s="325"/>
      <c r="H30" s="325"/>
      <c r="I30" s="325"/>
      <c r="J30" s="325"/>
      <c r="K30" s="325"/>
      <c r="M30" s="347"/>
    </row>
    <row r="31" spans="1:23">
      <c r="E31" s="370"/>
      <c r="F31" s="370"/>
      <c r="G31" s="370"/>
      <c r="H31" s="370"/>
      <c r="I31" s="370"/>
      <c r="J31" s="370"/>
      <c r="K31" s="370"/>
      <c r="L31" s="370"/>
      <c r="M31" s="347"/>
    </row>
    <row r="32" spans="1:23">
      <c r="B32" s="270"/>
      <c r="C32" s="325"/>
      <c r="D32" s="325"/>
      <c r="E32" s="325"/>
      <c r="F32" s="325"/>
      <c r="G32" s="325"/>
      <c r="H32" s="325"/>
      <c r="I32" s="325"/>
      <c r="J32" s="325"/>
    </row>
    <row r="33" spans="1:20">
      <c r="B33" s="163"/>
      <c r="C33" s="163"/>
      <c r="D33" s="98"/>
      <c r="E33" s="163"/>
      <c r="F33" s="164"/>
      <c r="G33" s="165"/>
      <c r="H33" s="165"/>
      <c r="I33" s="165"/>
      <c r="J33" s="166"/>
      <c r="K33" s="166"/>
      <c r="L33" s="98"/>
      <c r="M33" s="98"/>
      <c r="N33" s="98"/>
      <c r="O33" s="98"/>
      <c r="P33" s="98"/>
      <c r="Q33" s="98"/>
      <c r="R33" s="98"/>
      <c r="S33" s="98"/>
      <c r="T33" s="98"/>
    </row>
    <row r="34" spans="1:20">
      <c r="B34" s="162" t="s">
        <v>42</v>
      </c>
      <c r="C34" s="88"/>
      <c r="I34" s="39"/>
    </row>
    <row r="35" spans="1:20">
      <c r="C35" s="392">
        <f>RIIO_2_start_date</f>
        <v>2022</v>
      </c>
      <c r="D35" s="393">
        <f t="shared" ref="D35" si="4">C35+1</f>
        <v>2023</v>
      </c>
      <c r="E35" s="393">
        <f t="shared" ref="E35" si="5">D35+1</f>
        <v>2024</v>
      </c>
      <c r="F35" s="393">
        <f t="shared" ref="F35" si="6">E35+1</f>
        <v>2025</v>
      </c>
      <c r="G35" s="393">
        <f t="shared" ref="G35" si="7">F35+1</f>
        <v>2026</v>
      </c>
      <c r="H35" s="393">
        <f t="shared" ref="H35" si="8">G35+1</f>
        <v>2027</v>
      </c>
      <c r="I35" s="393">
        <f t="shared" ref="I35" si="9">H35+1</f>
        <v>2028</v>
      </c>
      <c r="J35" s="393">
        <f t="shared" ref="J35" si="10">I35+1</f>
        <v>2029</v>
      </c>
    </row>
    <row r="36" spans="1:20">
      <c r="B36" s="389" t="s">
        <v>43</v>
      </c>
      <c r="C36" s="380"/>
      <c r="D36" s="381"/>
      <c r="E36" s="353"/>
      <c r="F36" s="353"/>
      <c r="G36" s="353"/>
      <c r="H36" s="353"/>
      <c r="I36" s="354"/>
    </row>
    <row r="37" spans="1:20">
      <c r="A37" s="340"/>
      <c r="B37" s="383" t="s">
        <v>44</v>
      </c>
      <c r="C37" s="382"/>
      <c r="D37" s="196"/>
      <c r="E37" s="355"/>
      <c r="F37" s="355"/>
      <c r="G37" s="355"/>
      <c r="H37" s="355"/>
      <c r="I37" s="161"/>
    </row>
    <row r="38" spans="1:20">
      <c r="A38" s="340"/>
      <c r="B38" s="383" t="s">
        <v>45</v>
      </c>
      <c r="C38" s="383">
        <v>1.8143044979056552E-2</v>
      </c>
      <c r="D38" s="355">
        <v>1.5909426602326575E-2</v>
      </c>
      <c r="E38" s="355">
        <v>1.5486013713550701E-2</v>
      </c>
      <c r="F38" s="355">
        <v>1.4921786215027617E-2</v>
      </c>
      <c r="G38" s="355">
        <v>1.4560675534238218E-2</v>
      </c>
      <c r="H38" s="196"/>
      <c r="I38" s="384"/>
    </row>
    <row r="39" spans="1:20">
      <c r="A39" s="341"/>
      <c r="B39" s="383" t="s">
        <v>46</v>
      </c>
      <c r="C39" s="383">
        <v>2.0500000000000001E-2</v>
      </c>
      <c r="D39" s="355">
        <v>1.9E-2</v>
      </c>
      <c r="E39" s="355">
        <v>1.83E-2</v>
      </c>
      <c r="F39" s="355">
        <v>1.78E-2</v>
      </c>
      <c r="G39" s="355">
        <v>1.7500000000000002E-2</v>
      </c>
      <c r="H39" s="196"/>
      <c r="I39" s="384"/>
      <c r="N39" s="307"/>
      <c r="O39" s="307"/>
      <c r="P39" s="307"/>
      <c r="Q39" s="307"/>
      <c r="R39" s="307"/>
    </row>
    <row r="40" spans="1:20">
      <c r="A40" s="340"/>
      <c r="B40" s="383" t="s">
        <v>25</v>
      </c>
      <c r="C40" s="383">
        <v>2.0500000000000001E-2</v>
      </c>
      <c r="D40" s="355">
        <v>1.9E-2</v>
      </c>
      <c r="E40" s="355">
        <v>1.83E-2</v>
      </c>
      <c r="F40" s="355">
        <v>1.78E-2</v>
      </c>
      <c r="G40" s="355">
        <v>1.7500000000000002E-2</v>
      </c>
      <c r="H40" s="196"/>
      <c r="I40" s="384"/>
    </row>
    <row r="41" spans="1:20">
      <c r="A41" s="340"/>
      <c r="B41" s="383" t="s">
        <v>47</v>
      </c>
      <c r="C41" s="383">
        <v>2.1100000000000001E-2</v>
      </c>
      <c r="D41" s="355">
        <v>1.9599999999999999E-2</v>
      </c>
      <c r="E41" s="355">
        <v>1.89E-2</v>
      </c>
      <c r="F41" s="355">
        <v>1.84E-2</v>
      </c>
      <c r="G41" s="355">
        <v>1.8100000000000002E-2</v>
      </c>
      <c r="H41" s="196"/>
      <c r="I41" s="384"/>
    </row>
    <row r="42" spans="1:20">
      <c r="A42" s="340"/>
      <c r="B42" s="383" t="s">
        <v>27</v>
      </c>
      <c r="C42" s="383">
        <v>2.0500000000000001E-2</v>
      </c>
      <c r="D42" s="355">
        <v>1.9E-2</v>
      </c>
      <c r="E42" s="355">
        <v>1.83E-2</v>
      </c>
      <c r="F42" s="355">
        <v>1.78E-2</v>
      </c>
      <c r="G42" s="355">
        <v>1.7500000000000002E-2</v>
      </c>
      <c r="H42" s="196"/>
      <c r="I42" s="384"/>
    </row>
    <row r="43" spans="1:20">
      <c r="A43" s="340"/>
      <c r="B43" s="385" t="s">
        <v>28</v>
      </c>
      <c r="C43" s="385">
        <v>-1E-4</v>
      </c>
      <c r="D43" s="386">
        <v>9.2999999999999992E-3</v>
      </c>
      <c r="E43" s="386">
        <v>1.06E-2</v>
      </c>
      <c r="F43" s="386">
        <v>9.1999999999999998E-3</v>
      </c>
      <c r="G43" s="386">
        <v>7.7999999999999996E-3</v>
      </c>
      <c r="H43" s="387"/>
      <c r="I43" s="388"/>
    </row>
    <row r="44" spans="1:20">
      <c r="H44" s="39"/>
    </row>
    <row r="45" spans="1:20">
      <c r="B45" s="162" t="s">
        <v>48</v>
      </c>
      <c r="C45" s="88"/>
      <c r="I45" s="39"/>
    </row>
    <row r="46" spans="1:20">
      <c r="A46" s="33" t="s">
        <v>6</v>
      </c>
      <c r="C46" s="392">
        <f>RIIO_2_start_date</f>
        <v>2022</v>
      </c>
      <c r="D46" s="393">
        <f t="shared" ref="D46:J46" si="11">C46+1</f>
        <v>2023</v>
      </c>
      <c r="E46" s="393">
        <f t="shared" si="11"/>
        <v>2024</v>
      </c>
      <c r="F46" s="393">
        <f t="shared" si="11"/>
        <v>2025</v>
      </c>
      <c r="G46" s="393">
        <f t="shared" si="11"/>
        <v>2026</v>
      </c>
      <c r="H46" s="393">
        <f t="shared" si="11"/>
        <v>2027</v>
      </c>
      <c r="I46" s="393">
        <f t="shared" si="11"/>
        <v>2028</v>
      </c>
      <c r="J46" s="393">
        <f t="shared" si="11"/>
        <v>2029</v>
      </c>
    </row>
    <row r="47" spans="1:20">
      <c r="A47" s="33" t="s">
        <v>49</v>
      </c>
      <c r="B47" s="383" t="s">
        <v>19</v>
      </c>
      <c r="C47" s="382"/>
      <c r="D47" s="196"/>
      <c r="E47" s="355"/>
      <c r="F47" s="355"/>
      <c r="G47" s="355"/>
      <c r="H47" s="355"/>
      <c r="I47" s="161"/>
    </row>
    <row r="48" spans="1:20">
      <c r="A48" s="33" t="s">
        <v>50</v>
      </c>
      <c r="B48" s="383" t="s">
        <v>22</v>
      </c>
      <c r="C48" s="383">
        <v>4.2439449777777784E-2</v>
      </c>
      <c r="D48" s="355">
        <v>4.2616093333333334E-2</v>
      </c>
      <c r="E48" s="355">
        <v>4.2388117333333329E-2</v>
      </c>
      <c r="F48" s="355">
        <v>4.2547130666666676E-2</v>
      </c>
      <c r="G48" s="355">
        <v>4.2685452444444452E-2</v>
      </c>
      <c r="H48" s="196"/>
      <c r="I48" s="384"/>
      <c r="N48" s="307"/>
      <c r="O48" s="307"/>
      <c r="P48" s="307"/>
      <c r="Q48" s="307"/>
      <c r="R48" s="307"/>
    </row>
    <row r="49" spans="1:23">
      <c r="A49" s="33" t="s">
        <v>51</v>
      </c>
      <c r="B49" s="383" t="s">
        <v>25</v>
      </c>
      <c r="C49" s="383">
        <v>4.5181881000000007E-2</v>
      </c>
      <c r="D49" s="355">
        <v>4.5568105000000005E-2</v>
      </c>
      <c r="E49" s="355">
        <v>4.5399131999999995E-2</v>
      </c>
      <c r="F49" s="355">
        <v>4.564052200000001E-2</v>
      </c>
      <c r="G49" s="355">
        <v>4.5833633999999998E-2</v>
      </c>
      <c r="H49" s="196"/>
      <c r="I49" s="384"/>
    </row>
    <row r="50" spans="1:23">
      <c r="A50" s="33" t="s">
        <v>52</v>
      </c>
      <c r="B50" s="383" t="s">
        <v>27</v>
      </c>
      <c r="C50" s="620">
        <v>4.5181881000000007E-2</v>
      </c>
      <c r="D50" s="621">
        <v>4.5568105000000005E-2</v>
      </c>
      <c r="E50" s="621">
        <v>4.5399131999999995E-2</v>
      </c>
      <c r="F50" s="621">
        <v>4.564052200000001E-2</v>
      </c>
      <c r="G50" s="621">
        <v>4.5833633999999998E-2</v>
      </c>
      <c r="H50" s="196"/>
      <c r="I50" s="384"/>
    </row>
    <row r="51" spans="1:23">
      <c r="A51" s="33" t="s">
        <v>53</v>
      </c>
      <c r="B51" s="385" t="s">
        <v>28</v>
      </c>
      <c r="C51" s="622">
        <v>7.5718976000000007E-2</v>
      </c>
      <c r="D51" s="622">
        <v>7.5510080000000007E-2</v>
      </c>
      <c r="E51" s="622">
        <v>7.5601472000000003E-2</v>
      </c>
      <c r="F51" s="622">
        <v>7.5470912000000001E-2</v>
      </c>
      <c r="G51" s="622">
        <v>7.5366464000000008E-2</v>
      </c>
      <c r="H51" s="472"/>
      <c r="I51" s="388"/>
    </row>
    <row r="52" spans="1:23" ht="12.75" thickBot="1">
      <c r="A52" s="340"/>
      <c r="B52" s="470"/>
      <c r="C52" s="470"/>
      <c r="D52" s="470"/>
      <c r="E52" s="470"/>
      <c r="F52" s="470"/>
      <c r="G52" s="470"/>
      <c r="H52" s="471"/>
      <c r="I52" s="471"/>
    </row>
    <row r="53" spans="1:23" s="332" customFormat="1" ht="37.5" thickBot="1">
      <c r="A53"/>
      <c r="B53" s="11"/>
      <c r="C53" s="506" t="s">
        <v>54</v>
      </c>
      <c r="D53" s="506" t="s">
        <v>55</v>
      </c>
      <c r="E53" s="506" t="s">
        <v>56</v>
      </c>
      <c r="F53" s="506" t="s">
        <v>57</v>
      </c>
      <c r="G53" s="507" t="s">
        <v>58</v>
      </c>
      <c r="H53" s="826" t="s">
        <v>59</v>
      </c>
      <c r="I53" s="827"/>
      <c r="J53" s="827"/>
      <c r="K53" s="827"/>
      <c r="L53" s="827"/>
      <c r="M53" s="827"/>
      <c r="N53" s="828"/>
      <c r="O53" s="826" t="s">
        <v>60</v>
      </c>
      <c r="P53" s="827"/>
      <c r="Q53" s="827"/>
      <c r="R53" s="827"/>
      <c r="S53" s="827"/>
      <c r="T53" s="827"/>
      <c r="U53" s="828"/>
      <c r="V53"/>
      <c r="W53"/>
    </row>
    <row r="54" spans="1:23" ht="12.75" thickBot="1">
      <c r="A54" s="131" t="s">
        <v>6</v>
      </c>
      <c r="B54" s="501" t="s">
        <v>61</v>
      </c>
      <c r="C54" s="502"/>
      <c r="D54" s="502"/>
      <c r="E54" s="503"/>
      <c r="F54" s="504"/>
      <c r="G54" s="505"/>
      <c r="H54" s="482">
        <v>2022</v>
      </c>
      <c r="I54" s="483">
        <f t="shared" ref="I54:N54" si="12">H54+1</f>
        <v>2023</v>
      </c>
      <c r="J54" s="483">
        <f t="shared" si="12"/>
        <v>2024</v>
      </c>
      <c r="K54" s="484">
        <f t="shared" si="12"/>
        <v>2025</v>
      </c>
      <c r="L54" s="484">
        <f t="shared" si="12"/>
        <v>2026</v>
      </c>
      <c r="M54" s="484">
        <f t="shared" si="12"/>
        <v>2027</v>
      </c>
      <c r="N54" s="485">
        <f t="shared" si="12"/>
        <v>2028</v>
      </c>
      <c r="O54" s="482">
        <v>2022</v>
      </c>
      <c r="P54" s="483">
        <f t="shared" ref="P54:U54" si="13">O54+1</f>
        <v>2023</v>
      </c>
      <c r="Q54" s="483">
        <f t="shared" si="13"/>
        <v>2024</v>
      </c>
      <c r="R54" s="484">
        <f t="shared" si="13"/>
        <v>2025</v>
      </c>
      <c r="S54" s="484">
        <f t="shared" si="13"/>
        <v>2026</v>
      </c>
      <c r="T54" s="484">
        <f t="shared" si="13"/>
        <v>2027</v>
      </c>
      <c r="U54" s="485">
        <f t="shared" si="13"/>
        <v>2028</v>
      </c>
    </row>
    <row r="55" spans="1:23">
      <c r="A55" s="33" t="s">
        <v>19</v>
      </c>
      <c r="B55" s="491" t="s">
        <v>62</v>
      </c>
      <c r="C55" s="488"/>
      <c r="D55" s="488"/>
      <c r="E55" s="492">
        <v>2024</v>
      </c>
      <c r="F55" s="493" t="str">
        <f t="shared" ref="F55:F83" si="14">VLOOKUP($A55,$H$6:$I$10,2,FALSE)</f>
        <v>£m 20/21</v>
      </c>
      <c r="G55" s="494" t="s">
        <v>44</v>
      </c>
      <c r="H55" s="486"/>
      <c r="I55" s="487"/>
      <c r="J55" s="488">
        <f t="shared" ref="J55:N68" si="15">INDEX($C$36:$I$43,MATCH($G55,$B$36:$B$43,0),MATCH(J$54,$C$35:$I$35))</f>
        <v>0</v>
      </c>
      <c r="K55" s="488">
        <f t="shared" si="15"/>
        <v>0</v>
      </c>
      <c r="L55" s="488">
        <f t="shared" si="15"/>
        <v>0</v>
      </c>
      <c r="M55" s="489">
        <f t="shared" si="15"/>
        <v>0</v>
      </c>
      <c r="N55" s="490">
        <f t="shared" si="15"/>
        <v>0</v>
      </c>
      <c r="O55" s="473"/>
      <c r="P55" s="381"/>
      <c r="Q55" s="353">
        <f t="shared" ref="Q55:U68" si="16">INDEX($C$47:$I$51,MATCH($A55,$B$47:$B$51,0),MATCH(Q$54,$C$46:$I$46))</f>
        <v>0</v>
      </c>
      <c r="R55" s="353">
        <f t="shared" si="16"/>
        <v>0</v>
      </c>
      <c r="S55" s="353">
        <f t="shared" si="16"/>
        <v>0</v>
      </c>
      <c r="T55" s="415">
        <f t="shared" si="16"/>
        <v>0</v>
      </c>
      <c r="U55" s="474">
        <f t="shared" si="16"/>
        <v>0</v>
      </c>
    </row>
    <row r="56" spans="1:23">
      <c r="A56" s="33" t="s">
        <v>19</v>
      </c>
      <c r="B56" s="495" t="s">
        <v>63</v>
      </c>
      <c r="C56" s="355"/>
      <c r="D56" s="355"/>
      <c r="E56" s="137">
        <v>2024</v>
      </c>
      <c r="F56" s="138" t="str">
        <f t="shared" si="14"/>
        <v>£m 20/21</v>
      </c>
      <c r="G56" s="496" t="s">
        <v>44</v>
      </c>
      <c r="H56" s="475"/>
      <c r="I56" s="196"/>
      <c r="J56" s="355">
        <f t="shared" si="15"/>
        <v>0</v>
      </c>
      <c r="K56" s="355">
        <f t="shared" si="15"/>
        <v>0</v>
      </c>
      <c r="L56" s="355">
        <f t="shared" si="15"/>
        <v>0</v>
      </c>
      <c r="M56" s="415">
        <f t="shared" si="15"/>
        <v>0</v>
      </c>
      <c r="N56" s="474">
        <f t="shared" si="15"/>
        <v>0</v>
      </c>
      <c r="O56" s="475"/>
      <c r="P56" s="196"/>
      <c r="Q56" s="355">
        <f t="shared" si="16"/>
        <v>0</v>
      </c>
      <c r="R56" s="355">
        <f t="shared" si="16"/>
        <v>0</v>
      </c>
      <c r="S56" s="355">
        <f t="shared" si="16"/>
        <v>0</v>
      </c>
      <c r="T56" s="415">
        <f t="shared" si="16"/>
        <v>0</v>
      </c>
      <c r="U56" s="474">
        <f t="shared" si="16"/>
        <v>0</v>
      </c>
    </row>
    <row r="57" spans="1:23">
      <c r="A57" s="33" t="s">
        <v>19</v>
      </c>
      <c r="B57" s="495" t="s">
        <v>64</v>
      </c>
      <c r="C57" s="355"/>
      <c r="D57" s="355"/>
      <c r="E57" s="137">
        <v>2024</v>
      </c>
      <c r="F57" s="138" t="str">
        <f t="shared" si="14"/>
        <v>£m 20/21</v>
      </c>
      <c r="G57" s="496" t="s">
        <v>44</v>
      </c>
      <c r="H57" s="475"/>
      <c r="I57" s="196"/>
      <c r="J57" s="355">
        <f t="shared" si="15"/>
        <v>0</v>
      </c>
      <c r="K57" s="355">
        <f t="shared" si="15"/>
        <v>0</v>
      </c>
      <c r="L57" s="355">
        <f t="shared" si="15"/>
        <v>0</v>
      </c>
      <c r="M57" s="415">
        <f t="shared" si="15"/>
        <v>0</v>
      </c>
      <c r="N57" s="474">
        <f t="shared" si="15"/>
        <v>0</v>
      </c>
      <c r="O57" s="475"/>
      <c r="P57" s="196"/>
      <c r="Q57" s="355">
        <f t="shared" si="16"/>
        <v>0</v>
      </c>
      <c r="R57" s="355">
        <f t="shared" si="16"/>
        <v>0</v>
      </c>
      <c r="S57" s="355">
        <f t="shared" si="16"/>
        <v>0</v>
      </c>
      <c r="T57" s="415">
        <f t="shared" si="16"/>
        <v>0</v>
      </c>
      <c r="U57" s="474">
        <f t="shared" si="16"/>
        <v>0</v>
      </c>
    </row>
    <row r="58" spans="1:23">
      <c r="A58" s="33" t="s">
        <v>19</v>
      </c>
      <c r="B58" s="495" t="s">
        <v>65</v>
      </c>
      <c r="C58" s="355"/>
      <c r="D58" s="355"/>
      <c r="E58" s="137">
        <v>2024</v>
      </c>
      <c r="F58" s="138" t="str">
        <f t="shared" si="14"/>
        <v>£m 20/21</v>
      </c>
      <c r="G58" s="496" t="s">
        <v>44</v>
      </c>
      <c r="H58" s="475"/>
      <c r="I58" s="196"/>
      <c r="J58" s="355">
        <f t="shared" si="15"/>
        <v>0</v>
      </c>
      <c r="K58" s="355">
        <f t="shared" si="15"/>
        <v>0</v>
      </c>
      <c r="L58" s="355">
        <f t="shared" si="15"/>
        <v>0</v>
      </c>
      <c r="M58" s="415">
        <f t="shared" si="15"/>
        <v>0</v>
      </c>
      <c r="N58" s="474">
        <f t="shared" si="15"/>
        <v>0</v>
      </c>
      <c r="O58" s="475"/>
      <c r="P58" s="196"/>
      <c r="Q58" s="355">
        <f t="shared" si="16"/>
        <v>0</v>
      </c>
      <c r="R58" s="355">
        <f t="shared" si="16"/>
        <v>0</v>
      </c>
      <c r="S58" s="355">
        <f t="shared" si="16"/>
        <v>0</v>
      </c>
      <c r="T58" s="415">
        <f t="shared" si="16"/>
        <v>0</v>
      </c>
      <c r="U58" s="474">
        <f t="shared" si="16"/>
        <v>0</v>
      </c>
    </row>
    <row r="59" spans="1:23">
      <c r="A59" s="33" t="s">
        <v>19</v>
      </c>
      <c r="B59" s="495" t="s">
        <v>66</v>
      </c>
      <c r="C59" s="355"/>
      <c r="D59" s="355"/>
      <c r="E59" s="137">
        <v>2024</v>
      </c>
      <c r="F59" s="138" t="str">
        <f t="shared" si="14"/>
        <v>£m 20/21</v>
      </c>
      <c r="G59" s="496" t="s">
        <v>44</v>
      </c>
      <c r="H59" s="475"/>
      <c r="I59" s="196"/>
      <c r="J59" s="355">
        <f t="shared" si="15"/>
        <v>0</v>
      </c>
      <c r="K59" s="355">
        <f t="shared" si="15"/>
        <v>0</v>
      </c>
      <c r="L59" s="355">
        <f t="shared" si="15"/>
        <v>0</v>
      </c>
      <c r="M59" s="415">
        <f t="shared" si="15"/>
        <v>0</v>
      </c>
      <c r="N59" s="474">
        <f t="shared" si="15"/>
        <v>0</v>
      </c>
      <c r="O59" s="475"/>
      <c r="P59" s="196"/>
      <c r="Q59" s="355">
        <f t="shared" si="16"/>
        <v>0</v>
      </c>
      <c r="R59" s="355">
        <f t="shared" si="16"/>
        <v>0</v>
      </c>
      <c r="S59" s="355">
        <f t="shared" si="16"/>
        <v>0</v>
      </c>
      <c r="T59" s="415">
        <f t="shared" si="16"/>
        <v>0</v>
      </c>
      <c r="U59" s="474">
        <f t="shared" si="16"/>
        <v>0</v>
      </c>
    </row>
    <row r="60" spans="1:23">
      <c r="A60" s="33" t="s">
        <v>19</v>
      </c>
      <c r="B60" s="495" t="s">
        <v>67</v>
      </c>
      <c r="C60" s="355"/>
      <c r="D60" s="355"/>
      <c r="E60" s="137">
        <v>2024</v>
      </c>
      <c r="F60" s="138" t="str">
        <f t="shared" si="14"/>
        <v>£m 20/21</v>
      </c>
      <c r="G60" s="496" t="s">
        <v>44</v>
      </c>
      <c r="H60" s="475"/>
      <c r="I60" s="196"/>
      <c r="J60" s="355">
        <f t="shared" si="15"/>
        <v>0</v>
      </c>
      <c r="K60" s="355">
        <f t="shared" si="15"/>
        <v>0</v>
      </c>
      <c r="L60" s="355">
        <f t="shared" si="15"/>
        <v>0</v>
      </c>
      <c r="M60" s="415">
        <f t="shared" si="15"/>
        <v>0</v>
      </c>
      <c r="N60" s="474">
        <f t="shared" si="15"/>
        <v>0</v>
      </c>
      <c r="O60" s="475"/>
      <c r="P60" s="196"/>
      <c r="Q60" s="355">
        <f t="shared" si="16"/>
        <v>0</v>
      </c>
      <c r="R60" s="355">
        <f t="shared" si="16"/>
        <v>0</v>
      </c>
      <c r="S60" s="355">
        <f t="shared" si="16"/>
        <v>0</v>
      </c>
      <c r="T60" s="415">
        <f t="shared" si="16"/>
        <v>0</v>
      </c>
      <c r="U60" s="474">
        <f t="shared" si="16"/>
        <v>0</v>
      </c>
    </row>
    <row r="61" spans="1:23">
      <c r="A61" s="33" t="s">
        <v>19</v>
      </c>
      <c r="B61" s="495" t="s">
        <v>68</v>
      </c>
      <c r="C61" s="355"/>
      <c r="D61" s="355"/>
      <c r="E61" s="137">
        <v>2024</v>
      </c>
      <c r="F61" s="138" t="str">
        <f t="shared" si="14"/>
        <v>£m 20/21</v>
      </c>
      <c r="G61" s="496" t="s">
        <v>44</v>
      </c>
      <c r="H61" s="475"/>
      <c r="I61" s="196"/>
      <c r="J61" s="355">
        <f t="shared" si="15"/>
        <v>0</v>
      </c>
      <c r="K61" s="355">
        <f t="shared" si="15"/>
        <v>0</v>
      </c>
      <c r="L61" s="355">
        <f t="shared" si="15"/>
        <v>0</v>
      </c>
      <c r="M61" s="415">
        <f t="shared" si="15"/>
        <v>0</v>
      </c>
      <c r="N61" s="474">
        <f t="shared" si="15"/>
        <v>0</v>
      </c>
      <c r="O61" s="475"/>
      <c r="P61" s="196"/>
      <c r="Q61" s="355">
        <f t="shared" si="16"/>
        <v>0</v>
      </c>
      <c r="R61" s="355">
        <f t="shared" si="16"/>
        <v>0</v>
      </c>
      <c r="S61" s="355">
        <f t="shared" si="16"/>
        <v>0</v>
      </c>
      <c r="T61" s="415">
        <f t="shared" si="16"/>
        <v>0</v>
      </c>
      <c r="U61" s="474">
        <f t="shared" si="16"/>
        <v>0</v>
      </c>
    </row>
    <row r="62" spans="1:23">
      <c r="A62" s="33" t="s">
        <v>19</v>
      </c>
      <c r="B62" s="495" t="s">
        <v>69</v>
      </c>
      <c r="C62" s="355"/>
      <c r="D62" s="355"/>
      <c r="E62" s="137">
        <v>2024</v>
      </c>
      <c r="F62" s="138" t="str">
        <f t="shared" si="14"/>
        <v>£m 20/21</v>
      </c>
      <c r="G62" s="496" t="s">
        <v>44</v>
      </c>
      <c r="H62" s="475"/>
      <c r="I62" s="196"/>
      <c r="J62" s="355">
        <f t="shared" si="15"/>
        <v>0</v>
      </c>
      <c r="K62" s="355">
        <f t="shared" si="15"/>
        <v>0</v>
      </c>
      <c r="L62" s="355">
        <f t="shared" si="15"/>
        <v>0</v>
      </c>
      <c r="M62" s="415">
        <f t="shared" si="15"/>
        <v>0</v>
      </c>
      <c r="N62" s="474">
        <f t="shared" si="15"/>
        <v>0</v>
      </c>
      <c r="O62" s="475"/>
      <c r="P62" s="196"/>
      <c r="Q62" s="355">
        <f t="shared" si="16"/>
        <v>0</v>
      </c>
      <c r="R62" s="355">
        <f t="shared" si="16"/>
        <v>0</v>
      </c>
      <c r="S62" s="355">
        <f t="shared" si="16"/>
        <v>0</v>
      </c>
      <c r="T62" s="415">
        <f t="shared" si="16"/>
        <v>0</v>
      </c>
      <c r="U62" s="474">
        <f t="shared" si="16"/>
        <v>0</v>
      </c>
    </row>
    <row r="63" spans="1:23">
      <c r="A63" s="33" t="s">
        <v>19</v>
      </c>
      <c r="B63" s="495" t="s">
        <v>70</v>
      </c>
      <c r="C63" s="355"/>
      <c r="D63" s="355"/>
      <c r="E63" s="137">
        <v>2024</v>
      </c>
      <c r="F63" s="138" t="str">
        <f t="shared" si="14"/>
        <v>£m 20/21</v>
      </c>
      <c r="G63" s="496" t="s">
        <v>44</v>
      </c>
      <c r="H63" s="475"/>
      <c r="I63" s="196"/>
      <c r="J63" s="355">
        <f t="shared" si="15"/>
        <v>0</v>
      </c>
      <c r="K63" s="355">
        <f t="shared" si="15"/>
        <v>0</v>
      </c>
      <c r="L63" s="355">
        <f t="shared" si="15"/>
        <v>0</v>
      </c>
      <c r="M63" s="415">
        <f t="shared" si="15"/>
        <v>0</v>
      </c>
      <c r="N63" s="474">
        <f t="shared" si="15"/>
        <v>0</v>
      </c>
      <c r="O63" s="475"/>
      <c r="P63" s="196"/>
      <c r="Q63" s="355">
        <f t="shared" si="16"/>
        <v>0</v>
      </c>
      <c r="R63" s="355">
        <f t="shared" si="16"/>
        <v>0</v>
      </c>
      <c r="S63" s="355">
        <f t="shared" si="16"/>
        <v>0</v>
      </c>
      <c r="T63" s="415">
        <f t="shared" si="16"/>
        <v>0</v>
      </c>
      <c r="U63" s="474">
        <f t="shared" si="16"/>
        <v>0</v>
      </c>
    </row>
    <row r="64" spans="1:23">
      <c r="A64" s="33" t="s">
        <v>19</v>
      </c>
      <c r="B64" s="495" t="s">
        <v>71</v>
      </c>
      <c r="C64" s="355"/>
      <c r="D64" s="355"/>
      <c r="E64" s="137">
        <v>2024</v>
      </c>
      <c r="F64" s="138" t="str">
        <f t="shared" si="14"/>
        <v>£m 20/21</v>
      </c>
      <c r="G64" s="496" t="s">
        <v>44</v>
      </c>
      <c r="H64" s="475"/>
      <c r="I64" s="196"/>
      <c r="J64" s="355">
        <f t="shared" si="15"/>
        <v>0</v>
      </c>
      <c r="K64" s="355">
        <f t="shared" si="15"/>
        <v>0</v>
      </c>
      <c r="L64" s="355">
        <f t="shared" si="15"/>
        <v>0</v>
      </c>
      <c r="M64" s="415">
        <f t="shared" si="15"/>
        <v>0</v>
      </c>
      <c r="N64" s="474">
        <f t="shared" si="15"/>
        <v>0</v>
      </c>
      <c r="O64" s="475"/>
      <c r="P64" s="196"/>
      <c r="Q64" s="355">
        <f t="shared" si="16"/>
        <v>0</v>
      </c>
      <c r="R64" s="355">
        <f t="shared" si="16"/>
        <v>0</v>
      </c>
      <c r="S64" s="355">
        <f t="shared" si="16"/>
        <v>0</v>
      </c>
      <c r="T64" s="415">
        <f t="shared" si="16"/>
        <v>0</v>
      </c>
      <c r="U64" s="474">
        <f t="shared" si="16"/>
        <v>0</v>
      </c>
    </row>
    <row r="65" spans="1:21">
      <c r="A65" s="33" t="s">
        <v>19</v>
      </c>
      <c r="B65" s="495" t="s">
        <v>72</v>
      </c>
      <c r="C65" s="355"/>
      <c r="D65" s="355"/>
      <c r="E65" s="137">
        <v>2024</v>
      </c>
      <c r="F65" s="138" t="str">
        <f t="shared" si="14"/>
        <v>£m 20/21</v>
      </c>
      <c r="G65" s="496" t="s">
        <v>43</v>
      </c>
      <c r="H65" s="475"/>
      <c r="I65" s="196"/>
      <c r="J65" s="355">
        <f t="shared" si="15"/>
        <v>0</v>
      </c>
      <c r="K65" s="355">
        <f t="shared" si="15"/>
        <v>0</v>
      </c>
      <c r="L65" s="355">
        <f t="shared" si="15"/>
        <v>0</v>
      </c>
      <c r="M65" s="415">
        <f t="shared" si="15"/>
        <v>0</v>
      </c>
      <c r="N65" s="474">
        <f t="shared" si="15"/>
        <v>0</v>
      </c>
      <c r="O65" s="475"/>
      <c r="P65" s="196"/>
      <c r="Q65" s="355">
        <f t="shared" si="16"/>
        <v>0</v>
      </c>
      <c r="R65" s="355">
        <f t="shared" si="16"/>
        <v>0</v>
      </c>
      <c r="S65" s="355">
        <f t="shared" si="16"/>
        <v>0</v>
      </c>
      <c r="T65" s="415">
        <f t="shared" si="16"/>
        <v>0</v>
      </c>
      <c r="U65" s="474">
        <f t="shared" si="16"/>
        <v>0</v>
      </c>
    </row>
    <row r="66" spans="1:21">
      <c r="A66" s="33" t="s">
        <v>19</v>
      </c>
      <c r="B66" s="495" t="s">
        <v>73</v>
      </c>
      <c r="C66" s="355"/>
      <c r="D66" s="355"/>
      <c r="E66" s="137">
        <v>2024</v>
      </c>
      <c r="F66" s="138" t="str">
        <f t="shared" si="14"/>
        <v>£m 20/21</v>
      </c>
      <c r="G66" s="496" t="s">
        <v>43</v>
      </c>
      <c r="H66" s="475"/>
      <c r="I66" s="196"/>
      <c r="J66" s="355">
        <f t="shared" si="15"/>
        <v>0</v>
      </c>
      <c r="K66" s="355">
        <f t="shared" si="15"/>
        <v>0</v>
      </c>
      <c r="L66" s="355">
        <f t="shared" si="15"/>
        <v>0</v>
      </c>
      <c r="M66" s="415">
        <f t="shared" si="15"/>
        <v>0</v>
      </c>
      <c r="N66" s="474">
        <f t="shared" si="15"/>
        <v>0</v>
      </c>
      <c r="O66" s="475"/>
      <c r="P66" s="196"/>
      <c r="Q66" s="355">
        <f t="shared" si="16"/>
        <v>0</v>
      </c>
      <c r="R66" s="355">
        <f t="shared" si="16"/>
        <v>0</v>
      </c>
      <c r="S66" s="355">
        <f t="shared" si="16"/>
        <v>0</v>
      </c>
      <c r="T66" s="415">
        <f t="shared" si="16"/>
        <v>0</v>
      </c>
      <c r="U66" s="474">
        <f t="shared" si="16"/>
        <v>0</v>
      </c>
    </row>
    <row r="67" spans="1:21">
      <c r="A67" s="33" t="s">
        <v>19</v>
      </c>
      <c r="B67" s="495" t="s">
        <v>74</v>
      </c>
      <c r="C67" s="355"/>
      <c r="D67" s="355"/>
      <c r="E67" s="137">
        <v>2024</v>
      </c>
      <c r="F67" s="138" t="str">
        <f t="shared" si="14"/>
        <v>£m 20/21</v>
      </c>
      <c r="G67" s="496" t="s">
        <v>43</v>
      </c>
      <c r="H67" s="475"/>
      <c r="I67" s="196"/>
      <c r="J67" s="355">
        <f t="shared" si="15"/>
        <v>0</v>
      </c>
      <c r="K67" s="355">
        <f t="shared" si="15"/>
        <v>0</v>
      </c>
      <c r="L67" s="355">
        <f t="shared" si="15"/>
        <v>0</v>
      </c>
      <c r="M67" s="415">
        <f t="shared" si="15"/>
        <v>0</v>
      </c>
      <c r="N67" s="474">
        <f t="shared" si="15"/>
        <v>0</v>
      </c>
      <c r="O67" s="475"/>
      <c r="P67" s="196"/>
      <c r="Q67" s="355">
        <f t="shared" si="16"/>
        <v>0</v>
      </c>
      <c r="R67" s="355">
        <f t="shared" si="16"/>
        <v>0</v>
      </c>
      <c r="S67" s="355">
        <f t="shared" si="16"/>
        <v>0</v>
      </c>
      <c r="T67" s="415">
        <f t="shared" si="16"/>
        <v>0</v>
      </c>
      <c r="U67" s="474">
        <f t="shared" si="16"/>
        <v>0</v>
      </c>
    </row>
    <row r="68" spans="1:21">
      <c r="A68" s="33" t="s">
        <v>19</v>
      </c>
      <c r="B68" s="495" t="s">
        <v>75</v>
      </c>
      <c r="C68" s="355"/>
      <c r="D68" s="355"/>
      <c r="E68" s="137">
        <v>2024</v>
      </c>
      <c r="F68" s="138" t="str">
        <f t="shared" si="14"/>
        <v>£m 20/21</v>
      </c>
      <c r="G68" s="496" t="s">
        <v>43</v>
      </c>
      <c r="H68" s="475"/>
      <c r="I68" s="196"/>
      <c r="J68" s="355">
        <f t="shared" si="15"/>
        <v>0</v>
      </c>
      <c r="K68" s="355">
        <f t="shared" si="15"/>
        <v>0</v>
      </c>
      <c r="L68" s="355">
        <f t="shared" si="15"/>
        <v>0</v>
      </c>
      <c r="M68" s="415">
        <f t="shared" si="15"/>
        <v>0</v>
      </c>
      <c r="N68" s="474">
        <f t="shared" si="15"/>
        <v>0</v>
      </c>
      <c r="O68" s="475"/>
      <c r="P68" s="196"/>
      <c r="Q68" s="355">
        <f t="shared" si="16"/>
        <v>0</v>
      </c>
      <c r="R68" s="355">
        <f t="shared" si="16"/>
        <v>0</v>
      </c>
      <c r="S68" s="355">
        <f t="shared" si="16"/>
        <v>0</v>
      </c>
      <c r="T68" s="415">
        <f t="shared" si="16"/>
        <v>0</v>
      </c>
      <c r="U68" s="474">
        <f t="shared" si="16"/>
        <v>0</v>
      </c>
    </row>
    <row r="69" spans="1:21">
      <c r="A69" s="33" t="s">
        <v>25</v>
      </c>
      <c r="B69" s="495" t="s">
        <v>76</v>
      </c>
      <c r="C69" s="355">
        <v>0.5</v>
      </c>
      <c r="D69" s="355">
        <v>0.6</v>
      </c>
      <c r="E69" s="137">
        <v>2022</v>
      </c>
      <c r="F69" s="138" t="str">
        <f t="shared" si="14"/>
        <v>£m 18/19</v>
      </c>
      <c r="G69" s="496" t="s">
        <v>25</v>
      </c>
      <c r="H69" s="476">
        <f t="shared" ref="H69:L83" si="17">INDEX($C$36:$I$43,MATCH($G69,$B$36:$B$43,0),MATCH(H$54,$C$35:$I$35))</f>
        <v>2.0500000000000001E-2</v>
      </c>
      <c r="I69" s="355">
        <f t="shared" si="17"/>
        <v>1.9E-2</v>
      </c>
      <c r="J69" s="355">
        <f t="shared" si="17"/>
        <v>1.83E-2</v>
      </c>
      <c r="K69" s="355">
        <f t="shared" si="17"/>
        <v>1.78E-2</v>
      </c>
      <c r="L69" s="355">
        <f t="shared" si="17"/>
        <v>1.7500000000000002E-2</v>
      </c>
      <c r="M69" s="196"/>
      <c r="N69" s="477"/>
      <c r="O69" s="476">
        <f t="shared" ref="O69:S83" si="18">INDEX($C$47:$I$51,MATCH($A69,$B$47:$B$51,0),MATCH(O$54,$C$46:$I$46))</f>
        <v>4.5181881000000007E-2</v>
      </c>
      <c r="P69" s="355">
        <f t="shared" si="18"/>
        <v>4.5568105000000005E-2</v>
      </c>
      <c r="Q69" s="355">
        <f t="shared" si="18"/>
        <v>4.5399131999999995E-2</v>
      </c>
      <c r="R69" s="355">
        <f t="shared" si="18"/>
        <v>4.564052200000001E-2</v>
      </c>
      <c r="S69" s="355">
        <f t="shared" si="18"/>
        <v>4.5833633999999998E-2</v>
      </c>
      <c r="T69" s="196"/>
      <c r="U69" s="477"/>
    </row>
    <row r="70" spans="1:21">
      <c r="A70" s="33" t="s">
        <v>25</v>
      </c>
      <c r="B70" s="495" t="s">
        <v>77</v>
      </c>
      <c r="C70" s="355">
        <v>0.5</v>
      </c>
      <c r="D70" s="355">
        <v>0.6</v>
      </c>
      <c r="E70" s="137">
        <v>2022</v>
      </c>
      <c r="F70" s="138" t="str">
        <f t="shared" si="14"/>
        <v>£m 18/19</v>
      </c>
      <c r="G70" s="496" t="s">
        <v>25</v>
      </c>
      <c r="H70" s="476">
        <f t="shared" si="17"/>
        <v>2.0500000000000001E-2</v>
      </c>
      <c r="I70" s="355">
        <f t="shared" si="17"/>
        <v>1.9E-2</v>
      </c>
      <c r="J70" s="355">
        <f t="shared" si="17"/>
        <v>1.83E-2</v>
      </c>
      <c r="K70" s="355">
        <f t="shared" si="17"/>
        <v>1.78E-2</v>
      </c>
      <c r="L70" s="355">
        <f t="shared" si="17"/>
        <v>1.7500000000000002E-2</v>
      </c>
      <c r="M70" s="196"/>
      <c r="N70" s="477"/>
      <c r="O70" s="476">
        <f t="shared" si="18"/>
        <v>4.5181881000000007E-2</v>
      </c>
      <c r="P70" s="355">
        <f t="shared" si="18"/>
        <v>4.5568105000000005E-2</v>
      </c>
      <c r="Q70" s="355">
        <f t="shared" si="18"/>
        <v>4.5399131999999995E-2</v>
      </c>
      <c r="R70" s="355">
        <f t="shared" si="18"/>
        <v>4.564052200000001E-2</v>
      </c>
      <c r="S70" s="355">
        <f t="shared" si="18"/>
        <v>4.5833633999999998E-2</v>
      </c>
      <c r="T70" s="196"/>
      <c r="U70" s="477"/>
    </row>
    <row r="71" spans="1:21">
      <c r="A71" s="33" t="s">
        <v>25</v>
      </c>
      <c r="B71" s="495" t="s">
        <v>78</v>
      </c>
      <c r="C71" s="355">
        <v>0.5</v>
      </c>
      <c r="D71" s="355">
        <v>0.6</v>
      </c>
      <c r="E71" s="137">
        <v>2022</v>
      </c>
      <c r="F71" s="138" t="str">
        <f t="shared" si="14"/>
        <v>£m 18/19</v>
      </c>
      <c r="G71" s="496" t="s">
        <v>25</v>
      </c>
      <c r="H71" s="476">
        <f t="shared" si="17"/>
        <v>2.0500000000000001E-2</v>
      </c>
      <c r="I71" s="355">
        <f t="shared" si="17"/>
        <v>1.9E-2</v>
      </c>
      <c r="J71" s="355">
        <f t="shared" si="17"/>
        <v>1.83E-2</v>
      </c>
      <c r="K71" s="355">
        <f t="shared" si="17"/>
        <v>1.78E-2</v>
      </c>
      <c r="L71" s="355">
        <f t="shared" si="17"/>
        <v>1.7500000000000002E-2</v>
      </c>
      <c r="M71" s="196"/>
      <c r="N71" s="477"/>
      <c r="O71" s="476">
        <f t="shared" si="18"/>
        <v>4.5181881000000007E-2</v>
      </c>
      <c r="P71" s="355">
        <f t="shared" si="18"/>
        <v>4.5568105000000005E-2</v>
      </c>
      <c r="Q71" s="355">
        <f t="shared" si="18"/>
        <v>4.5399131999999995E-2</v>
      </c>
      <c r="R71" s="355">
        <f t="shared" si="18"/>
        <v>4.564052200000001E-2</v>
      </c>
      <c r="S71" s="355">
        <f t="shared" si="18"/>
        <v>4.5833633999999998E-2</v>
      </c>
      <c r="T71" s="196"/>
      <c r="U71" s="477"/>
    </row>
    <row r="72" spans="1:21">
      <c r="A72" s="33" t="s">
        <v>25</v>
      </c>
      <c r="B72" s="495" t="s">
        <v>4</v>
      </c>
      <c r="C72" s="355">
        <v>0.5</v>
      </c>
      <c r="D72" s="355">
        <v>0.6</v>
      </c>
      <c r="E72" s="137">
        <v>2022</v>
      </c>
      <c r="F72" s="138" t="str">
        <f t="shared" si="14"/>
        <v>£m 18/19</v>
      </c>
      <c r="G72" s="496" t="s">
        <v>25</v>
      </c>
      <c r="H72" s="476">
        <f t="shared" si="17"/>
        <v>2.0500000000000001E-2</v>
      </c>
      <c r="I72" s="355">
        <f t="shared" si="17"/>
        <v>1.9E-2</v>
      </c>
      <c r="J72" s="355">
        <f t="shared" si="17"/>
        <v>1.83E-2</v>
      </c>
      <c r="K72" s="355">
        <f t="shared" si="17"/>
        <v>1.78E-2</v>
      </c>
      <c r="L72" s="355">
        <f t="shared" si="17"/>
        <v>1.7500000000000002E-2</v>
      </c>
      <c r="M72" s="196"/>
      <c r="N72" s="477"/>
      <c r="O72" s="476">
        <f t="shared" si="18"/>
        <v>4.5181881000000007E-2</v>
      </c>
      <c r="P72" s="355">
        <f t="shared" si="18"/>
        <v>4.5568105000000005E-2</v>
      </c>
      <c r="Q72" s="355">
        <f t="shared" si="18"/>
        <v>4.5399131999999995E-2</v>
      </c>
      <c r="R72" s="355">
        <f t="shared" si="18"/>
        <v>4.564052200000001E-2</v>
      </c>
      <c r="S72" s="355">
        <f t="shared" si="18"/>
        <v>4.5833633999999998E-2</v>
      </c>
      <c r="T72" s="196"/>
      <c r="U72" s="477"/>
    </row>
    <row r="73" spans="1:21">
      <c r="A73" s="33" t="s">
        <v>25</v>
      </c>
      <c r="B73" s="495" t="s">
        <v>79</v>
      </c>
      <c r="C73" s="355">
        <v>0.51</v>
      </c>
      <c r="D73" s="355">
        <v>0.6</v>
      </c>
      <c r="E73" s="137">
        <v>2022</v>
      </c>
      <c r="F73" s="138" t="str">
        <f t="shared" si="14"/>
        <v>£m 18/19</v>
      </c>
      <c r="G73" s="496" t="s">
        <v>47</v>
      </c>
      <c r="H73" s="476">
        <f t="shared" si="17"/>
        <v>2.1100000000000001E-2</v>
      </c>
      <c r="I73" s="355">
        <f t="shared" si="17"/>
        <v>1.9599999999999999E-2</v>
      </c>
      <c r="J73" s="355">
        <f t="shared" si="17"/>
        <v>1.89E-2</v>
      </c>
      <c r="K73" s="355">
        <f t="shared" si="17"/>
        <v>1.84E-2</v>
      </c>
      <c r="L73" s="355">
        <f t="shared" si="17"/>
        <v>1.8100000000000002E-2</v>
      </c>
      <c r="M73" s="196"/>
      <c r="N73" s="477"/>
      <c r="O73" s="476">
        <f t="shared" si="18"/>
        <v>4.5181881000000007E-2</v>
      </c>
      <c r="P73" s="355">
        <f t="shared" si="18"/>
        <v>4.5568105000000005E-2</v>
      </c>
      <c r="Q73" s="355">
        <f t="shared" si="18"/>
        <v>4.5399131999999995E-2</v>
      </c>
      <c r="R73" s="355">
        <f t="shared" si="18"/>
        <v>4.564052200000001E-2</v>
      </c>
      <c r="S73" s="355">
        <f t="shared" si="18"/>
        <v>4.5833633999999998E-2</v>
      </c>
      <c r="T73" s="196"/>
      <c r="U73" s="477"/>
    </row>
    <row r="74" spans="1:21">
      <c r="A74" s="33" t="s">
        <v>25</v>
      </c>
      <c r="B74" s="495" t="s">
        <v>80</v>
      </c>
      <c r="C74" s="355">
        <v>0.51</v>
      </c>
      <c r="D74" s="355">
        <v>0.6</v>
      </c>
      <c r="E74" s="137">
        <v>2022</v>
      </c>
      <c r="F74" s="138" t="str">
        <f t="shared" si="14"/>
        <v>£m 18/19</v>
      </c>
      <c r="G74" s="496" t="s">
        <v>47</v>
      </c>
      <c r="H74" s="476">
        <f t="shared" si="17"/>
        <v>2.1100000000000001E-2</v>
      </c>
      <c r="I74" s="355">
        <f t="shared" si="17"/>
        <v>1.9599999999999999E-2</v>
      </c>
      <c r="J74" s="355">
        <f t="shared" si="17"/>
        <v>1.89E-2</v>
      </c>
      <c r="K74" s="355">
        <f t="shared" si="17"/>
        <v>1.84E-2</v>
      </c>
      <c r="L74" s="355">
        <f t="shared" si="17"/>
        <v>1.8100000000000002E-2</v>
      </c>
      <c r="M74" s="196"/>
      <c r="N74" s="477"/>
      <c r="O74" s="476">
        <f t="shared" si="18"/>
        <v>4.5181881000000007E-2</v>
      </c>
      <c r="P74" s="355">
        <f t="shared" si="18"/>
        <v>4.5568105000000005E-2</v>
      </c>
      <c r="Q74" s="355">
        <f t="shared" si="18"/>
        <v>4.5399131999999995E-2</v>
      </c>
      <c r="R74" s="355">
        <f t="shared" si="18"/>
        <v>4.564052200000001E-2</v>
      </c>
      <c r="S74" s="355">
        <f t="shared" si="18"/>
        <v>4.5833633999999998E-2</v>
      </c>
      <c r="T74" s="196"/>
      <c r="U74" s="477"/>
    </row>
    <row r="75" spans="1:21">
      <c r="A75" s="33" t="s">
        <v>25</v>
      </c>
      <c r="B75" s="495" t="s">
        <v>81</v>
      </c>
      <c r="C75" s="355">
        <v>0.5</v>
      </c>
      <c r="D75" s="355">
        <v>0.6</v>
      </c>
      <c r="E75" s="137">
        <v>2022</v>
      </c>
      <c r="F75" s="138" t="str">
        <f t="shared" si="14"/>
        <v>£m 18/19</v>
      </c>
      <c r="G75" s="496" t="s">
        <v>25</v>
      </c>
      <c r="H75" s="476">
        <f t="shared" si="17"/>
        <v>2.0500000000000001E-2</v>
      </c>
      <c r="I75" s="355">
        <f t="shared" si="17"/>
        <v>1.9E-2</v>
      </c>
      <c r="J75" s="355">
        <f t="shared" si="17"/>
        <v>1.83E-2</v>
      </c>
      <c r="K75" s="355">
        <f t="shared" si="17"/>
        <v>1.78E-2</v>
      </c>
      <c r="L75" s="355">
        <f t="shared" si="17"/>
        <v>1.7500000000000002E-2</v>
      </c>
      <c r="M75" s="196"/>
      <c r="N75" s="477"/>
      <c r="O75" s="476">
        <f t="shared" si="18"/>
        <v>4.5181881000000007E-2</v>
      </c>
      <c r="P75" s="355">
        <f t="shared" si="18"/>
        <v>4.5568105000000005E-2</v>
      </c>
      <c r="Q75" s="355">
        <f t="shared" si="18"/>
        <v>4.5399131999999995E-2</v>
      </c>
      <c r="R75" s="355">
        <f t="shared" si="18"/>
        <v>4.564052200000001E-2</v>
      </c>
      <c r="S75" s="355">
        <f t="shared" si="18"/>
        <v>4.5833633999999998E-2</v>
      </c>
      <c r="T75" s="196"/>
      <c r="U75" s="477"/>
    </row>
    <row r="76" spans="1:21">
      <c r="A76" s="33" t="s">
        <v>25</v>
      </c>
      <c r="B76" s="495" t="s">
        <v>82</v>
      </c>
      <c r="C76" s="355">
        <v>0.5</v>
      </c>
      <c r="D76" s="355">
        <v>0.6</v>
      </c>
      <c r="E76" s="137">
        <v>2022</v>
      </c>
      <c r="F76" s="138" t="str">
        <f t="shared" si="14"/>
        <v>£m 18/19</v>
      </c>
      <c r="G76" s="496" t="s">
        <v>47</v>
      </c>
      <c r="H76" s="476">
        <f t="shared" si="17"/>
        <v>2.1100000000000001E-2</v>
      </c>
      <c r="I76" s="355">
        <f t="shared" si="17"/>
        <v>1.9599999999999999E-2</v>
      </c>
      <c r="J76" s="355">
        <f t="shared" si="17"/>
        <v>1.89E-2</v>
      </c>
      <c r="K76" s="355">
        <f t="shared" si="17"/>
        <v>1.84E-2</v>
      </c>
      <c r="L76" s="355">
        <f t="shared" si="17"/>
        <v>1.8100000000000002E-2</v>
      </c>
      <c r="M76" s="196"/>
      <c r="N76" s="477"/>
      <c r="O76" s="476">
        <f t="shared" si="18"/>
        <v>4.5181881000000007E-2</v>
      </c>
      <c r="P76" s="355">
        <f t="shared" si="18"/>
        <v>4.5568105000000005E-2</v>
      </c>
      <c r="Q76" s="355">
        <f t="shared" si="18"/>
        <v>4.5399131999999995E-2</v>
      </c>
      <c r="R76" s="355">
        <f t="shared" si="18"/>
        <v>4.564052200000001E-2</v>
      </c>
      <c r="S76" s="355">
        <f t="shared" si="18"/>
        <v>4.5833633999999998E-2</v>
      </c>
      <c r="T76" s="196"/>
      <c r="U76" s="477"/>
    </row>
    <row r="77" spans="1:21">
      <c r="A77" s="33" t="s">
        <v>27</v>
      </c>
      <c r="B77" s="495" t="s">
        <v>83</v>
      </c>
      <c r="C77" s="355">
        <v>0.61</v>
      </c>
      <c r="D77" s="355">
        <v>0.6</v>
      </c>
      <c r="E77" s="137">
        <v>2022</v>
      </c>
      <c r="F77" s="138" t="str">
        <f t="shared" si="14"/>
        <v>£m 18/19</v>
      </c>
      <c r="G77" s="496" t="s">
        <v>27</v>
      </c>
      <c r="H77" s="476">
        <f t="shared" si="17"/>
        <v>2.0500000000000001E-2</v>
      </c>
      <c r="I77" s="355">
        <f t="shared" si="17"/>
        <v>1.9E-2</v>
      </c>
      <c r="J77" s="355">
        <f t="shared" si="17"/>
        <v>1.83E-2</v>
      </c>
      <c r="K77" s="355">
        <f t="shared" si="17"/>
        <v>1.78E-2</v>
      </c>
      <c r="L77" s="355">
        <f t="shared" si="17"/>
        <v>1.7500000000000002E-2</v>
      </c>
      <c r="M77" s="196"/>
      <c r="N77" s="477"/>
      <c r="O77" s="476">
        <f t="shared" si="18"/>
        <v>4.5181881000000007E-2</v>
      </c>
      <c r="P77" s="355">
        <f t="shared" si="18"/>
        <v>4.5568105000000005E-2</v>
      </c>
      <c r="Q77" s="355">
        <f t="shared" si="18"/>
        <v>4.5399131999999995E-2</v>
      </c>
      <c r="R77" s="355">
        <f t="shared" si="18"/>
        <v>4.564052200000001E-2</v>
      </c>
      <c r="S77" s="355">
        <f t="shared" si="18"/>
        <v>4.5833633999999998E-2</v>
      </c>
      <c r="T77" s="196"/>
      <c r="U77" s="477"/>
    </row>
    <row r="78" spans="1:21">
      <c r="A78" s="33" t="s">
        <v>27</v>
      </c>
      <c r="B78" s="495" t="s">
        <v>84</v>
      </c>
      <c r="C78" s="355">
        <v>0.61</v>
      </c>
      <c r="D78" s="355">
        <v>0.6</v>
      </c>
      <c r="E78" s="137">
        <v>2022</v>
      </c>
      <c r="F78" s="138" t="str">
        <f t="shared" si="14"/>
        <v>£m 18/19</v>
      </c>
      <c r="G78" s="496" t="s">
        <v>27</v>
      </c>
      <c r="H78" s="476">
        <f t="shared" si="17"/>
        <v>2.0500000000000001E-2</v>
      </c>
      <c r="I78" s="355">
        <f t="shared" si="17"/>
        <v>1.9E-2</v>
      </c>
      <c r="J78" s="355">
        <f t="shared" si="17"/>
        <v>1.83E-2</v>
      </c>
      <c r="K78" s="355">
        <f t="shared" si="17"/>
        <v>1.78E-2</v>
      </c>
      <c r="L78" s="355">
        <f t="shared" si="17"/>
        <v>1.7500000000000002E-2</v>
      </c>
      <c r="M78" s="196"/>
      <c r="N78" s="477"/>
      <c r="O78" s="476">
        <f t="shared" si="18"/>
        <v>4.5181881000000007E-2</v>
      </c>
      <c r="P78" s="355">
        <f t="shared" si="18"/>
        <v>4.5568105000000005E-2</v>
      </c>
      <c r="Q78" s="355">
        <f t="shared" si="18"/>
        <v>4.5399131999999995E-2</v>
      </c>
      <c r="R78" s="355">
        <f t="shared" si="18"/>
        <v>4.564052200000001E-2</v>
      </c>
      <c r="S78" s="355">
        <f t="shared" si="18"/>
        <v>4.5833633999999998E-2</v>
      </c>
      <c r="T78" s="196"/>
      <c r="U78" s="477"/>
    </row>
    <row r="79" spans="1:21">
      <c r="A79" s="33" t="s">
        <v>27</v>
      </c>
      <c r="B79" s="495" t="s">
        <v>85</v>
      </c>
      <c r="C79" s="355">
        <v>0.61</v>
      </c>
      <c r="D79" s="355">
        <v>0.6</v>
      </c>
      <c r="E79" s="137">
        <v>2022</v>
      </c>
      <c r="F79" s="138" t="str">
        <f t="shared" si="14"/>
        <v>£m 18/19</v>
      </c>
      <c r="G79" s="496" t="s">
        <v>27</v>
      </c>
      <c r="H79" s="476">
        <f t="shared" si="17"/>
        <v>2.0500000000000001E-2</v>
      </c>
      <c r="I79" s="355">
        <f t="shared" si="17"/>
        <v>1.9E-2</v>
      </c>
      <c r="J79" s="355">
        <f t="shared" si="17"/>
        <v>1.83E-2</v>
      </c>
      <c r="K79" s="355">
        <f t="shared" si="17"/>
        <v>1.78E-2</v>
      </c>
      <c r="L79" s="355">
        <f t="shared" si="17"/>
        <v>1.7500000000000002E-2</v>
      </c>
      <c r="M79" s="196"/>
      <c r="N79" s="477"/>
      <c r="O79" s="476">
        <f t="shared" si="18"/>
        <v>4.5181881000000007E-2</v>
      </c>
      <c r="P79" s="355">
        <f t="shared" si="18"/>
        <v>4.5568105000000005E-2</v>
      </c>
      <c r="Q79" s="355">
        <f t="shared" si="18"/>
        <v>4.5399131999999995E-2</v>
      </c>
      <c r="R79" s="355">
        <f t="shared" si="18"/>
        <v>4.564052200000001E-2</v>
      </c>
      <c r="S79" s="355">
        <f t="shared" si="18"/>
        <v>4.5833633999999998E-2</v>
      </c>
      <c r="T79" s="196"/>
      <c r="U79" s="477"/>
    </row>
    <row r="80" spans="1:21">
      <c r="A80" s="33" t="s">
        <v>22</v>
      </c>
      <c r="B80" s="495" t="s">
        <v>86</v>
      </c>
      <c r="C80" s="355">
        <v>0.67</v>
      </c>
      <c r="D80" s="355">
        <v>0.55000000000000004</v>
      </c>
      <c r="E80" s="137">
        <v>2022</v>
      </c>
      <c r="F80" s="138" t="str">
        <f t="shared" si="14"/>
        <v>£m 18/19</v>
      </c>
      <c r="G80" s="496" t="s">
        <v>46</v>
      </c>
      <c r="H80" s="476">
        <f t="shared" si="17"/>
        <v>2.0500000000000001E-2</v>
      </c>
      <c r="I80" s="355">
        <f t="shared" si="17"/>
        <v>1.9E-2</v>
      </c>
      <c r="J80" s="355">
        <f t="shared" si="17"/>
        <v>1.83E-2</v>
      </c>
      <c r="K80" s="355">
        <f t="shared" si="17"/>
        <v>1.78E-2</v>
      </c>
      <c r="L80" s="355">
        <f t="shared" si="17"/>
        <v>1.7500000000000002E-2</v>
      </c>
      <c r="M80" s="196"/>
      <c r="N80" s="477"/>
      <c r="O80" s="476">
        <f t="shared" si="18"/>
        <v>4.2439449777777784E-2</v>
      </c>
      <c r="P80" s="355">
        <f t="shared" si="18"/>
        <v>4.2616093333333334E-2</v>
      </c>
      <c r="Q80" s="355">
        <f t="shared" si="18"/>
        <v>4.2388117333333329E-2</v>
      </c>
      <c r="R80" s="355">
        <f t="shared" si="18"/>
        <v>4.2547130666666676E-2</v>
      </c>
      <c r="S80" s="355">
        <f t="shared" si="18"/>
        <v>4.2685452444444452E-2</v>
      </c>
      <c r="T80" s="196"/>
      <c r="U80" s="477"/>
    </row>
    <row r="81" spans="1:21">
      <c r="A81" s="33" t="s">
        <v>28</v>
      </c>
      <c r="B81" s="495" t="s">
        <v>28</v>
      </c>
      <c r="C81" s="355">
        <v>1</v>
      </c>
      <c r="D81" s="355">
        <v>0.55000000000000004</v>
      </c>
      <c r="E81" s="137">
        <v>2022</v>
      </c>
      <c r="F81" s="138" t="str">
        <f t="shared" si="14"/>
        <v>£m 18/19</v>
      </c>
      <c r="G81" s="496" t="s">
        <v>28</v>
      </c>
      <c r="H81" s="476">
        <f t="shared" si="17"/>
        <v>-1E-4</v>
      </c>
      <c r="I81" s="355">
        <f t="shared" si="17"/>
        <v>9.2999999999999992E-3</v>
      </c>
      <c r="J81" s="355">
        <f t="shared" si="17"/>
        <v>1.06E-2</v>
      </c>
      <c r="K81" s="355">
        <f t="shared" si="17"/>
        <v>9.1999999999999998E-3</v>
      </c>
      <c r="L81" s="355">
        <f t="shared" si="17"/>
        <v>7.7999999999999996E-3</v>
      </c>
      <c r="M81" s="196"/>
      <c r="N81" s="477"/>
      <c r="O81" s="476">
        <f t="shared" si="18"/>
        <v>7.5718976000000007E-2</v>
      </c>
      <c r="P81" s="355">
        <f t="shared" si="18"/>
        <v>7.5510080000000007E-2</v>
      </c>
      <c r="Q81" s="355">
        <f t="shared" si="18"/>
        <v>7.5601472000000003E-2</v>
      </c>
      <c r="R81" s="355">
        <f t="shared" si="18"/>
        <v>7.5470912000000001E-2</v>
      </c>
      <c r="S81" s="355">
        <f t="shared" si="18"/>
        <v>7.5366464000000008E-2</v>
      </c>
      <c r="T81" s="196"/>
      <c r="U81" s="477"/>
    </row>
    <row r="82" spans="1:21">
      <c r="A82" s="33" t="s">
        <v>22</v>
      </c>
      <c r="B82" s="495" t="s">
        <v>87</v>
      </c>
      <c r="C82" s="355">
        <v>0.51</v>
      </c>
      <c r="D82" s="355">
        <v>0.55000000000000004</v>
      </c>
      <c r="E82" s="137">
        <v>2022</v>
      </c>
      <c r="F82" s="138" t="str">
        <f t="shared" si="14"/>
        <v>£m 18/19</v>
      </c>
      <c r="G82" s="496" t="s">
        <v>46</v>
      </c>
      <c r="H82" s="476">
        <f t="shared" si="17"/>
        <v>2.0500000000000001E-2</v>
      </c>
      <c r="I82" s="355">
        <f t="shared" si="17"/>
        <v>1.9E-2</v>
      </c>
      <c r="J82" s="355">
        <f t="shared" si="17"/>
        <v>1.83E-2</v>
      </c>
      <c r="K82" s="355">
        <f t="shared" si="17"/>
        <v>1.78E-2</v>
      </c>
      <c r="L82" s="355">
        <f t="shared" si="17"/>
        <v>1.7500000000000002E-2</v>
      </c>
      <c r="M82" s="196"/>
      <c r="N82" s="477"/>
      <c r="O82" s="476">
        <f t="shared" si="18"/>
        <v>4.2439449777777784E-2</v>
      </c>
      <c r="P82" s="355">
        <f t="shared" si="18"/>
        <v>4.2616093333333334E-2</v>
      </c>
      <c r="Q82" s="355">
        <f t="shared" si="18"/>
        <v>4.2388117333333329E-2</v>
      </c>
      <c r="R82" s="355">
        <f t="shared" si="18"/>
        <v>4.2547130666666676E-2</v>
      </c>
      <c r="S82" s="355">
        <f t="shared" si="18"/>
        <v>4.2685452444444452E-2</v>
      </c>
      <c r="T82" s="196"/>
      <c r="U82" s="477"/>
    </row>
    <row r="83" spans="1:21" ht="12.75" thickBot="1">
      <c r="A83" s="33" t="s">
        <v>22</v>
      </c>
      <c r="B83" s="497" t="s">
        <v>45</v>
      </c>
      <c r="C83" s="479">
        <v>0.64</v>
      </c>
      <c r="D83" s="479">
        <v>0.55000000000000004</v>
      </c>
      <c r="E83" s="498">
        <v>2022</v>
      </c>
      <c r="F83" s="499" t="str">
        <f t="shared" si="14"/>
        <v>£m 18/19</v>
      </c>
      <c r="G83" s="500" t="s">
        <v>45</v>
      </c>
      <c r="H83" s="478">
        <f t="shared" si="17"/>
        <v>1.8143044979056552E-2</v>
      </c>
      <c r="I83" s="479">
        <f t="shared" si="17"/>
        <v>1.5909426602326575E-2</v>
      </c>
      <c r="J83" s="479">
        <f t="shared" si="17"/>
        <v>1.5486013713550701E-2</v>
      </c>
      <c r="K83" s="479">
        <f t="shared" si="17"/>
        <v>1.4921786215027617E-2</v>
      </c>
      <c r="L83" s="479">
        <f t="shared" si="17"/>
        <v>1.4560675534238218E-2</v>
      </c>
      <c r="M83" s="480"/>
      <c r="N83" s="481"/>
      <c r="O83" s="478">
        <f t="shared" si="18"/>
        <v>4.2439449777777784E-2</v>
      </c>
      <c r="P83" s="479">
        <f t="shared" si="18"/>
        <v>4.2616093333333334E-2</v>
      </c>
      <c r="Q83" s="479">
        <f t="shared" si="18"/>
        <v>4.2388117333333329E-2</v>
      </c>
      <c r="R83" s="479">
        <f t="shared" si="18"/>
        <v>4.2547130666666676E-2</v>
      </c>
      <c r="S83" s="479">
        <f t="shared" si="18"/>
        <v>4.2685452444444452E-2</v>
      </c>
      <c r="T83" s="480"/>
      <c r="U83" s="481"/>
    </row>
    <row r="84" spans="1:21">
      <c r="I84" s="39"/>
    </row>
    <row r="85" spans="1:21">
      <c r="I85" s="39"/>
    </row>
    <row r="86" spans="1:21">
      <c r="I86" s="39"/>
    </row>
    <row r="87" spans="1:21">
      <c r="B87" s="6"/>
      <c r="D87" s="344"/>
      <c r="E87" s="344"/>
      <c r="F87" s="344"/>
      <c r="G87" s="344"/>
      <c r="H87" s="344"/>
      <c r="I87" s="344"/>
      <c r="J87" s="344"/>
    </row>
    <row r="89" spans="1:21" ht="15.4">
      <c r="B89" s="312" t="s">
        <v>88</v>
      </c>
      <c r="C89" s="62">
        <v>2022</v>
      </c>
      <c r="D89" s="63">
        <f t="shared" ref="D89:I89" si="19">C89+1</f>
        <v>2023</v>
      </c>
      <c r="E89" s="63">
        <f t="shared" si="19"/>
        <v>2024</v>
      </c>
      <c r="F89" s="63">
        <f t="shared" si="19"/>
        <v>2025</v>
      </c>
      <c r="G89" s="63">
        <f t="shared" si="19"/>
        <v>2026</v>
      </c>
      <c r="H89" s="63">
        <f t="shared" si="19"/>
        <v>2027</v>
      </c>
      <c r="I89" s="63">
        <f t="shared" si="19"/>
        <v>2028</v>
      </c>
    </row>
    <row r="90" spans="1:21">
      <c r="B90" s="313" t="s">
        <v>62</v>
      </c>
      <c r="C90" s="196"/>
      <c r="D90" s="196"/>
      <c r="E90" s="314">
        <v>0</v>
      </c>
      <c r="F90" s="314">
        <v>0</v>
      </c>
      <c r="G90" s="314">
        <v>0</v>
      </c>
      <c r="H90" s="314">
        <v>0</v>
      </c>
      <c r="I90" s="314">
        <v>0</v>
      </c>
    </row>
    <row r="91" spans="1:21">
      <c r="B91" s="313" t="s">
        <v>63</v>
      </c>
      <c r="C91" s="196"/>
      <c r="D91" s="196"/>
      <c r="E91" s="314">
        <v>0</v>
      </c>
      <c r="F91" s="314">
        <v>0</v>
      </c>
      <c r="G91" s="314">
        <v>0</v>
      </c>
      <c r="H91" s="314">
        <v>0</v>
      </c>
      <c r="I91" s="314">
        <v>0</v>
      </c>
    </row>
    <row r="92" spans="1:21">
      <c r="B92" s="313" t="s">
        <v>64</v>
      </c>
      <c r="C92" s="196"/>
      <c r="D92" s="196"/>
      <c r="E92" s="314">
        <v>0</v>
      </c>
      <c r="F92" s="314">
        <v>0</v>
      </c>
      <c r="G92" s="314">
        <v>0</v>
      </c>
      <c r="H92" s="314">
        <v>0</v>
      </c>
      <c r="I92" s="314">
        <v>0</v>
      </c>
      <c r="J92" s="249"/>
      <c r="K92" s="249"/>
      <c r="L92" s="249"/>
      <c r="M92" s="249"/>
      <c r="N92" s="249"/>
    </row>
    <row r="93" spans="1:21">
      <c r="B93" s="313" t="s">
        <v>65</v>
      </c>
      <c r="C93" s="196"/>
      <c r="D93" s="196"/>
      <c r="E93" s="314">
        <v>0</v>
      </c>
      <c r="F93" s="314">
        <v>0</v>
      </c>
      <c r="G93" s="314">
        <v>0</v>
      </c>
      <c r="H93" s="314">
        <v>0</v>
      </c>
      <c r="I93" s="314">
        <v>0</v>
      </c>
    </row>
    <row r="94" spans="1:21">
      <c r="B94" s="313" t="s">
        <v>66</v>
      </c>
      <c r="C94" s="196"/>
      <c r="D94" s="196"/>
      <c r="E94" s="314">
        <v>0</v>
      </c>
      <c r="F94" s="314">
        <v>0</v>
      </c>
      <c r="G94" s="314">
        <v>0</v>
      </c>
      <c r="H94" s="314">
        <v>0</v>
      </c>
      <c r="I94" s="314">
        <v>0</v>
      </c>
    </row>
    <row r="95" spans="1:21">
      <c r="B95" s="313" t="s">
        <v>67</v>
      </c>
      <c r="C95" s="196"/>
      <c r="D95" s="196"/>
      <c r="E95" s="314">
        <v>0</v>
      </c>
      <c r="F95" s="314">
        <v>0</v>
      </c>
      <c r="G95" s="314">
        <v>0</v>
      </c>
      <c r="H95" s="314">
        <v>0</v>
      </c>
      <c r="I95" s="314">
        <v>0</v>
      </c>
    </row>
    <row r="96" spans="1:21">
      <c r="B96" s="313" t="s">
        <v>68</v>
      </c>
      <c r="C96" s="196"/>
      <c r="D96" s="196"/>
      <c r="E96" s="314">
        <v>0</v>
      </c>
      <c r="F96" s="314">
        <v>0</v>
      </c>
      <c r="G96" s="314">
        <v>0</v>
      </c>
      <c r="H96" s="314">
        <v>0</v>
      </c>
      <c r="I96" s="314">
        <v>0</v>
      </c>
    </row>
    <row r="97" spans="2:9">
      <c r="B97" s="313" t="s">
        <v>69</v>
      </c>
      <c r="C97" s="196"/>
      <c r="D97" s="196"/>
      <c r="E97" s="314">
        <v>0</v>
      </c>
      <c r="F97" s="314">
        <v>0</v>
      </c>
      <c r="G97" s="314">
        <v>0</v>
      </c>
      <c r="H97" s="314">
        <v>0</v>
      </c>
      <c r="I97" s="314">
        <v>0</v>
      </c>
    </row>
    <row r="98" spans="2:9">
      <c r="B98" s="313" t="s">
        <v>70</v>
      </c>
      <c r="C98" s="196"/>
      <c r="D98" s="196"/>
      <c r="E98" s="314">
        <v>0</v>
      </c>
      <c r="F98" s="314">
        <v>0</v>
      </c>
      <c r="G98" s="314">
        <v>0</v>
      </c>
      <c r="H98" s="314">
        <v>0</v>
      </c>
      <c r="I98" s="314">
        <v>0</v>
      </c>
    </row>
    <row r="99" spans="2:9">
      <c r="B99" s="313" t="s">
        <v>71</v>
      </c>
      <c r="C99" s="196"/>
      <c r="D99" s="196"/>
      <c r="E99" s="314">
        <v>0</v>
      </c>
      <c r="F99" s="314">
        <v>0</v>
      </c>
      <c r="G99" s="314">
        <v>0</v>
      </c>
      <c r="H99" s="314">
        <v>0</v>
      </c>
      <c r="I99" s="314">
        <v>0</v>
      </c>
    </row>
    <row r="100" spans="2:9">
      <c r="B100" s="313" t="s">
        <v>72</v>
      </c>
      <c r="C100" s="196"/>
      <c r="D100" s="196"/>
      <c r="E100" s="314">
        <v>0</v>
      </c>
      <c r="F100" s="314">
        <v>0</v>
      </c>
      <c r="G100" s="314">
        <v>0</v>
      </c>
      <c r="H100" s="314">
        <v>0</v>
      </c>
      <c r="I100" s="314">
        <v>0</v>
      </c>
    </row>
    <row r="101" spans="2:9">
      <c r="B101" s="313" t="s">
        <v>73</v>
      </c>
      <c r="C101" s="196"/>
      <c r="D101" s="196"/>
      <c r="E101" s="314">
        <v>0</v>
      </c>
      <c r="F101" s="314">
        <v>0</v>
      </c>
      <c r="G101" s="314">
        <v>0</v>
      </c>
      <c r="H101" s="314">
        <v>0</v>
      </c>
      <c r="I101" s="314">
        <v>0</v>
      </c>
    </row>
    <row r="102" spans="2:9">
      <c r="B102" s="313" t="s">
        <v>74</v>
      </c>
      <c r="C102" s="196"/>
      <c r="D102" s="196"/>
      <c r="E102" s="314">
        <v>0</v>
      </c>
      <c r="F102" s="314">
        <v>0</v>
      </c>
      <c r="G102" s="314">
        <v>0</v>
      </c>
      <c r="H102" s="314">
        <v>0</v>
      </c>
      <c r="I102" s="314">
        <v>0</v>
      </c>
    </row>
    <row r="103" spans="2:9">
      <c r="B103" s="313" t="s">
        <v>75</v>
      </c>
      <c r="C103" s="196"/>
      <c r="D103" s="196"/>
      <c r="E103" s="314">
        <v>0</v>
      </c>
      <c r="F103" s="314">
        <v>0</v>
      </c>
      <c r="G103" s="314">
        <v>0</v>
      </c>
      <c r="H103" s="314">
        <v>0</v>
      </c>
      <c r="I103" s="314">
        <v>0</v>
      </c>
    </row>
    <row r="104" spans="2:9">
      <c r="B104" s="313" t="s">
        <v>76</v>
      </c>
      <c r="C104" s="315">
        <v>3.6510479549499562E-2</v>
      </c>
      <c r="D104" s="315">
        <v>3.6510479549499562E-2</v>
      </c>
      <c r="E104" s="315">
        <v>3.6510479549499562E-2</v>
      </c>
      <c r="F104" s="315">
        <v>3.6510479549499562E-2</v>
      </c>
      <c r="G104" s="315">
        <v>3.6510479549499562E-2</v>
      </c>
      <c r="H104" s="196"/>
      <c r="I104" s="196"/>
    </row>
    <row r="105" spans="2:9">
      <c r="B105" s="313" t="s">
        <v>77</v>
      </c>
      <c r="C105" s="315">
        <v>2.7462875901387192E-2</v>
      </c>
      <c r="D105" s="315">
        <v>2.7462875901387192E-2</v>
      </c>
      <c r="E105" s="315">
        <v>2.7462875901387192E-2</v>
      </c>
      <c r="F105" s="315">
        <v>2.7462875901387192E-2</v>
      </c>
      <c r="G105" s="315">
        <v>2.7462875901387192E-2</v>
      </c>
      <c r="H105" s="196"/>
      <c r="I105" s="196"/>
    </row>
    <row r="106" spans="2:9">
      <c r="B106" s="313" t="s">
        <v>78</v>
      </c>
      <c r="C106" s="315">
        <v>1.7082326729376533E-2</v>
      </c>
      <c r="D106" s="315">
        <v>1.7082326729376533E-2</v>
      </c>
      <c r="E106" s="315">
        <v>1.7082326729376533E-2</v>
      </c>
      <c r="F106" s="315">
        <v>1.7082326729376533E-2</v>
      </c>
      <c r="G106" s="315">
        <v>1.7082326729376533E-2</v>
      </c>
      <c r="H106" s="196"/>
      <c r="I106" s="196"/>
    </row>
    <row r="107" spans="2:9">
      <c r="B107" s="313" t="s">
        <v>4</v>
      </c>
      <c r="C107" s="315">
        <v>2.5713646682447938E-2</v>
      </c>
      <c r="D107" s="315">
        <v>2.5713646682447938E-2</v>
      </c>
      <c r="E107" s="315">
        <v>2.5713646682447938E-2</v>
      </c>
      <c r="F107" s="315">
        <v>2.5713646682447938E-2</v>
      </c>
      <c r="G107" s="315">
        <v>2.5713646682447938E-2</v>
      </c>
      <c r="H107" s="196"/>
      <c r="I107" s="196"/>
    </row>
    <row r="108" spans="2:9">
      <c r="B108" s="313" t="s">
        <v>79</v>
      </c>
      <c r="C108" s="315">
        <v>0.4206045538022069</v>
      </c>
      <c r="D108" s="315">
        <v>0.4206045538022069</v>
      </c>
      <c r="E108" s="315">
        <v>0.4206045538022069</v>
      </c>
      <c r="F108" s="315">
        <v>0.4206045538022069</v>
      </c>
      <c r="G108" s="315">
        <v>0.4206045538022069</v>
      </c>
      <c r="H108" s="196"/>
      <c r="I108" s="196"/>
    </row>
    <row r="109" spans="2:9">
      <c r="B109" s="313" t="s">
        <v>80</v>
      </c>
      <c r="C109" s="314">
        <v>0</v>
      </c>
      <c r="D109" s="314">
        <v>0</v>
      </c>
      <c r="E109" s="314">
        <v>0</v>
      </c>
      <c r="F109" s="314">
        <v>0</v>
      </c>
      <c r="G109" s="314">
        <v>0</v>
      </c>
      <c r="H109" s="196"/>
      <c r="I109" s="196"/>
    </row>
    <row r="110" spans="2:9">
      <c r="B110" s="313" t="s">
        <v>81</v>
      </c>
      <c r="C110" s="314">
        <v>0</v>
      </c>
      <c r="D110" s="314">
        <v>0</v>
      </c>
      <c r="E110" s="314">
        <v>0</v>
      </c>
      <c r="F110" s="314">
        <v>0</v>
      </c>
      <c r="G110" s="314">
        <v>0</v>
      </c>
      <c r="H110" s="196"/>
      <c r="I110" s="196"/>
    </row>
    <row r="111" spans="2:9">
      <c r="B111" s="313" t="s">
        <v>82</v>
      </c>
      <c r="C111" s="314">
        <v>0</v>
      </c>
      <c r="D111" s="314">
        <v>0</v>
      </c>
      <c r="E111" s="314">
        <v>0</v>
      </c>
      <c r="F111" s="314">
        <v>0</v>
      </c>
      <c r="G111" s="314">
        <v>0</v>
      </c>
      <c r="H111" s="196"/>
      <c r="I111" s="196"/>
    </row>
    <row r="112" spans="2:9">
      <c r="B112" s="313" t="s">
        <v>83</v>
      </c>
      <c r="C112" s="316">
        <v>-4.3390000000000004</v>
      </c>
      <c r="D112" s="316">
        <v>-4.3390000000000004</v>
      </c>
      <c r="E112" s="316">
        <v>-4.3390000000000004</v>
      </c>
      <c r="F112" s="316">
        <v>-4.3390000000000004</v>
      </c>
      <c r="G112" s="316">
        <v>-4.3390000000000004</v>
      </c>
      <c r="H112" s="196"/>
      <c r="I112" s="196"/>
    </row>
    <row r="113" spans="1:14">
      <c r="B113" s="313" t="s">
        <v>84</v>
      </c>
      <c r="C113" s="314">
        <v>0</v>
      </c>
      <c r="D113" s="314">
        <v>0</v>
      </c>
      <c r="E113" s="314">
        <v>0</v>
      </c>
      <c r="F113" s="314">
        <v>0</v>
      </c>
      <c r="G113" s="314">
        <v>0</v>
      </c>
      <c r="H113" s="196"/>
      <c r="I113" s="196"/>
    </row>
    <row r="114" spans="1:14">
      <c r="B114" s="313" t="s">
        <v>85</v>
      </c>
      <c r="C114" s="316">
        <v>-4.3390000000000004</v>
      </c>
      <c r="D114" s="316">
        <v>-4.3390000000000004</v>
      </c>
      <c r="E114" s="316">
        <v>-4.3390000000000004</v>
      </c>
      <c r="F114" s="316">
        <v>-4.3390000000000004</v>
      </c>
      <c r="G114" s="316">
        <v>-4.3390000000000004</v>
      </c>
      <c r="H114" s="196"/>
      <c r="I114" s="196"/>
    </row>
    <row r="115" spans="1:14">
      <c r="B115" s="313" t="s">
        <v>86</v>
      </c>
      <c r="C115" s="319">
        <v>-13</v>
      </c>
      <c r="D115" s="319">
        <v>-13</v>
      </c>
      <c r="E115" s="319">
        <v>-13</v>
      </c>
      <c r="F115" s="319">
        <v>-13</v>
      </c>
      <c r="G115" s="319">
        <v>-13</v>
      </c>
      <c r="H115" s="196"/>
      <c r="I115" s="196"/>
    </row>
    <row r="116" spans="1:14">
      <c r="B116" s="313" t="s">
        <v>28</v>
      </c>
      <c r="C116" s="314">
        <v>0</v>
      </c>
      <c r="D116" s="314">
        <v>0</v>
      </c>
      <c r="E116" s="314">
        <v>0</v>
      </c>
      <c r="F116" s="314">
        <v>0</v>
      </c>
      <c r="G116" s="314">
        <v>0</v>
      </c>
      <c r="H116" s="196"/>
      <c r="I116" s="196"/>
    </row>
    <row r="117" spans="1:14">
      <c r="B117" s="313" t="s">
        <v>87</v>
      </c>
      <c r="C117" s="315">
        <v>1</v>
      </c>
      <c r="D117" s="315">
        <v>1</v>
      </c>
      <c r="E117" s="315">
        <v>1</v>
      </c>
      <c r="F117" s="315">
        <v>1</v>
      </c>
      <c r="G117" s="315">
        <v>1</v>
      </c>
      <c r="H117" s="196"/>
      <c r="I117" s="196"/>
    </row>
    <row r="118" spans="1:14">
      <c r="B118" s="317" t="s">
        <v>45</v>
      </c>
      <c r="C118" s="315">
        <v>4.3620000000000001</v>
      </c>
      <c r="D118" s="315">
        <v>4.3620000000000001</v>
      </c>
      <c r="E118" s="318">
        <v>4.3620000000000001</v>
      </c>
      <c r="F118" s="318">
        <v>4.3620000000000001</v>
      </c>
      <c r="G118" s="318">
        <v>4.3620000000000001</v>
      </c>
      <c r="H118" s="196"/>
      <c r="I118" s="196"/>
    </row>
    <row r="119" spans="1:14">
      <c r="B119" s="88"/>
    </row>
    <row r="120" spans="1:14">
      <c r="B120" s="394" t="str">
        <f>LEFT('RFPR cover'!C8,2)</f>
        <v>GD</v>
      </c>
      <c r="C120" s="571"/>
      <c r="D120" s="571"/>
      <c r="E120" s="571"/>
      <c r="F120" s="571"/>
      <c r="G120" s="571"/>
      <c r="H120" s="571"/>
      <c r="I120" s="571"/>
      <c r="J120" s="571"/>
      <c r="K120" s="571"/>
      <c r="L120" s="395"/>
    </row>
    <row r="121" spans="1:14">
      <c r="A121" s="92"/>
      <c r="B121" s="169" t="s">
        <v>89</v>
      </c>
      <c r="C121" s="170"/>
      <c r="D121" s="170"/>
      <c r="E121" s="170"/>
      <c r="F121" s="168"/>
      <c r="G121" s="168"/>
      <c r="H121" s="168"/>
      <c r="I121" s="168"/>
      <c r="J121" s="168"/>
      <c r="K121" s="168"/>
      <c r="L121" s="168"/>
      <c r="M121" s="168"/>
      <c r="N121" s="168"/>
    </row>
    <row r="122" spans="1:14">
      <c r="A122" s="92"/>
      <c r="B122" s="247"/>
      <c r="C122" s="248"/>
      <c r="D122" s="248"/>
      <c r="E122" s="248"/>
      <c r="F122" s="249"/>
      <c r="G122" s="249"/>
      <c r="H122" s="249"/>
      <c r="I122" s="249"/>
    </row>
    <row r="123" spans="1:14">
      <c r="A123" s="91"/>
      <c r="B123" s="572" t="s">
        <v>90</v>
      </c>
      <c r="C123" s="93"/>
      <c r="D123" s="93"/>
      <c r="E123" s="779" t="b">
        <f>OR((LEFT('RFPR cover'!$C$8,2)=Data!G123),'RFPR cover'!$C$7=Data!G123)</f>
        <v>0</v>
      </c>
      <c r="F123" s="640">
        <f t="shared" ref="F123:F126" si="20">IF(E123,1,0)</f>
        <v>0</v>
      </c>
      <c r="G123" s="780" t="str">
        <f>B132</f>
        <v>ED</v>
      </c>
    </row>
    <row r="124" spans="1:14" ht="16.5" customHeight="1">
      <c r="A124" s="91"/>
      <c r="B124" s="252" t="str">
        <f t="shared" ref="B124:B129" si="21">IF(SUM($F$123:$F$129)=0,"",CHOOSE(MATCH(TRUE,$E$123:$E$129,0),B133,B143,B153,B163,E163,B173,E173)&amp;"")</f>
        <v>Customer Satisfaction Survey ODI</v>
      </c>
      <c r="C124" s="93"/>
      <c r="D124" s="93"/>
      <c r="E124" s="641" t="b">
        <f>OR((LEFT('RFPR cover'!$C$8,2)=Data!G124),'RFPR cover'!$C$7=Data!G124)</f>
        <v>1</v>
      </c>
      <c r="F124" s="642">
        <f t="shared" si="20"/>
        <v>1</v>
      </c>
      <c r="G124" s="643" t="str">
        <f>B142</f>
        <v>GD</v>
      </c>
    </row>
    <row r="125" spans="1:14">
      <c r="A125" s="91"/>
      <c r="B125" s="252" t="str">
        <f t="shared" si="21"/>
        <v>Complaints metric ODI</v>
      </c>
      <c r="C125" s="93"/>
      <c r="D125" s="93"/>
      <c r="E125" s="641" t="b">
        <f>OR((LEFT('RFPR cover'!$C$8,2)=Data!G125),'RFPR cover'!$C$7=Data!G125)</f>
        <v>0</v>
      </c>
      <c r="F125" s="642">
        <f t="shared" si="20"/>
        <v>0</v>
      </c>
      <c r="G125" s="644" t="str">
        <f>B152</f>
        <v>NGGT (TO)</v>
      </c>
    </row>
    <row r="126" spans="1:14" ht="24.75">
      <c r="A126" s="91"/>
      <c r="B126" s="252" t="str">
        <f t="shared" si="21"/>
        <v>Unplanned Interruption Mean Duration ODI [NGN, SGN and WWU]</v>
      </c>
      <c r="C126" s="93"/>
      <c r="D126" s="93"/>
      <c r="E126" s="641" t="b">
        <f>OR((LEFT('RFPR cover'!$C$8,2)=Data!G126),'RFPR cover'!$C$7=Data!G126)</f>
        <v>0</v>
      </c>
      <c r="F126" s="642">
        <f t="shared" si="20"/>
        <v>0</v>
      </c>
      <c r="G126" s="644" t="str">
        <f>B162</f>
        <v>NGET (TO)</v>
      </c>
    </row>
    <row r="127" spans="1:14" ht="24.75">
      <c r="A127" s="91"/>
      <c r="B127" s="252" t="str">
        <f t="shared" si="21"/>
        <v>Unplanned Interruption Mean Duration ODI [Cadent only]</v>
      </c>
      <c r="C127" s="93"/>
      <c r="D127" s="93"/>
      <c r="E127" s="641" t="b">
        <f>OR((LEFT('RFPR cover'!$C$8,2)=Data!G127),'RFPR cover'!$C$7=Data!G127)</f>
        <v>0</v>
      </c>
      <c r="F127" s="642">
        <f t="shared" ref="F127" si="22">IF(E127,1,0)</f>
        <v>0</v>
      </c>
      <c r="G127" s="644" t="s">
        <v>28</v>
      </c>
    </row>
    <row r="128" spans="1:14">
      <c r="A128" s="91"/>
      <c r="B128" s="252" t="str">
        <f t="shared" si="21"/>
        <v>Shrinkage Management ODI</v>
      </c>
      <c r="C128" s="93"/>
      <c r="D128" s="93"/>
      <c r="E128" s="641" t="b">
        <f>OR((LEFT('RFPR cover'!$C$8,2)=Data!G128),'RFPR cover'!$C$7=Data!G128)</f>
        <v>0</v>
      </c>
      <c r="F128" s="642">
        <f>IF(E128,1,0)</f>
        <v>0</v>
      </c>
      <c r="G128" s="644" t="str">
        <f>B172</f>
        <v>SPT</v>
      </c>
    </row>
    <row r="129" spans="1:7" ht="24.75">
      <c r="A129" s="91"/>
      <c r="B129" s="252" t="str">
        <f t="shared" si="21"/>
        <v>Collaborative streetworks ODI [Cadent Lon &amp; EoE, SGN So only]</v>
      </c>
      <c r="C129" s="93"/>
      <c r="D129" s="93"/>
      <c r="E129" s="645" t="b">
        <f>OR((LEFT('RFPR cover'!$C$8,2)=Data!G129),'RFPR cover'!$C$7=Data!G129)</f>
        <v>0</v>
      </c>
      <c r="F129" s="646">
        <f>IF(E129,1,0)</f>
        <v>0</v>
      </c>
      <c r="G129" s="647" t="s">
        <v>45</v>
      </c>
    </row>
    <row r="130" spans="1:7">
      <c r="A130" s="91"/>
      <c r="B130" s="252" t="str">
        <f>IF(SUM($F$123:$F$129)=0,"",CHOOSE(MATCH(TRUE,$E$123:$E$129,0),B139,B149,B159,B169,B179,E179)&amp;"")</f>
        <v/>
      </c>
      <c r="C130" s="93"/>
      <c r="D130" s="93"/>
    </row>
    <row r="131" spans="1:7">
      <c r="A131" s="91"/>
      <c r="B131" s="93"/>
      <c r="C131" s="93"/>
      <c r="D131" s="93"/>
      <c r="E131" s="32"/>
      <c r="F131" s="250"/>
    </row>
    <row r="132" spans="1:7">
      <c r="A132" s="91"/>
      <c r="B132" s="831" t="s">
        <v>19</v>
      </c>
      <c r="C132" s="832"/>
      <c r="D132" s="93"/>
      <c r="E132" s="93"/>
    </row>
    <row r="133" spans="1:7">
      <c r="A133" s="91"/>
      <c r="B133" s="835" t="s">
        <v>91</v>
      </c>
      <c r="C133" s="836"/>
      <c r="D133" s="93"/>
      <c r="E133" s="93"/>
    </row>
    <row r="134" spans="1:7">
      <c r="A134" s="91"/>
      <c r="B134" s="833" t="s">
        <v>92</v>
      </c>
      <c r="C134" s="834"/>
      <c r="D134" s="93"/>
      <c r="E134" s="93"/>
    </row>
    <row r="135" spans="1:7">
      <c r="A135" s="91"/>
      <c r="B135" s="833" t="s">
        <v>93</v>
      </c>
      <c r="C135" s="834"/>
      <c r="D135" s="93"/>
      <c r="E135" s="93"/>
    </row>
    <row r="136" spans="1:7">
      <c r="A136" s="91"/>
      <c r="B136" s="833" t="s">
        <v>94</v>
      </c>
      <c r="C136" s="834"/>
      <c r="D136" s="93"/>
      <c r="E136" s="93"/>
    </row>
    <row r="137" spans="1:7">
      <c r="A137" s="91"/>
      <c r="B137" s="833" t="s">
        <v>95</v>
      </c>
      <c r="C137" s="834"/>
      <c r="D137" s="93"/>
      <c r="E137" s="93"/>
    </row>
    <row r="138" spans="1:7">
      <c r="A138" s="91"/>
      <c r="B138" s="833"/>
      <c r="C138" s="834"/>
      <c r="D138" s="93"/>
      <c r="E138" s="93"/>
    </row>
    <row r="139" spans="1:7">
      <c r="A139" s="91"/>
      <c r="B139" s="837"/>
      <c r="C139" s="838"/>
      <c r="D139" s="93"/>
      <c r="E139" s="93"/>
    </row>
    <row r="140" spans="1:7">
      <c r="A140" s="91"/>
      <c r="B140" s="93"/>
      <c r="C140" s="93"/>
      <c r="D140" s="93"/>
      <c r="E140" s="93"/>
    </row>
    <row r="141" spans="1:7">
      <c r="A141" s="91"/>
      <c r="B141" s="93"/>
      <c r="C141" s="93"/>
      <c r="D141" s="93"/>
      <c r="E141" s="93"/>
    </row>
    <row r="142" spans="1:7">
      <c r="A142" s="91"/>
      <c r="B142" s="831" t="s">
        <v>25</v>
      </c>
      <c r="C142" s="832"/>
      <c r="D142" s="93"/>
      <c r="E142" s="93"/>
    </row>
    <row r="143" spans="1:7">
      <c r="A143" s="91"/>
      <c r="B143" s="835" t="s">
        <v>96</v>
      </c>
      <c r="C143" s="836"/>
      <c r="E143" s="93"/>
    </row>
    <row r="144" spans="1:7">
      <c r="A144" s="91"/>
      <c r="B144" s="833" t="s">
        <v>97</v>
      </c>
      <c r="C144" s="834"/>
      <c r="D144" s="93"/>
      <c r="E144" s="93"/>
    </row>
    <row r="145" spans="1:9" ht="25.5" customHeight="1">
      <c r="A145" s="91"/>
      <c r="B145" s="833" t="s">
        <v>98</v>
      </c>
      <c r="C145" s="834"/>
      <c r="D145" s="93"/>
      <c r="E145" s="93"/>
    </row>
    <row r="146" spans="1:9" ht="25.5" customHeight="1">
      <c r="A146" s="91"/>
      <c r="B146" s="833" t="s">
        <v>99</v>
      </c>
      <c r="C146" s="834"/>
      <c r="D146" s="93"/>
      <c r="E146" s="93"/>
    </row>
    <row r="147" spans="1:9" ht="14.25" customHeight="1">
      <c r="A147" s="91"/>
      <c r="B147" s="833" t="s">
        <v>100</v>
      </c>
      <c r="C147" s="834"/>
      <c r="D147" s="93"/>
      <c r="E147" s="93"/>
    </row>
    <row r="148" spans="1:9" ht="25.5" customHeight="1">
      <c r="A148" s="91"/>
      <c r="B148" s="833" t="s">
        <v>101</v>
      </c>
      <c r="C148" s="834"/>
      <c r="D148" s="93"/>
      <c r="E148" s="93"/>
    </row>
    <row r="149" spans="1:9">
      <c r="A149" s="91"/>
      <c r="B149" s="837"/>
      <c r="C149" s="838"/>
      <c r="D149" s="93"/>
      <c r="E149" s="93"/>
    </row>
    <row r="150" spans="1:9">
      <c r="A150" s="91"/>
      <c r="B150" s="93"/>
      <c r="C150" s="93"/>
      <c r="D150" s="93"/>
      <c r="E150" s="93"/>
    </row>
    <row r="151" spans="1:9">
      <c r="A151" s="91"/>
      <c r="B151" s="93"/>
      <c r="C151" s="93"/>
      <c r="D151" s="93"/>
      <c r="E151" s="93"/>
    </row>
    <row r="152" spans="1:9">
      <c r="A152" s="91"/>
      <c r="B152" s="821" t="s">
        <v>83</v>
      </c>
      <c r="C152" s="822"/>
      <c r="D152" s="93"/>
      <c r="E152" s="345"/>
      <c r="F152" s="38"/>
      <c r="G152" s="38"/>
      <c r="H152" s="38"/>
      <c r="I152" s="38"/>
    </row>
    <row r="153" spans="1:9">
      <c r="A153" s="91"/>
      <c r="B153" s="835" t="s">
        <v>102</v>
      </c>
      <c r="C153" s="836"/>
      <c r="E153" s="246"/>
      <c r="F153" s="246"/>
      <c r="G153" s="246"/>
      <c r="H153" s="246"/>
      <c r="I153" s="246"/>
    </row>
    <row r="154" spans="1:9">
      <c r="A154" s="91"/>
      <c r="B154" s="833" t="s">
        <v>103</v>
      </c>
      <c r="C154" s="834"/>
      <c r="E154" s="246"/>
      <c r="F154" s="246"/>
      <c r="G154" s="246"/>
      <c r="H154" s="246"/>
      <c r="I154" s="246"/>
    </row>
    <row r="155" spans="1:9">
      <c r="A155" s="91"/>
      <c r="B155" s="833"/>
      <c r="C155" s="834"/>
      <c r="D155" s="93"/>
      <c r="E155" s="246"/>
      <c r="F155" s="246"/>
      <c r="G155" s="246"/>
      <c r="H155" s="246"/>
      <c r="I155" s="246"/>
    </row>
    <row r="156" spans="1:9">
      <c r="A156" s="91"/>
      <c r="B156" s="833"/>
      <c r="C156" s="834"/>
      <c r="D156" s="93"/>
      <c r="E156" s="246"/>
      <c r="F156" s="246"/>
      <c r="G156" s="246"/>
      <c r="H156" s="246"/>
      <c r="I156" s="246"/>
    </row>
    <row r="157" spans="1:9">
      <c r="A157" s="91"/>
      <c r="B157" s="833"/>
      <c r="C157" s="834"/>
      <c r="D157" s="93"/>
      <c r="E157" s="246"/>
      <c r="F157" s="246"/>
      <c r="G157" s="246"/>
      <c r="H157" s="246"/>
      <c r="I157" s="246"/>
    </row>
    <row r="158" spans="1:9">
      <c r="A158" s="91"/>
      <c r="B158" s="833"/>
      <c r="C158" s="834"/>
      <c r="D158" s="93"/>
      <c r="E158" s="246"/>
      <c r="F158" s="246"/>
      <c r="G158" s="246"/>
      <c r="H158" s="246"/>
      <c r="I158" s="246"/>
    </row>
    <row r="159" spans="1:9" ht="12" customHeight="1">
      <c r="A159" s="91"/>
      <c r="B159" s="837"/>
      <c r="C159" s="838"/>
      <c r="D159" s="93"/>
      <c r="E159" s="246"/>
      <c r="F159" s="246"/>
      <c r="G159" s="246"/>
      <c r="H159" s="246"/>
      <c r="I159" s="246"/>
    </row>
    <row r="160" spans="1:9">
      <c r="A160" s="91"/>
      <c r="B160" s="93"/>
      <c r="C160" s="93"/>
      <c r="D160" s="93"/>
      <c r="E160" s="93"/>
    </row>
    <row r="161" spans="1:9">
      <c r="A161" s="91"/>
      <c r="B161" s="93"/>
      <c r="C161" s="93"/>
      <c r="D161" s="93"/>
      <c r="E161" s="93"/>
    </row>
    <row r="162" spans="1:9">
      <c r="A162" s="91"/>
      <c r="B162" s="821" t="s">
        <v>86</v>
      </c>
      <c r="C162" s="822"/>
      <c r="D162" s="93"/>
      <c r="E162" s="821" t="s">
        <v>28</v>
      </c>
      <c r="F162" s="821"/>
      <c r="G162" s="821"/>
      <c r="H162" s="822"/>
      <c r="I162" s="38"/>
    </row>
    <row r="163" spans="1:9" ht="13.5" customHeight="1">
      <c r="A163" s="91"/>
      <c r="B163" s="835" t="s">
        <v>104</v>
      </c>
      <c r="C163" s="836"/>
      <c r="E163" s="831" t="s">
        <v>105</v>
      </c>
      <c r="F163" s="840"/>
      <c r="G163" s="840"/>
      <c r="H163" s="841"/>
      <c r="I163" s="246"/>
    </row>
    <row r="164" spans="1:9" ht="12.75" customHeight="1">
      <c r="A164" s="91"/>
      <c r="B164" s="833" t="s">
        <v>106</v>
      </c>
      <c r="C164" s="834"/>
      <c r="E164" s="842"/>
      <c r="F164" s="842"/>
      <c r="G164" s="842"/>
      <c r="H164" s="843"/>
      <c r="I164" s="246"/>
    </row>
    <row r="165" spans="1:9" ht="13.5" customHeight="1">
      <c r="A165" s="91"/>
      <c r="B165" s="833" t="s">
        <v>107</v>
      </c>
      <c r="C165" s="834"/>
      <c r="E165" s="806"/>
      <c r="F165" s="806"/>
      <c r="G165" s="806"/>
      <c r="H165" s="807"/>
      <c r="I165" s="246"/>
    </row>
    <row r="166" spans="1:9" ht="12.75" customHeight="1">
      <c r="A166" s="91"/>
      <c r="B166" s="833" t="s">
        <v>108</v>
      </c>
      <c r="C166" s="834"/>
      <c r="E166" s="806"/>
      <c r="F166" s="806"/>
      <c r="G166" s="806"/>
      <c r="H166" s="807"/>
      <c r="I166" s="246"/>
    </row>
    <row r="167" spans="1:9" ht="13.5" customHeight="1">
      <c r="A167" s="91"/>
      <c r="B167" s="833" t="s">
        <v>109</v>
      </c>
      <c r="C167" s="834"/>
      <c r="E167" s="806"/>
      <c r="F167" s="806"/>
      <c r="G167" s="806"/>
      <c r="H167" s="807"/>
      <c r="I167" s="246"/>
    </row>
    <row r="168" spans="1:9" ht="13.5" customHeight="1">
      <c r="A168" s="91"/>
      <c r="B168" s="833" t="s">
        <v>110</v>
      </c>
      <c r="C168" s="834"/>
      <c r="E168" s="806"/>
      <c r="F168" s="806"/>
      <c r="G168" s="806"/>
      <c r="H168" s="807"/>
      <c r="I168" s="246"/>
    </row>
    <row r="169" spans="1:9">
      <c r="A169" s="91"/>
      <c r="B169" s="837"/>
      <c r="C169" s="838"/>
      <c r="D169" s="93"/>
      <c r="E169" s="839"/>
      <c r="F169" s="839"/>
      <c r="G169" s="246"/>
      <c r="H169" s="246"/>
      <c r="I169" s="246"/>
    </row>
    <row r="170" spans="1:9" ht="12.75" customHeight="1">
      <c r="A170" s="91"/>
      <c r="B170" s="91"/>
      <c r="C170" s="91"/>
      <c r="D170" s="93"/>
      <c r="E170" s="246"/>
      <c r="F170" s="246"/>
      <c r="G170" s="246"/>
      <c r="H170" s="246"/>
      <c r="I170" s="246"/>
    </row>
    <row r="171" spans="1:9" ht="12.75" customHeight="1">
      <c r="A171" s="91"/>
      <c r="B171" s="91"/>
      <c r="C171" s="91"/>
      <c r="D171" s="93"/>
      <c r="E171" s="246"/>
      <c r="F171" s="246"/>
      <c r="G171" s="246"/>
      <c r="H171" s="246"/>
      <c r="I171" s="246"/>
    </row>
    <row r="172" spans="1:9" ht="12.75" customHeight="1">
      <c r="A172" s="91"/>
      <c r="B172" s="821" t="s">
        <v>87</v>
      </c>
      <c r="C172" s="822"/>
      <c r="D172" s="93"/>
      <c r="E172" s="821" t="s">
        <v>45</v>
      </c>
      <c r="F172" s="821"/>
      <c r="G172" s="821"/>
      <c r="H172" s="822"/>
      <c r="I172" s="348"/>
    </row>
    <row r="173" spans="1:9" ht="12.75" customHeight="1">
      <c r="A173" s="91"/>
      <c r="B173" s="819" t="s">
        <v>104</v>
      </c>
      <c r="C173" s="820"/>
      <c r="E173" s="806" t="s">
        <v>104</v>
      </c>
      <c r="F173" s="806"/>
      <c r="G173" s="806"/>
      <c r="H173" s="807"/>
      <c r="I173" s="246"/>
    </row>
    <row r="174" spans="1:9" ht="12.75" customHeight="1">
      <c r="A174" s="91"/>
      <c r="B174" s="806" t="s">
        <v>106</v>
      </c>
      <c r="C174" s="807"/>
      <c r="E174" s="806" t="s">
        <v>106</v>
      </c>
      <c r="F174" s="806"/>
      <c r="G174" s="806"/>
      <c r="H174" s="807"/>
      <c r="I174" s="246"/>
    </row>
    <row r="175" spans="1:9" ht="12.75" customHeight="1">
      <c r="A175" s="91"/>
      <c r="B175" s="806" t="s">
        <v>107</v>
      </c>
      <c r="C175" s="807"/>
      <c r="E175" s="806" t="s">
        <v>107</v>
      </c>
      <c r="F175" s="806"/>
      <c r="G175" s="806"/>
      <c r="H175" s="807"/>
      <c r="I175" s="246"/>
    </row>
    <row r="176" spans="1:9" ht="12.75" customHeight="1">
      <c r="A176" s="91"/>
      <c r="B176" s="806" t="s">
        <v>108</v>
      </c>
      <c r="C176" s="807"/>
      <c r="E176" s="806" t="s">
        <v>108</v>
      </c>
      <c r="F176" s="806"/>
      <c r="G176" s="806"/>
      <c r="H176" s="807"/>
      <c r="I176" s="246"/>
    </row>
    <row r="177" spans="1:13" ht="12.75" customHeight="1">
      <c r="A177" s="91"/>
      <c r="B177" s="806" t="s">
        <v>109</v>
      </c>
      <c r="C177" s="807"/>
      <c r="E177" s="806" t="s">
        <v>109</v>
      </c>
      <c r="F177" s="806"/>
      <c r="G177" s="806"/>
      <c r="H177" s="807"/>
      <c r="I177" s="246"/>
    </row>
    <row r="178" spans="1:13" ht="12.75" customHeight="1">
      <c r="A178" s="91"/>
      <c r="B178" s="806" t="s">
        <v>110</v>
      </c>
      <c r="C178" s="807"/>
      <c r="E178" s="806" t="s">
        <v>110</v>
      </c>
      <c r="F178" s="806"/>
      <c r="G178" s="806"/>
      <c r="H178" s="807"/>
      <c r="I178" s="246"/>
    </row>
    <row r="179" spans="1:13">
      <c r="A179" s="91"/>
      <c r="B179" s="808"/>
      <c r="C179" s="809"/>
      <c r="D179" s="93"/>
      <c r="E179" s="808"/>
      <c r="F179" s="808"/>
      <c r="G179" s="808"/>
      <c r="H179" s="809"/>
      <c r="I179" s="246"/>
    </row>
    <row r="180" spans="1:13" ht="12.4" customHeight="1">
      <c r="A180" s="91"/>
      <c r="D180" s="93"/>
      <c r="E180" s="93"/>
    </row>
    <row r="181" spans="1:13" ht="12.4" customHeight="1">
      <c r="A181" s="91"/>
      <c r="B181" s="169" t="s">
        <v>111</v>
      </c>
      <c r="C181" s="170"/>
      <c r="D181" s="170"/>
      <c r="E181" s="170"/>
      <c r="F181" s="168"/>
      <c r="G181" s="168"/>
      <c r="H181" s="168"/>
      <c r="I181" s="168"/>
      <c r="J181" s="168"/>
      <c r="K181" s="168"/>
      <c r="L181" s="168"/>
      <c r="M181" s="168"/>
    </row>
    <row r="182" spans="1:13" ht="12.4" customHeight="1">
      <c r="A182" s="91"/>
      <c r="B182" s="247"/>
      <c r="C182" s="248"/>
      <c r="D182" s="248"/>
      <c r="E182" s="248"/>
      <c r="F182" s="249"/>
      <c r="G182" s="249"/>
      <c r="H182" s="249"/>
      <c r="I182" s="249"/>
    </row>
    <row r="183" spans="1:13" ht="12.4" customHeight="1">
      <c r="A183" s="91"/>
      <c r="B183" s="572" t="s">
        <v>112</v>
      </c>
      <c r="C183" s="93"/>
      <c r="D183" s="93"/>
      <c r="E183" s="779" t="b">
        <f>OR((LEFT('RFPR cover'!$C$8,2)=Data!F183),'RFPR cover'!$C$7=Data!F183)</f>
        <v>0</v>
      </c>
      <c r="F183" s="780" t="str">
        <f>B194</f>
        <v>ED</v>
      </c>
    </row>
    <row r="184" spans="1:13" ht="19.5" customHeight="1">
      <c r="A184" s="91"/>
      <c r="B184" s="252" t="str">
        <f>CHOOSE(MATCH(TRUE,$E$183:$E$191,0),B195,B206,B217,E217,B228,E228,B239,E239,B250)&amp;""</f>
        <v xml:space="preserve">RIIO-2 network innovation allowance </v>
      </c>
      <c r="C184" s="93"/>
      <c r="D184" s="93"/>
      <c r="E184" s="641" t="b">
        <f>OR((LEFT('RFPR cover'!$C$8,2)=Data!F184),'RFPR cover'!$C$7=Data!F184)</f>
        <v>1</v>
      </c>
      <c r="F184" s="643" t="str">
        <f>B205</f>
        <v>GD</v>
      </c>
    </row>
    <row r="185" spans="1:13" ht="22.5" customHeight="1">
      <c r="A185" s="91"/>
      <c r="B185" s="252" t="str">
        <f t="shared" ref="B185:B191" si="23">CHOOSE(MATCH(TRUE,$E$183:$E$191,0),B196,B207,B218,E218,B229,E229,B240,E240,B251)&amp;""</f>
        <v xml:space="preserve">Carry-over Network Innovation Allowance </v>
      </c>
      <c r="C185" s="93"/>
      <c r="D185" s="93"/>
      <c r="E185" s="641" t="b">
        <f>OR((LEFT('RFPR cover'!$C$8,2)=Data!F185),'RFPR cover'!$C$7=Data!F185)</f>
        <v>0</v>
      </c>
      <c r="F185" s="644" t="str">
        <f>B216</f>
        <v>NGGT (TO)</v>
      </c>
    </row>
    <row r="186" spans="1:13" ht="19.5" customHeight="1">
      <c r="A186" s="91"/>
      <c r="B186" s="252" t="str">
        <f t="shared" si="23"/>
        <v/>
      </c>
      <c r="C186" s="93"/>
      <c r="D186" s="93"/>
      <c r="E186" s="641" t="b">
        <f>OR((LEFT('RFPR cover'!$C$8,2)=Data!F186),'RFPR cover'!$C$7=Data!F186)</f>
        <v>0</v>
      </c>
      <c r="F186" s="644" t="str">
        <f>E216</f>
        <v>NGGT (SO)</v>
      </c>
    </row>
    <row r="187" spans="1:13" ht="19.5" customHeight="1">
      <c r="A187" s="91"/>
      <c r="B187" s="252" t="str">
        <f t="shared" si="23"/>
        <v/>
      </c>
      <c r="C187" s="93"/>
      <c r="D187" s="93"/>
      <c r="E187" s="641" t="b">
        <f>OR((LEFT('RFPR cover'!$C$8,2)=Data!F187),'RFPR cover'!$C$7=Data!F187)</f>
        <v>0</v>
      </c>
      <c r="F187" s="644" t="str">
        <f>B227</f>
        <v>NGGT (TO+SO)</v>
      </c>
    </row>
    <row r="188" spans="1:13" ht="19.5" customHeight="1">
      <c r="A188" s="91"/>
      <c r="B188" s="252" t="str">
        <f t="shared" si="23"/>
        <v/>
      </c>
      <c r="C188" s="93"/>
      <c r="D188" s="93"/>
      <c r="E188" s="641" t="b">
        <f>OR((LEFT('RFPR cover'!$C$8,2)=Data!F188),'RFPR cover'!$C$7=Data!F188)</f>
        <v>0</v>
      </c>
      <c r="F188" s="644" t="str">
        <f>E227</f>
        <v>NGET (TO)</v>
      </c>
    </row>
    <row r="189" spans="1:13" ht="19.5" customHeight="1">
      <c r="A189" s="91"/>
      <c r="B189" s="252" t="str">
        <f t="shared" si="23"/>
        <v/>
      </c>
      <c r="C189" s="93"/>
      <c r="D189" s="93"/>
      <c r="E189" s="641" t="b">
        <f>OR((LEFT('RFPR cover'!$C$8,2)=Data!F189),'RFPR cover'!$C$7=Data!F189)</f>
        <v>0</v>
      </c>
      <c r="F189" s="644" t="str">
        <f>B238</f>
        <v>ESO</v>
      </c>
    </row>
    <row r="190" spans="1:13" ht="19.5" customHeight="1">
      <c r="A190" s="91"/>
      <c r="B190" s="252" t="str">
        <f t="shared" si="23"/>
        <v/>
      </c>
      <c r="C190" s="93"/>
      <c r="D190" s="93"/>
      <c r="E190" s="641" t="b">
        <f>OR((LEFT('RFPR cover'!$C$8,2)=Data!F190),'RFPR cover'!$C$7=Data!F190)</f>
        <v>0</v>
      </c>
      <c r="F190" s="644" t="str">
        <f>E238</f>
        <v>SPT</v>
      </c>
    </row>
    <row r="191" spans="1:13" ht="19.5" customHeight="1">
      <c r="A191" s="91"/>
      <c r="B191" s="252" t="str">
        <f t="shared" si="23"/>
        <v/>
      </c>
      <c r="C191" s="93"/>
      <c r="D191" s="93"/>
      <c r="E191" s="645" t="b">
        <f>OR((LEFT('RFPR cover'!$C$8,2)=Data!F191),'RFPR cover'!$C$7=Data!F191)</f>
        <v>0</v>
      </c>
      <c r="F191" s="647" t="str">
        <f>B249</f>
        <v>SHET</v>
      </c>
      <c r="G191" s="93"/>
      <c r="H191" s="93"/>
      <c r="I191" s="93"/>
    </row>
    <row r="192" spans="1:13" ht="12.75" customHeight="1">
      <c r="A192" s="91"/>
      <c r="B192" s="93"/>
      <c r="C192" s="93"/>
      <c r="D192" s="93"/>
      <c r="E192" s="32"/>
      <c r="F192" s="250"/>
    </row>
    <row r="193" spans="1:6" ht="12.75" customHeight="1">
      <c r="A193" s="91"/>
      <c r="B193" s="346"/>
      <c r="C193" s="346"/>
      <c r="D193" s="93"/>
      <c r="E193" s="32"/>
      <c r="F193" s="250"/>
    </row>
    <row r="194" spans="1:6" ht="12.75" customHeight="1">
      <c r="A194" s="91"/>
      <c r="B194" s="829" t="s">
        <v>19</v>
      </c>
      <c r="C194" s="830"/>
      <c r="D194" s="93"/>
      <c r="E194" s="93"/>
    </row>
    <row r="195" spans="1:6" ht="12.75" customHeight="1">
      <c r="A195" s="91"/>
      <c r="B195" s="819"/>
      <c r="C195" s="820"/>
      <c r="D195" s="93"/>
      <c r="E195" s="93"/>
    </row>
    <row r="196" spans="1:6" ht="12.75" customHeight="1">
      <c r="A196" s="91"/>
      <c r="B196" s="806"/>
      <c r="C196" s="807"/>
      <c r="D196" s="93"/>
      <c r="E196" s="93"/>
    </row>
    <row r="197" spans="1:6" ht="12.75" customHeight="1">
      <c r="A197" s="91"/>
      <c r="B197" s="806"/>
      <c r="C197" s="807"/>
      <c r="D197" s="93"/>
      <c r="E197" s="93"/>
    </row>
    <row r="198" spans="1:6" ht="12.75" customHeight="1">
      <c r="A198" s="91"/>
      <c r="B198" s="806"/>
      <c r="C198" s="807"/>
      <c r="D198" s="93"/>
      <c r="E198" s="93"/>
    </row>
    <row r="199" spans="1:6" ht="12.75" customHeight="1">
      <c r="A199" s="91"/>
      <c r="B199" s="806"/>
      <c r="C199" s="807"/>
      <c r="D199" s="93"/>
      <c r="E199" s="93"/>
    </row>
    <row r="200" spans="1:6" ht="12.75" customHeight="1">
      <c r="A200" s="91"/>
      <c r="B200" s="806"/>
      <c r="C200" s="807"/>
      <c r="D200" s="93"/>
      <c r="E200" s="93"/>
    </row>
    <row r="201" spans="1:6">
      <c r="A201" s="91"/>
      <c r="B201" s="806"/>
      <c r="C201" s="807"/>
      <c r="D201" s="93"/>
      <c r="E201" s="93"/>
    </row>
    <row r="202" spans="1:6" ht="12.75" customHeight="1">
      <c r="A202" s="91"/>
      <c r="B202" s="808"/>
      <c r="C202" s="809"/>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31" t="s">
        <v>25</v>
      </c>
      <c r="C205" s="832"/>
      <c r="D205" s="93"/>
      <c r="E205" s="93"/>
    </row>
    <row r="206" spans="1:6" ht="12.75" customHeight="1">
      <c r="A206" s="91"/>
      <c r="B206" s="819" t="s">
        <v>113</v>
      </c>
      <c r="C206" s="820"/>
      <c r="E206" s="93"/>
    </row>
    <row r="207" spans="1:6" ht="12.75" customHeight="1">
      <c r="A207" s="91"/>
      <c r="B207" s="806" t="s">
        <v>114</v>
      </c>
      <c r="C207" s="807"/>
      <c r="D207" s="93"/>
      <c r="E207" s="93"/>
    </row>
    <row r="208" spans="1:6" ht="12.75" customHeight="1">
      <c r="A208" s="91"/>
      <c r="B208" s="806"/>
      <c r="C208" s="807"/>
      <c r="D208" s="93"/>
      <c r="E208" s="93"/>
    </row>
    <row r="209" spans="1:9" ht="12.75" customHeight="1">
      <c r="A209" s="91"/>
      <c r="B209" s="806"/>
      <c r="C209" s="807"/>
      <c r="D209" s="93"/>
      <c r="E209" s="93"/>
    </row>
    <row r="210" spans="1:9">
      <c r="A210" s="91"/>
      <c r="B210" s="806"/>
      <c r="C210" s="807"/>
      <c r="D210" s="93"/>
      <c r="E210" s="93"/>
    </row>
    <row r="211" spans="1:9">
      <c r="A211" s="91"/>
      <c r="B211" s="806"/>
      <c r="C211" s="807"/>
      <c r="D211" s="93"/>
      <c r="E211" s="93"/>
    </row>
    <row r="212" spans="1:9" ht="12.75" customHeight="1">
      <c r="A212" s="91"/>
      <c r="B212" s="806"/>
      <c r="C212" s="807"/>
      <c r="D212" s="93"/>
      <c r="E212" s="93"/>
    </row>
    <row r="213" spans="1:9">
      <c r="A213" s="91"/>
      <c r="B213" s="808"/>
      <c r="C213" s="809"/>
      <c r="D213" s="93"/>
      <c r="E213" s="93"/>
    </row>
    <row r="214" spans="1:9">
      <c r="A214" s="91"/>
      <c r="B214" s="93"/>
      <c r="C214" s="93"/>
      <c r="D214" s="93"/>
      <c r="E214" s="93"/>
    </row>
    <row r="215" spans="1:9">
      <c r="A215" s="91"/>
      <c r="B215" s="93"/>
      <c r="C215" s="93"/>
      <c r="D215" s="93"/>
      <c r="E215" s="93"/>
    </row>
    <row r="216" spans="1:9">
      <c r="A216" s="91"/>
      <c r="B216" s="465" t="str">
        <f>B77</f>
        <v>NGGT (TO)</v>
      </c>
      <c r="C216" s="423"/>
      <c r="D216" s="93"/>
      <c r="E216" s="821" t="str">
        <f>B78</f>
        <v>NGGT (SO)</v>
      </c>
      <c r="F216" s="821"/>
      <c r="G216" s="821"/>
      <c r="H216" s="821"/>
      <c r="I216" s="822"/>
    </row>
    <row r="217" spans="1:9">
      <c r="A217" s="91"/>
      <c r="B217" s="819" t="s">
        <v>115</v>
      </c>
      <c r="C217" s="820"/>
      <c r="E217" s="823"/>
      <c r="F217" s="824"/>
      <c r="G217" s="824"/>
      <c r="H217" s="824"/>
      <c r="I217" s="825"/>
    </row>
    <row r="218" spans="1:9" ht="25.5" customHeight="1">
      <c r="A218" s="91"/>
      <c r="B218" s="806" t="s">
        <v>116</v>
      </c>
      <c r="C218" s="807"/>
      <c r="E218" s="823"/>
      <c r="F218" s="824"/>
      <c r="G218" s="824"/>
      <c r="H218" s="824"/>
      <c r="I218" s="825"/>
    </row>
    <row r="219" spans="1:9" ht="13.5" customHeight="1">
      <c r="A219" s="91"/>
      <c r="B219" s="806" t="s">
        <v>117</v>
      </c>
      <c r="C219" s="807"/>
      <c r="D219" s="93"/>
      <c r="E219" s="823"/>
      <c r="F219" s="824"/>
      <c r="G219" s="824"/>
      <c r="H219" s="824"/>
      <c r="I219" s="825"/>
    </row>
    <row r="220" spans="1:9" ht="13.5" customHeight="1">
      <c r="A220" s="91"/>
      <c r="B220" s="806"/>
      <c r="C220" s="807"/>
      <c r="D220" s="93"/>
      <c r="E220" s="810" t="s">
        <v>118</v>
      </c>
      <c r="F220" s="811"/>
      <c r="G220" s="811"/>
      <c r="H220" s="811"/>
      <c r="I220" s="812"/>
    </row>
    <row r="221" spans="1:9" ht="13.5" customHeight="1">
      <c r="A221" s="91"/>
      <c r="B221" s="466"/>
      <c r="C221" s="424"/>
      <c r="D221" s="93"/>
      <c r="E221" s="810" t="s">
        <v>119</v>
      </c>
      <c r="F221" s="811"/>
      <c r="G221" s="811"/>
      <c r="H221" s="811"/>
      <c r="I221" s="812"/>
    </row>
    <row r="222" spans="1:9" ht="13.5" customHeight="1">
      <c r="A222" s="91"/>
      <c r="B222" s="806"/>
      <c r="C222" s="807"/>
      <c r="D222" s="93"/>
      <c r="E222" s="810" t="s">
        <v>120</v>
      </c>
      <c r="F222" s="811"/>
      <c r="G222" s="811"/>
      <c r="H222" s="811"/>
      <c r="I222" s="812"/>
    </row>
    <row r="223" spans="1:9" ht="13.5" customHeight="1">
      <c r="A223" s="91"/>
      <c r="B223" s="806"/>
      <c r="C223" s="807"/>
      <c r="D223" s="93"/>
      <c r="E223" s="813" t="s">
        <v>121</v>
      </c>
      <c r="F223" s="814"/>
      <c r="G223" s="814"/>
      <c r="H223" s="814"/>
      <c r="I223" s="815"/>
    </row>
    <row r="224" spans="1:9" ht="12.75" customHeight="1">
      <c r="A224" s="91"/>
      <c r="B224" s="808"/>
      <c r="C224" s="809"/>
      <c r="D224" s="93"/>
      <c r="E224" s="816" t="s">
        <v>122</v>
      </c>
      <c r="F224" s="817"/>
      <c r="G224" s="817"/>
      <c r="H224" s="817"/>
      <c r="I224" s="818"/>
    </row>
    <row r="225" spans="1:9">
      <c r="A225" s="91"/>
      <c r="B225" s="93"/>
      <c r="C225" s="93"/>
      <c r="D225" s="93"/>
      <c r="E225" s="93"/>
    </row>
    <row r="226" spans="1:9" ht="12.75" customHeight="1">
      <c r="A226" s="91"/>
      <c r="B226" s="93"/>
      <c r="C226" s="93"/>
      <c r="D226" s="93"/>
      <c r="E226" s="93"/>
    </row>
    <row r="227" spans="1:9">
      <c r="A227" s="91"/>
      <c r="B227" s="821" t="s">
        <v>85</v>
      </c>
      <c r="C227" s="822"/>
      <c r="D227" s="93"/>
      <c r="E227" s="821" t="s">
        <v>86</v>
      </c>
      <c r="F227" s="821"/>
      <c r="G227" s="821"/>
      <c r="H227" s="821"/>
      <c r="I227" s="822"/>
    </row>
    <row r="228" spans="1:9" ht="12.75" customHeight="1">
      <c r="A228" s="91"/>
      <c r="B228" s="819" t="s">
        <v>115</v>
      </c>
      <c r="C228" s="820"/>
      <c r="E228" s="819" t="s">
        <v>115</v>
      </c>
      <c r="F228" s="819"/>
      <c r="G228" s="819"/>
      <c r="H228" s="819"/>
      <c r="I228" s="820"/>
    </row>
    <row r="229" spans="1:9" ht="12.75" customHeight="1">
      <c r="A229" s="91"/>
      <c r="B229" s="806" t="s">
        <v>116</v>
      </c>
      <c r="C229" s="807"/>
      <c r="E229" s="806" t="s">
        <v>116</v>
      </c>
      <c r="F229" s="806"/>
      <c r="G229" s="806"/>
      <c r="H229" s="806"/>
      <c r="I229" s="807"/>
    </row>
    <row r="230" spans="1:9" ht="12.75" customHeight="1">
      <c r="A230" s="91"/>
      <c r="B230" s="806" t="s">
        <v>117</v>
      </c>
      <c r="C230" s="807"/>
      <c r="E230" s="806" t="s">
        <v>117</v>
      </c>
      <c r="F230" s="806"/>
      <c r="G230" s="806"/>
      <c r="H230" s="806"/>
      <c r="I230" s="807"/>
    </row>
    <row r="231" spans="1:9" ht="24" customHeight="1">
      <c r="A231" s="91"/>
      <c r="B231" s="806" t="s">
        <v>118</v>
      </c>
      <c r="C231" s="807"/>
      <c r="E231" s="806"/>
      <c r="F231" s="806"/>
      <c r="G231" s="806"/>
      <c r="H231" s="806"/>
      <c r="I231" s="807"/>
    </row>
    <row r="232" spans="1:9">
      <c r="A232" s="91"/>
      <c r="B232" s="806" t="s">
        <v>119</v>
      </c>
      <c r="C232" s="807"/>
      <c r="E232" s="806"/>
      <c r="F232" s="806"/>
      <c r="G232" s="806"/>
      <c r="H232" s="806"/>
      <c r="I232" s="807"/>
    </row>
    <row r="233" spans="1:9">
      <c r="A233" s="91"/>
      <c r="B233" s="806" t="s">
        <v>120</v>
      </c>
      <c r="C233" s="807"/>
      <c r="E233" s="806"/>
      <c r="F233" s="806"/>
      <c r="G233" s="806"/>
      <c r="H233" s="806"/>
      <c r="I233" s="807"/>
    </row>
    <row r="234" spans="1:9" ht="12.75" customHeight="1">
      <c r="A234" s="91"/>
      <c r="B234" s="806" t="s">
        <v>121</v>
      </c>
      <c r="C234" s="807"/>
      <c r="E234" s="806"/>
      <c r="F234" s="806"/>
      <c r="G234" s="806"/>
      <c r="H234" s="806"/>
      <c r="I234" s="807"/>
    </row>
    <row r="235" spans="1:9" ht="12.75" customHeight="1">
      <c r="A235" s="91"/>
      <c r="B235" s="808" t="s">
        <v>122</v>
      </c>
      <c r="C235" s="809"/>
      <c r="D235" s="93"/>
      <c r="E235" s="808"/>
      <c r="F235" s="808"/>
      <c r="G235" s="808"/>
      <c r="H235" s="808"/>
      <c r="I235" s="809"/>
    </row>
    <row r="236" spans="1:9" ht="12.75" customHeight="1">
      <c r="A236" s="91"/>
      <c r="B236" s="91"/>
      <c r="C236" s="91"/>
      <c r="D236" s="93"/>
      <c r="E236" s="246"/>
      <c r="F236" s="246"/>
      <c r="G236" s="246"/>
      <c r="H236" s="246"/>
      <c r="I236" s="246"/>
    </row>
    <row r="237" spans="1:9" ht="12.75" customHeight="1">
      <c r="A237" s="91"/>
      <c r="B237" s="91"/>
      <c r="C237" s="91"/>
      <c r="D237" s="93"/>
      <c r="E237" s="246"/>
      <c r="F237" s="246"/>
      <c r="G237" s="246"/>
      <c r="H237" s="246"/>
      <c r="I237" s="246"/>
    </row>
    <row r="238" spans="1:9" ht="12.75" customHeight="1">
      <c r="A238" s="91"/>
      <c r="B238" s="821" t="s">
        <v>28</v>
      </c>
      <c r="C238" s="822"/>
      <c r="D238" s="93"/>
      <c r="E238" s="821" t="s">
        <v>87</v>
      </c>
      <c r="F238" s="821"/>
      <c r="G238" s="821"/>
      <c r="H238" s="821"/>
      <c r="I238" s="822"/>
    </row>
    <row r="239" spans="1:9" ht="12.75" customHeight="1">
      <c r="A239" s="91"/>
      <c r="B239" s="819" t="s">
        <v>113</v>
      </c>
      <c r="C239" s="820"/>
      <c r="E239" s="819" t="s">
        <v>113</v>
      </c>
      <c r="F239" s="819"/>
      <c r="G239" s="819"/>
      <c r="H239" s="819"/>
      <c r="I239" s="820"/>
    </row>
    <row r="240" spans="1:9" ht="25.5" customHeight="1">
      <c r="A240" s="91"/>
      <c r="B240" s="806" t="s">
        <v>114</v>
      </c>
      <c r="C240" s="807"/>
      <c r="E240" s="806" t="s">
        <v>114</v>
      </c>
      <c r="F240" s="806"/>
      <c r="G240" s="806"/>
      <c r="H240" s="806"/>
      <c r="I240" s="807"/>
    </row>
    <row r="241" spans="1:9" ht="25.5" customHeight="1">
      <c r="A241" s="91"/>
      <c r="B241" s="806"/>
      <c r="C241" s="807"/>
      <c r="E241" s="806"/>
      <c r="F241" s="806"/>
      <c r="G241" s="806"/>
      <c r="H241" s="806"/>
      <c r="I241" s="807"/>
    </row>
    <row r="242" spans="1:9" ht="25.5" customHeight="1">
      <c r="A242" s="91"/>
      <c r="B242" s="806"/>
      <c r="C242" s="807"/>
      <c r="E242" s="806"/>
      <c r="F242" s="806"/>
      <c r="G242" s="806"/>
      <c r="H242" s="806"/>
      <c r="I242" s="807"/>
    </row>
    <row r="243" spans="1:9" ht="25.5" customHeight="1">
      <c r="A243" s="91"/>
      <c r="B243" s="806"/>
      <c r="C243" s="807"/>
      <c r="E243" s="806"/>
      <c r="F243" s="806"/>
      <c r="G243" s="806"/>
      <c r="H243" s="806"/>
      <c r="I243" s="807"/>
    </row>
    <row r="244" spans="1:9" ht="25.5" customHeight="1">
      <c r="A244" s="91"/>
      <c r="B244" s="806"/>
      <c r="C244" s="807"/>
      <c r="E244" s="806"/>
      <c r="F244" s="806"/>
      <c r="G244" s="806"/>
      <c r="H244" s="806"/>
      <c r="I244" s="807"/>
    </row>
    <row r="245" spans="1:9">
      <c r="A245" s="91"/>
      <c r="B245" s="806"/>
      <c r="C245" s="807"/>
      <c r="E245" s="806"/>
      <c r="F245" s="806"/>
      <c r="G245" s="806"/>
      <c r="H245" s="806"/>
      <c r="I245" s="807"/>
    </row>
    <row r="246" spans="1:9">
      <c r="A246" s="91"/>
      <c r="B246" s="808"/>
      <c r="C246" s="809"/>
      <c r="D246" s="93"/>
      <c r="E246" s="808"/>
      <c r="F246" s="808"/>
      <c r="G246" s="808"/>
      <c r="H246" s="808"/>
      <c r="I246" s="809"/>
    </row>
    <row r="247" spans="1:9">
      <c r="A247" s="91"/>
      <c r="D247" s="93"/>
      <c r="E247" s="93"/>
    </row>
    <row r="248" spans="1:9">
      <c r="A248" s="91"/>
      <c r="D248" s="93"/>
      <c r="E248" s="93"/>
    </row>
    <row r="249" spans="1:9">
      <c r="A249" s="91"/>
      <c r="B249" s="821" t="s">
        <v>45</v>
      </c>
      <c r="C249" s="822"/>
      <c r="D249" s="93"/>
      <c r="E249" s="93"/>
    </row>
    <row r="250" spans="1:9">
      <c r="A250" s="91"/>
      <c r="B250" s="806" t="s">
        <v>113</v>
      </c>
      <c r="C250" s="807"/>
      <c r="D250" s="844"/>
      <c r="E250" s="844"/>
    </row>
    <row r="251" spans="1:9">
      <c r="A251" s="91"/>
      <c r="B251" s="806" t="s">
        <v>114</v>
      </c>
      <c r="C251" s="807"/>
      <c r="D251" s="844"/>
      <c r="E251" s="844"/>
    </row>
    <row r="252" spans="1:9">
      <c r="A252" s="91"/>
      <c r="B252" s="806"/>
      <c r="C252" s="807"/>
      <c r="D252" s="93"/>
      <c r="E252" s="93"/>
    </row>
    <row r="253" spans="1:9">
      <c r="A253" s="91"/>
      <c r="B253" s="806"/>
      <c r="C253" s="807"/>
      <c r="D253" s="93"/>
      <c r="E253" s="93"/>
    </row>
    <row r="254" spans="1:9">
      <c r="A254" s="91"/>
      <c r="B254" s="806"/>
      <c r="C254" s="807"/>
      <c r="D254" s="93"/>
      <c r="E254" s="93"/>
    </row>
    <row r="255" spans="1:9">
      <c r="A255" s="91"/>
      <c r="B255" s="806"/>
      <c r="C255" s="807"/>
      <c r="D255" s="93"/>
      <c r="E255" s="93"/>
    </row>
    <row r="256" spans="1:9">
      <c r="A256" s="91"/>
      <c r="B256" s="806"/>
      <c r="C256" s="807"/>
      <c r="D256" s="93"/>
      <c r="E256" s="93"/>
    </row>
    <row r="257" spans="1:14">
      <c r="A257" s="91"/>
      <c r="B257" s="808"/>
      <c r="C257" s="809"/>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05" t="s">
        <v>123</v>
      </c>
      <c r="C264" s="805"/>
      <c r="D264" s="805"/>
      <c r="E264" s="805"/>
      <c r="F264" s="805"/>
      <c r="G264" s="805"/>
      <c r="H264" s="805"/>
      <c r="I264" s="98"/>
      <c r="J264" s="98"/>
      <c r="K264" s="98"/>
      <c r="L264" s="98"/>
      <c r="M264" s="98"/>
      <c r="N264" s="98"/>
    </row>
    <row r="265" spans="1:14">
      <c r="A265" s="91"/>
      <c r="B265" s="93"/>
      <c r="C265" s="93"/>
      <c r="D265" s="93"/>
      <c r="E265" s="93"/>
    </row>
    <row r="266" spans="1:14">
      <c r="B266" s="33"/>
    </row>
    <row r="267" spans="1:14">
      <c r="B267" s="573" t="s">
        <v>124</v>
      </c>
    </row>
    <row r="268" spans="1:14">
      <c r="B268" s="356" t="s">
        <v>125</v>
      </c>
    </row>
    <row r="269" spans="1:14">
      <c r="B269" s="357" t="s">
        <v>126</v>
      </c>
    </row>
    <row r="270" spans="1:14">
      <c r="B270" s="358" t="s">
        <v>127</v>
      </c>
    </row>
    <row r="271" spans="1:14">
      <c r="B271" s="359"/>
    </row>
    <row r="272" spans="1:14">
      <c r="B272" s="88"/>
    </row>
    <row r="273" spans="2:2">
      <c r="B273" s="573" t="s">
        <v>128</v>
      </c>
    </row>
    <row r="274" spans="2:2" ht="12.75" customHeight="1">
      <c r="B274" s="360" t="s">
        <v>129</v>
      </c>
    </row>
    <row r="275" spans="2:2" ht="13.5" customHeight="1">
      <c r="B275" s="357" t="s">
        <v>130</v>
      </c>
    </row>
    <row r="276" spans="2:2" ht="13.5" customHeight="1">
      <c r="B276" s="357" t="s">
        <v>131</v>
      </c>
    </row>
    <row r="277" spans="2:2">
      <c r="B277" s="357" t="s">
        <v>132</v>
      </c>
    </row>
    <row r="278" spans="2:2" ht="13.5" customHeight="1">
      <c r="B278" s="357" t="s">
        <v>133</v>
      </c>
    </row>
    <row r="279" spans="2:2">
      <c r="B279" s="357" t="s">
        <v>134</v>
      </c>
    </row>
    <row r="280" spans="2:2">
      <c r="B280" s="357" t="s">
        <v>135</v>
      </c>
    </row>
    <row r="281" spans="2:2">
      <c r="B281" s="357"/>
    </row>
    <row r="282" spans="2:2">
      <c r="B282" s="359"/>
    </row>
    <row r="283" spans="2:2" ht="13.5" customHeight="1">
      <c r="B283" s="88"/>
    </row>
    <row r="284" spans="2:2" ht="13.5" customHeight="1">
      <c r="B284" s="573" t="s">
        <v>136</v>
      </c>
    </row>
    <row r="285" spans="2:2" ht="13.5" customHeight="1">
      <c r="B285" s="360" t="s">
        <v>137</v>
      </c>
    </row>
    <row r="286" spans="2:2">
      <c r="B286" s="357" t="s">
        <v>138</v>
      </c>
    </row>
    <row r="287" spans="2:2">
      <c r="B287" s="357" t="s">
        <v>139</v>
      </c>
    </row>
    <row r="288" spans="2:2">
      <c r="B288" s="357" t="s">
        <v>140</v>
      </c>
    </row>
    <row r="289" spans="2:2">
      <c r="B289" s="357" t="s">
        <v>141</v>
      </c>
    </row>
    <row r="290" spans="2:2">
      <c r="B290" s="359"/>
    </row>
    <row r="291" spans="2:2">
      <c r="B291" s="88"/>
    </row>
    <row r="292" spans="2:2">
      <c r="B292" s="573" t="s">
        <v>142</v>
      </c>
    </row>
    <row r="293" spans="2:2" ht="12.75" customHeight="1">
      <c r="B293" s="360" t="s">
        <v>143</v>
      </c>
    </row>
    <row r="294" spans="2:2" ht="12.75" customHeight="1">
      <c r="B294" s="357" t="s">
        <v>144</v>
      </c>
    </row>
    <row r="295" spans="2:2" ht="12.75" customHeight="1">
      <c r="B295" s="359"/>
    </row>
    <row r="296" spans="2:2" ht="12.75" customHeight="1">
      <c r="B296" s="88"/>
    </row>
    <row r="297" spans="2:2">
      <c r="B297" s="573" t="s">
        <v>145</v>
      </c>
    </row>
    <row r="298" spans="2:2">
      <c r="B298" s="360" t="s">
        <v>146</v>
      </c>
    </row>
    <row r="299" spans="2:2">
      <c r="B299" s="357" t="s">
        <v>147</v>
      </c>
    </row>
    <row r="300" spans="2:2">
      <c r="B300" s="359" t="s">
        <v>148</v>
      </c>
    </row>
    <row r="301" spans="2:2">
      <c r="B301" s="88"/>
    </row>
    <row r="302" spans="2:2">
      <c r="B302" s="573" t="s">
        <v>149</v>
      </c>
    </row>
    <row r="303" spans="2:2" ht="12.75" customHeight="1">
      <c r="B303" s="360" t="s">
        <v>150</v>
      </c>
    </row>
    <row r="304" spans="2:2" ht="13.5" customHeight="1">
      <c r="B304" s="357" t="s">
        <v>151</v>
      </c>
    </row>
    <row r="305" spans="2:2" ht="12.75" customHeight="1">
      <c r="B305" s="357"/>
    </row>
    <row r="306" spans="2:2" ht="12.75" customHeight="1">
      <c r="B306" s="359"/>
    </row>
    <row r="307" spans="2:2" ht="12.75" customHeight="1">
      <c r="B307" s="88"/>
    </row>
    <row r="308" spans="2:2">
      <c r="B308" s="573" t="s">
        <v>152</v>
      </c>
    </row>
    <row r="309" spans="2:2">
      <c r="B309" s="360" t="s">
        <v>153</v>
      </c>
    </row>
    <row r="310" spans="2:2">
      <c r="B310" s="357" t="s">
        <v>154</v>
      </c>
    </row>
    <row r="311" spans="2:2">
      <c r="B311" s="357"/>
    </row>
    <row r="312" spans="2:2">
      <c r="B312" s="359"/>
    </row>
    <row r="313" spans="2:2">
      <c r="B313" s="88"/>
    </row>
    <row r="314" spans="2:2">
      <c r="B314" s="573" t="s">
        <v>155</v>
      </c>
    </row>
    <row r="315" spans="2:2">
      <c r="B315" s="360" t="s">
        <v>125</v>
      </c>
    </row>
    <row r="316" spans="2:2">
      <c r="B316" s="357" t="s">
        <v>126</v>
      </c>
    </row>
    <row r="317" spans="2:2" ht="12.75" customHeight="1">
      <c r="B317" s="359"/>
    </row>
  </sheetData>
  <mergeCells count="140">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74:C174"/>
    <mergeCell ref="B175:C175"/>
    <mergeCell ref="B176:C176"/>
    <mergeCell ref="B178:C178"/>
    <mergeCell ref="B179:C179"/>
    <mergeCell ref="E169:F169"/>
    <mergeCell ref="E163:H163"/>
    <mergeCell ref="E164:H164"/>
    <mergeCell ref="E165:H165"/>
    <mergeCell ref="E166:H166"/>
    <mergeCell ref="E167:H167"/>
    <mergeCell ref="E168:H168"/>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B210:C210"/>
    <mergeCell ref="E238:I238"/>
    <mergeCell ref="E235:I235"/>
    <mergeCell ref="B229:C229"/>
    <mergeCell ref="E217:I217"/>
    <mergeCell ref="E218:I218"/>
    <mergeCell ref="E219:I219"/>
    <mergeCell ref="E216:I216"/>
    <mergeCell ref="B217:C217"/>
    <mergeCell ref="B218:C218"/>
    <mergeCell ref="B219:C219"/>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s>
  <conditionalFormatting sqref="H53">
    <cfRule type="expression" dxfId="106" priority="15">
      <formula>AND(#REF!="Actuals",#REF!="Forecast")</formula>
    </cfRule>
  </conditionalFormatting>
  <conditionalFormatting sqref="H54:N54">
    <cfRule type="expression" dxfId="105" priority="14">
      <formula>AND(#REF!="Actuals",#REF!="Forecast")</formula>
    </cfRule>
  </conditionalFormatting>
  <conditionalFormatting sqref="C89:I89">
    <cfRule type="expression" dxfId="104" priority="10">
      <formula>AND(#REF!="Actuals",#REF!="Forecast")</formula>
    </cfRule>
  </conditionalFormatting>
  <conditionalFormatting sqref="O53">
    <cfRule type="expression" dxfId="103" priority="4">
      <formula>AND(#REF!="Actuals",#REF!="Forecast")</formula>
    </cfRule>
  </conditionalFormatting>
  <conditionalFormatting sqref="O54:U54">
    <cfRule type="expression" dxfId="102" priority="3">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6171875" customWidth="1"/>
    <col min="3" max="3" width="25.76171875" customWidth="1"/>
    <col min="4" max="4" width="9.76171875" customWidth="1"/>
  </cols>
  <sheetData>
    <row r="1" spans="1:13" ht="20.65">
      <c r="A1" s="290" t="s">
        <v>156</v>
      </c>
      <c r="B1" s="290"/>
      <c r="C1" s="290"/>
      <c r="D1" s="290"/>
      <c r="E1" s="290"/>
      <c r="F1" s="290"/>
      <c r="G1" s="290"/>
      <c r="H1" s="290"/>
      <c r="I1" s="18" t="s">
        <v>157</v>
      </c>
      <c r="J1" s="19"/>
      <c r="K1" s="19"/>
      <c r="L1" s="19"/>
      <c r="M1" s="19"/>
    </row>
    <row r="2" spans="1:13" ht="20.65">
      <c r="A2" s="295" t="str">
        <f>Licensee</f>
        <v>Cadent-NW</v>
      </c>
      <c r="B2" s="290"/>
      <c r="C2" s="290"/>
      <c r="D2" s="290"/>
      <c r="E2" s="290"/>
      <c r="F2" s="290"/>
      <c r="G2" s="290"/>
      <c r="H2" s="290"/>
      <c r="I2" s="19"/>
      <c r="J2" s="19"/>
      <c r="K2" s="19"/>
      <c r="L2" s="19"/>
      <c r="M2" s="19"/>
    </row>
    <row r="3" spans="1:13" ht="20.65">
      <c r="A3" s="290">
        <f>Reporting_Year</f>
        <v>2022</v>
      </c>
      <c r="B3" s="290"/>
      <c r="C3" s="290"/>
      <c r="D3" s="290"/>
      <c r="E3" s="290"/>
      <c r="F3" s="290"/>
      <c r="G3" s="290"/>
      <c r="H3" s="290"/>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4" t="s">
        <v>159</v>
      </c>
      <c r="C8" s="574" t="s">
        <v>160</v>
      </c>
      <c r="D8" s="847" t="s">
        <v>161</v>
      </c>
      <c r="E8" s="848"/>
      <c r="F8" s="848"/>
      <c r="G8" s="848"/>
      <c r="H8" s="848"/>
      <c r="I8" s="13"/>
      <c r="J8" s="13"/>
      <c r="K8" s="13"/>
      <c r="L8" s="13"/>
      <c r="M8" s="13"/>
    </row>
    <row r="9" spans="1:13">
      <c r="A9" s="13"/>
      <c r="B9" s="575" t="s">
        <v>162</v>
      </c>
      <c r="C9" s="576" t="s">
        <v>163</v>
      </c>
      <c r="D9" s="845"/>
      <c r="E9" s="846"/>
      <c r="F9" s="846"/>
      <c r="G9" s="846"/>
      <c r="H9" s="846"/>
      <c r="I9" s="13"/>
      <c r="J9" s="13"/>
      <c r="K9" s="13"/>
      <c r="L9" s="13"/>
      <c r="M9" s="13"/>
    </row>
    <row r="10" spans="1:13">
      <c r="A10" s="13"/>
      <c r="B10" s="575" t="s">
        <v>164</v>
      </c>
      <c r="C10" s="576"/>
      <c r="D10" s="845"/>
      <c r="E10" s="846"/>
      <c r="F10" s="846"/>
      <c r="G10" s="846"/>
      <c r="H10" s="846"/>
      <c r="I10" s="13"/>
      <c r="J10" s="13"/>
      <c r="K10" s="13"/>
      <c r="L10" s="13"/>
      <c r="M10" s="13"/>
    </row>
    <row r="11" spans="1:13">
      <c r="A11" s="13"/>
      <c r="B11" s="575" t="s">
        <v>165</v>
      </c>
      <c r="C11" s="576"/>
      <c r="D11" s="845"/>
      <c r="E11" s="846"/>
      <c r="F11" s="846"/>
      <c r="G11" s="846"/>
      <c r="H11" s="846"/>
      <c r="I11" s="13"/>
      <c r="J11" s="13"/>
      <c r="K11" s="13"/>
      <c r="L11" s="13"/>
      <c r="M11" s="13"/>
    </row>
    <row r="12" spans="1:13">
      <c r="A12" s="13"/>
      <c r="B12" s="575" t="s">
        <v>166</v>
      </c>
      <c r="C12" s="576"/>
      <c r="D12" s="845"/>
      <c r="E12" s="846"/>
      <c r="F12" s="846"/>
      <c r="G12" s="846"/>
      <c r="H12" s="846"/>
      <c r="I12" s="13"/>
      <c r="J12" s="13"/>
      <c r="K12" s="13"/>
      <c r="L12" s="13"/>
      <c r="M12" s="13"/>
    </row>
    <row r="13" spans="1:13">
      <c r="A13" s="13"/>
      <c r="B13" s="575" t="s">
        <v>167</v>
      </c>
      <c r="C13" s="576"/>
      <c r="D13" s="845"/>
      <c r="E13" s="846"/>
      <c r="F13" s="846"/>
      <c r="G13" s="846"/>
      <c r="H13" s="846"/>
      <c r="I13" s="13"/>
      <c r="J13" s="13"/>
      <c r="K13" s="13"/>
      <c r="L13" s="13"/>
      <c r="M13" s="13"/>
    </row>
    <row r="14" spans="1:13">
      <c r="A14" s="13"/>
      <c r="B14" s="575" t="s">
        <v>168</v>
      </c>
      <c r="C14" s="576"/>
      <c r="D14" s="845"/>
      <c r="E14" s="846"/>
      <c r="F14" s="846"/>
      <c r="G14" s="846"/>
      <c r="H14" s="846"/>
      <c r="I14" s="13"/>
      <c r="J14" s="13"/>
      <c r="K14" s="13"/>
      <c r="L14" s="13"/>
      <c r="M14" s="13"/>
    </row>
    <row r="15" spans="1:13">
      <c r="A15" s="13"/>
      <c r="B15" s="575" t="s">
        <v>169</v>
      </c>
      <c r="C15" s="576"/>
      <c r="D15" s="845"/>
      <c r="E15" s="846"/>
      <c r="F15" s="846"/>
      <c r="G15" s="846"/>
      <c r="H15" s="846"/>
      <c r="I15" s="13"/>
      <c r="J15" s="13"/>
      <c r="K15" s="13"/>
      <c r="L15" s="13"/>
      <c r="M15" s="13"/>
    </row>
    <row r="16" spans="1:13">
      <c r="A16" s="13"/>
      <c r="B16" s="575" t="s">
        <v>170</v>
      </c>
      <c r="C16" s="576"/>
      <c r="D16" s="845"/>
      <c r="E16" s="846"/>
      <c r="F16" s="846"/>
      <c r="G16" s="846"/>
      <c r="H16" s="846"/>
      <c r="I16" s="13"/>
      <c r="J16" s="13"/>
      <c r="K16" s="13"/>
      <c r="L16" s="13"/>
      <c r="M16" s="13"/>
    </row>
    <row r="17" spans="1:13">
      <c r="A17" s="13"/>
      <c r="B17" s="575" t="s">
        <v>171</v>
      </c>
      <c r="C17" s="576"/>
      <c r="D17" s="845"/>
      <c r="E17" s="846"/>
      <c r="F17" s="846"/>
      <c r="G17" s="846"/>
      <c r="H17" s="846"/>
      <c r="I17" s="13"/>
      <c r="J17" s="13"/>
      <c r="K17" s="13"/>
      <c r="L17" s="13"/>
      <c r="M17" s="13"/>
    </row>
    <row r="18" spans="1:13">
      <c r="A18" s="13"/>
      <c r="B18" s="575" t="s">
        <v>172</v>
      </c>
      <c r="C18" s="576"/>
      <c r="D18" s="845"/>
      <c r="E18" s="846"/>
      <c r="F18" s="846"/>
      <c r="G18" s="846"/>
      <c r="H18" s="846"/>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7" t="s">
        <v>183</v>
      </c>
    </row>
    <row r="32" spans="1:13">
      <c r="B32" s="125" t="s">
        <v>184</v>
      </c>
    </row>
    <row r="33" spans="2:5">
      <c r="B33" s="125" t="s">
        <v>185</v>
      </c>
    </row>
    <row r="35" spans="2:5">
      <c r="E35" s="125"/>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6" sqref="A6:C7"/>
    </sheetView>
  </sheetViews>
  <sheetFormatPr defaultRowHeight="12.4"/>
  <cols>
    <col min="1" max="1" width="19.1171875" bestFit="1" customWidth="1"/>
    <col min="2" max="2" width="12.1171875" bestFit="1" customWidth="1"/>
    <col min="3" max="3" width="104.1171875" customWidth="1"/>
    <col min="4" max="4" width="35.46875" customWidth="1"/>
  </cols>
  <sheetData>
    <row r="1" spans="1:4" ht="20.65">
      <c r="A1" s="16" t="s">
        <v>186</v>
      </c>
      <c r="B1" s="16"/>
      <c r="C1" s="16"/>
      <c r="D1" s="16"/>
    </row>
    <row r="2" spans="1:4" ht="20.65">
      <c r="A2" s="295" t="str">
        <f>Licensee</f>
        <v>Cadent-NW</v>
      </c>
      <c r="B2" s="16"/>
      <c r="C2" s="16"/>
      <c r="D2" s="16"/>
    </row>
    <row r="3" spans="1:4" ht="20.65">
      <c r="A3" s="290">
        <f>Reporting_Year</f>
        <v>2022</v>
      </c>
      <c r="B3" s="16"/>
      <c r="C3" s="16"/>
      <c r="D3" s="16"/>
    </row>
    <row r="4" spans="1:4" ht="20.65">
      <c r="A4" s="266"/>
      <c r="B4" s="266"/>
      <c r="C4" s="266"/>
      <c r="D4" s="266"/>
    </row>
    <row r="5" spans="1:4" ht="27.75">
      <c r="A5" s="263" t="s">
        <v>187</v>
      </c>
      <c r="B5" s="264" t="s">
        <v>188</v>
      </c>
      <c r="C5" s="265" t="s">
        <v>189</v>
      </c>
    </row>
    <row r="6" spans="1:4">
      <c r="A6" s="132">
        <v>1.1000000000000001</v>
      </c>
      <c r="B6" s="269" t="s">
        <v>707</v>
      </c>
      <c r="C6" s="271" t="s">
        <v>708</v>
      </c>
    </row>
    <row r="7" spans="1:4" ht="24.75">
      <c r="A7" s="132">
        <v>1.2</v>
      </c>
      <c r="B7" s="269" t="s">
        <v>709</v>
      </c>
      <c r="C7" s="271" t="s">
        <v>710</v>
      </c>
    </row>
    <row r="8" spans="1:4">
      <c r="A8" s="132"/>
      <c r="B8" s="269"/>
      <c r="C8" s="271"/>
    </row>
    <row r="9" spans="1:4">
      <c r="A9" s="132"/>
      <c r="B9" s="269"/>
      <c r="C9" s="271"/>
    </row>
    <row r="10" spans="1:4" ht="34.15" customHeight="1">
      <c r="A10" s="132"/>
      <c r="B10" s="269"/>
      <c r="C10" s="271"/>
    </row>
    <row r="11" spans="1:4">
      <c r="A11" s="132"/>
      <c r="B11" s="269"/>
      <c r="C11" s="271"/>
    </row>
    <row r="12" spans="1:4">
      <c r="A12" s="132"/>
      <c r="B12" s="269"/>
      <c r="C12" s="271"/>
    </row>
    <row r="13" spans="1:4">
      <c r="A13" s="132"/>
      <c r="B13" s="269"/>
      <c r="C13" s="271"/>
    </row>
    <row r="14" spans="1:4">
      <c r="A14" s="132"/>
      <c r="B14" s="269"/>
      <c r="C14" s="271"/>
    </row>
    <row r="15" spans="1:4">
      <c r="A15" s="132"/>
      <c r="B15" s="269"/>
      <c r="C15" s="271"/>
    </row>
    <row r="16" spans="1:4">
      <c r="A16" s="132"/>
      <c r="B16" s="269"/>
      <c r="C16" s="271"/>
    </row>
    <row r="17" spans="1:3">
      <c r="A17" s="132"/>
      <c r="B17" s="269"/>
      <c r="C17" s="271"/>
    </row>
    <row r="18" spans="1:3">
      <c r="A18" s="132"/>
      <c r="B18" s="269"/>
      <c r="C18" s="271"/>
    </row>
    <row r="19" spans="1:3">
      <c r="A19" s="132"/>
      <c r="B19" s="269"/>
      <c r="C19" s="271"/>
    </row>
    <row r="20" spans="1:3">
      <c r="A20" s="132"/>
      <c r="B20" s="269"/>
      <c r="C20" s="271"/>
    </row>
    <row r="21" spans="1:3">
      <c r="A21" s="133"/>
      <c r="B21" s="267"/>
      <c r="C21" s="126"/>
    </row>
    <row r="22" spans="1:3">
      <c r="A22" s="133"/>
      <c r="B22" s="267"/>
      <c r="C22" s="126"/>
    </row>
    <row r="23" spans="1:3">
      <c r="A23" s="133"/>
      <c r="B23" s="133"/>
      <c r="C23" s="126"/>
    </row>
    <row r="24" spans="1:3">
      <c r="A24" s="133"/>
      <c r="B24" s="267"/>
      <c r="C24" s="126"/>
    </row>
    <row r="25" spans="1:3">
      <c r="A25" s="133"/>
      <c r="B25" s="267"/>
      <c r="C25" s="126"/>
    </row>
    <row r="26" spans="1:3" ht="12.75" thickBot="1">
      <c r="A26" s="303"/>
      <c r="B26" s="304"/>
      <c r="C26" s="305"/>
    </row>
    <row r="27" spans="1:3">
      <c r="A27" s="300"/>
      <c r="B27" s="301"/>
      <c r="C27" s="302"/>
    </row>
    <row r="28" spans="1:3">
      <c r="A28" s="300"/>
      <c r="B28" s="267"/>
      <c r="C28" s="126"/>
    </row>
    <row r="29" spans="1:3">
      <c r="A29" s="133"/>
      <c r="B29" s="267"/>
      <c r="C29" s="126"/>
    </row>
    <row r="30" spans="1:3">
      <c r="A30" s="133"/>
      <c r="B30" s="267"/>
      <c r="C30" s="126"/>
    </row>
    <row r="31" spans="1:3">
      <c r="A31" s="133"/>
      <c r="B31" s="267"/>
      <c r="C31" s="126"/>
    </row>
    <row r="32" spans="1:3">
      <c r="A32" s="133"/>
      <c r="B32" s="267"/>
      <c r="C32" s="275"/>
    </row>
    <row r="33" spans="1:3">
      <c r="A33" s="133"/>
      <c r="B33" s="267"/>
      <c r="C33" s="126"/>
    </row>
    <row r="34" spans="1:3">
      <c r="A34" s="133"/>
      <c r="B34" s="267"/>
      <c r="C34" s="126"/>
    </row>
    <row r="35" spans="1:3">
      <c r="A35" s="134"/>
      <c r="B35" s="267"/>
      <c r="C35" s="126"/>
    </row>
    <row r="36" spans="1:3">
      <c r="A36" s="134"/>
      <c r="B36" s="276"/>
      <c r="C36" s="126"/>
    </row>
    <row r="37" spans="1:3">
      <c r="A37" s="134"/>
      <c r="B37" s="276"/>
      <c r="C37" s="126"/>
    </row>
    <row r="38" spans="1:3">
      <c r="A38" s="134"/>
      <c r="B38" s="276"/>
      <c r="C38" s="126"/>
    </row>
    <row r="39" spans="1:3">
      <c r="A39" s="134"/>
      <c r="B39" s="276"/>
      <c r="C39" s="126"/>
    </row>
    <row r="40" spans="1:3">
      <c r="A40" s="133"/>
      <c r="B40" s="276"/>
      <c r="C40" s="126"/>
    </row>
    <row r="41" spans="1:3">
      <c r="A41" s="134"/>
      <c r="B41" s="276"/>
      <c r="C41" s="126"/>
    </row>
    <row r="42" spans="1:3">
      <c r="A42" s="134"/>
      <c r="B42" s="276"/>
      <c r="C42" s="126"/>
    </row>
    <row r="43" spans="1:3">
      <c r="A43" s="134"/>
      <c r="B43" s="276"/>
      <c r="C43" s="126"/>
    </row>
    <row r="44" spans="1:3">
      <c r="A44" s="134"/>
      <c r="B44" s="267"/>
      <c r="C44" s="126"/>
    </row>
    <row r="45" spans="1:3">
      <c r="A45" s="134"/>
      <c r="B45" s="267"/>
      <c r="C45" s="126"/>
    </row>
    <row r="46" spans="1:3">
      <c r="A46" s="134"/>
      <c r="B46" s="267"/>
      <c r="C46" s="126"/>
    </row>
    <row r="47" spans="1:3">
      <c r="A47" s="134"/>
      <c r="B47" s="267"/>
      <c r="C47" s="126"/>
    </row>
    <row r="48" spans="1:3">
      <c r="A48" s="134"/>
      <c r="B48" s="267"/>
      <c r="C48" s="126"/>
    </row>
    <row r="49" spans="1:3">
      <c r="A49" s="134"/>
      <c r="B49" s="267"/>
      <c r="C49" s="126"/>
    </row>
    <row r="50" spans="1:3">
      <c r="A50" s="134"/>
      <c r="B50" s="267"/>
      <c r="C50" s="126"/>
    </row>
    <row r="51" spans="1:3">
      <c r="A51" s="134"/>
      <c r="B51" s="267"/>
      <c r="C51" s="126"/>
    </row>
    <row r="52" spans="1:3">
      <c r="A52" s="134"/>
      <c r="B52" s="267"/>
      <c r="C52" s="126"/>
    </row>
    <row r="53" spans="1:3">
      <c r="A53" s="134"/>
      <c r="B53" s="267"/>
      <c r="C53" s="126"/>
    </row>
    <row r="54" spans="1:3">
      <c r="A54" s="134"/>
      <c r="B54" s="280"/>
      <c r="C54" s="281"/>
    </row>
    <row r="55" spans="1:3">
      <c r="A55" s="134"/>
      <c r="B55" s="267"/>
      <c r="C55" s="126"/>
    </row>
    <row r="56" spans="1:3">
      <c r="A56" s="134"/>
      <c r="B56" s="267"/>
      <c r="C56" s="126"/>
    </row>
    <row r="57" spans="1:3">
      <c r="A57" s="134"/>
      <c r="B57" s="267"/>
      <c r="C57" s="126"/>
    </row>
    <row r="58" spans="1:3">
      <c r="A58" s="134"/>
      <c r="B58" s="267"/>
      <c r="C58" s="126"/>
    </row>
    <row r="59" spans="1:3">
      <c r="A59" s="134"/>
      <c r="B59" s="267"/>
      <c r="C59" s="275"/>
    </row>
    <row r="60" spans="1:3">
      <c r="A60" s="135"/>
      <c r="B60" s="268"/>
      <c r="C60" s="127"/>
    </row>
    <row r="61" spans="1:3">
      <c r="A61" s="135"/>
      <c r="B61" s="268"/>
      <c r="C61" s="127"/>
    </row>
    <row r="62" spans="1:3">
      <c r="A62" s="135"/>
      <c r="B62" s="268"/>
      <c r="C62" s="127"/>
    </row>
    <row r="63" spans="1:3">
      <c r="A63" s="135"/>
      <c r="B63" s="268"/>
      <c r="C63" s="127"/>
    </row>
    <row r="64" spans="1:3">
      <c r="A64" s="135"/>
      <c r="B64" s="268"/>
      <c r="C64" s="127"/>
    </row>
    <row r="65" spans="1:3">
      <c r="A65" s="135"/>
      <c r="B65" s="268"/>
      <c r="C65" s="127"/>
    </row>
    <row r="66" spans="1:3">
      <c r="A66" s="135"/>
      <c r="B66" s="268"/>
      <c r="C66" s="127"/>
    </row>
    <row r="67" spans="1:3">
      <c r="A67" s="135"/>
      <c r="B67" s="268"/>
      <c r="C67" s="127"/>
    </row>
  </sheetData>
  <phoneticPr fontId="251" type="noConversion"/>
  <pageMargins left="0.70866141732283472" right="0.70866141732283472" top="0.74803149606299213" bottom="0.74803149606299213" header="0.31496062992125984" footer="0.31496062992125984"/>
  <pageSetup paperSize="8"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zoomScale="75" zoomScaleNormal="100" workbookViewId="0">
      <pane ySplit="7" topLeftCell="A64" activePane="bottomLeft" state="frozen"/>
      <selection pane="bottomLeft" activeCell="O74" sqref="O74"/>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1171875" customWidth="1"/>
    <col min="9" max="9" width="2.64453125" customWidth="1"/>
    <col min="10" max="11" width="13.76171875" customWidth="1"/>
    <col min="12" max="12" width="5.1171875" customWidth="1"/>
    <col min="16" max="16" width="10.46875" bestFit="1" customWidth="1"/>
  </cols>
  <sheetData>
    <row r="1" spans="1:20" ht="20.65">
      <c r="A1" s="777" t="s">
        <v>190</v>
      </c>
      <c r="B1" s="396"/>
      <c r="C1" s="397"/>
      <c r="D1" s="397"/>
      <c r="E1" s="397"/>
      <c r="F1" s="397"/>
      <c r="G1" s="398"/>
      <c r="H1" s="398"/>
      <c r="I1" s="399"/>
      <c r="J1" s="399"/>
      <c r="K1" s="399"/>
      <c r="L1" s="781" t="s">
        <v>157</v>
      </c>
    </row>
    <row r="2" spans="1:20" ht="20.65">
      <c r="A2" s="295" t="str">
        <f>Licensee</f>
        <v>Cadent-NW</v>
      </c>
      <c r="B2" s="298"/>
      <c r="C2" s="290"/>
      <c r="D2" s="290"/>
      <c r="E2" s="290"/>
      <c r="F2" s="290"/>
      <c r="G2" s="16"/>
      <c r="H2" s="16"/>
      <c r="I2" s="15"/>
      <c r="J2" s="15"/>
      <c r="K2" s="15"/>
      <c r="L2" s="65"/>
    </row>
    <row r="3" spans="1:20" ht="20.65">
      <c r="A3" s="290">
        <f>Reporting_Year</f>
        <v>2022</v>
      </c>
      <c r="B3" s="16" t="str">
        <f>IF(Licensee=Data!$B$78,"Only required to be completed to show Operational Performance",IF(Licensee=Data!$B$81,"not required to be completed",""))</f>
        <v/>
      </c>
      <c r="C3" s="16"/>
      <c r="D3" s="16"/>
      <c r="E3" s="16"/>
      <c r="F3" s="16"/>
      <c r="G3" s="16"/>
      <c r="H3" s="577"/>
      <c r="I3" s="578"/>
      <c r="J3" s="578"/>
      <c r="K3" s="578"/>
      <c r="L3" s="119"/>
    </row>
    <row r="4" spans="1:20" ht="12.75" customHeight="1"/>
    <row r="5" spans="1:20">
      <c r="D5" s="153" t="str">
        <f t="shared" ref="D5:H5" si="0">IF(D6&lt;=Reporting_Year,"Actuals","Forecast")</f>
        <v>Actuals</v>
      </c>
      <c r="E5" s="153" t="str">
        <f t="shared" si="0"/>
        <v>Forecast</v>
      </c>
      <c r="F5" s="153" t="str">
        <f t="shared" si="0"/>
        <v>Forecast</v>
      </c>
      <c r="G5" s="153" t="str">
        <f t="shared" si="0"/>
        <v>Forecast</v>
      </c>
      <c r="H5" s="153" t="str">
        <f t="shared" si="0"/>
        <v>Forecast</v>
      </c>
      <c r="I5" s="2"/>
      <c r="J5" s="2"/>
    </row>
    <row r="6" spans="1:20" ht="31.5" customHeight="1">
      <c r="C6" s="79"/>
      <c r="D6" s="320">
        <f>RIIO_2_start_date</f>
        <v>2022</v>
      </c>
      <c r="E6" s="320">
        <f>D6+1</f>
        <v>2023</v>
      </c>
      <c r="F6" s="320">
        <f>E6+1</f>
        <v>2024</v>
      </c>
      <c r="G6" s="320">
        <f t="shared" ref="G6:H6" si="1">F6+1</f>
        <v>2025</v>
      </c>
      <c r="H6" s="320">
        <f t="shared" si="1"/>
        <v>2026</v>
      </c>
      <c r="I6" s="27"/>
      <c r="J6" s="49" t="str">
        <f>"Cumulative to "&amp;'RFPR cover'!$C$9</f>
        <v>Cumulative to 2022</v>
      </c>
      <c r="K6" s="86" t="s">
        <v>191</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9" t="s">
        <v>192</v>
      </c>
      <c r="C9" s="98"/>
      <c r="D9" s="98"/>
      <c r="E9" s="98"/>
      <c r="F9" s="98"/>
      <c r="G9" s="98"/>
      <c r="H9" s="98"/>
      <c r="I9" s="190"/>
      <c r="J9" s="98"/>
      <c r="K9" s="98"/>
      <c r="L9" s="98"/>
    </row>
    <row r="10" spans="1:20">
      <c r="B10" s="89"/>
      <c r="I10" s="27"/>
    </row>
    <row r="11" spans="1:20">
      <c r="B11" s="456" t="s">
        <v>193</v>
      </c>
      <c r="C11" s="455" t="s">
        <v>194</v>
      </c>
      <c r="D11" s="179">
        <f>IFERROR(Equity_Return_on_the_RAV/NPV_neutral_equity_element_of_RAV,0)</f>
        <v>4.5181881000000007E-2</v>
      </c>
      <c r="E11" s="179">
        <f>IFERROR(Equity_Return_on_the_RAV/NPV_neutral_equity_element_of_RAV,0)</f>
        <v>4.5568105000000005E-2</v>
      </c>
      <c r="F11" s="179">
        <f>IFERROR(Equity_Return_on_the_RAV/NPV_neutral_equity_element_of_RAV,0)</f>
        <v>4.5399131999999995E-2</v>
      </c>
      <c r="G11" s="179">
        <f>IFERROR(Equity_Return_on_the_RAV/NPV_neutral_equity_element_of_RAV,0)</f>
        <v>4.564052200000001E-2</v>
      </c>
      <c r="H11" s="179">
        <f>IFERROR(Equity_Return_on_the_RAV/NPV_neutral_equity_element_of_RAV,0)</f>
        <v>4.5833633999999998E-2</v>
      </c>
      <c r="I11" s="80"/>
      <c r="J11" s="180">
        <f>IFERROR(AVERAGE(D65:INDEX(D65:H65,0,MATCH('RFPR cover'!$C$9,$D$6:$H$6,0)))/AVERAGE($D$90:INDEX($D$90:$H$90,0,MATCH('RFPR cover'!$C$9,$D$6:$H$6,0))),0)</f>
        <v>4.5181881000000007E-2</v>
      </c>
      <c r="K11" s="180">
        <f t="shared" ref="K11:K17" si="2">IFERROR(AVERAGE(D65:H65)/AVERAGE($D$90:$H$90),0)</f>
        <v>4.5526557166726947E-2</v>
      </c>
    </row>
    <row r="12" spans="1:20">
      <c r="B12" s="456" t="str">
        <f t="shared" ref="B12:B18" si="3">B66</f>
        <v>Totex outperformance</v>
      </c>
      <c r="C12" s="455" t="s">
        <v>194</v>
      </c>
      <c r="D12" s="330">
        <f>IFERROR(Totex_outperformance/NPV_neutral_equity_element_of_RAV,0)</f>
        <v>2.1429429683886706E-3</v>
      </c>
      <c r="E12" s="330">
        <f>IFERROR(Totex_outperformance/NPV_neutral_equity_element_of_RAV,0)</f>
        <v>1.8459907172979986E-3</v>
      </c>
      <c r="F12" s="330">
        <f>IFERROR(Totex_outperformance/NPV_neutral_equity_element_of_RAV,0)</f>
        <v>5.0782303052655207E-3</v>
      </c>
      <c r="G12" s="330">
        <f>IFERROR(Totex_outperformance/NPV_neutral_equity_element_of_RAV,0)</f>
        <v>-3.0306711137947326E-4</v>
      </c>
      <c r="H12" s="330">
        <f>IFERROR(Totex_outperformance/NPV_neutral_equity_element_of_RAV,0)</f>
        <v>1.5386123441397205E-4</v>
      </c>
      <c r="I12" s="80"/>
      <c r="J12" s="180">
        <f>IFERROR(AVERAGE(D66:INDEX(D66:H66,0,MATCH('RFPR cover'!$C$9,$D$6:$H$6,0)))/AVERAGE($D$90:INDEX($D$90:$H$90,0,MATCH('RFPR cover'!$C$9,$D$6:$H$6,0))),0)</f>
        <v>2.1429429683886706E-3</v>
      </c>
      <c r="K12" s="180">
        <f t="shared" si="2"/>
        <v>1.7784826727807246E-3</v>
      </c>
      <c r="M12" s="80"/>
    </row>
    <row r="13" spans="1:20">
      <c r="A13" s="78" t="s">
        <v>195</v>
      </c>
      <c r="B13" s="456" t="str">
        <f t="shared" si="3"/>
        <v>Business Plan Incentive</v>
      </c>
      <c r="C13" s="455" t="s">
        <v>194</v>
      </c>
      <c r="D13" s="330">
        <f>IFERROR(Business_Plan_Incentive/NPV_neutral_equity_element_of_RAV,0)</f>
        <v>-7.9473280792787476E-6</v>
      </c>
      <c r="E13" s="330">
        <f>IFERROR(Business_Plan_Incentive/NPV_neutral_equity_element_of_RAV,0)</f>
        <v>-7.8310715569210365E-6</v>
      </c>
      <c r="F13" s="330">
        <f>IFERROR(Business_Plan_Incentive/NPV_neutral_equity_element_of_RAV,0)</f>
        <v>-7.759204257131079E-6</v>
      </c>
      <c r="G13" s="330">
        <f>IFERROR(Business_Plan_Incentive/NPV_neutral_equity_element_of_RAV,0)</f>
        <v>-7.7220040685034127E-6</v>
      </c>
      <c r="H13" s="330">
        <f>IFERROR(Business_Plan_Incentive/NPV_neutral_equity_element_of_RAV,0)</f>
        <v>-7.7293726690493896E-6</v>
      </c>
      <c r="I13" s="80"/>
      <c r="J13" s="180">
        <f>IFERROR(AVERAGE(D67:INDEX(D67:H67,0,MATCH('RFPR cover'!$C$9,$D$6:$H$6,0)))/AVERAGE($D$90:INDEX($D$90:$H$90,0,MATCH('RFPR cover'!$C$9,$D$6:$H$6,0))),0)</f>
        <v>-7.9473280792787476E-6</v>
      </c>
      <c r="K13" s="180">
        <f t="shared" si="2"/>
        <v>-7.7968969394104339E-6</v>
      </c>
    </row>
    <row r="14" spans="1:20">
      <c r="A14" s="78" t="s">
        <v>196</v>
      </c>
      <c r="B14" s="456" t="str">
        <f t="shared" si="3"/>
        <v>Customer Satisfaction Survey ODI</v>
      </c>
      <c r="C14" s="455" t="s">
        <v>194</v>
      </c>
      <c r="D14" s="330">
        <f>IFERROR(ODI_1/NPV_neutral_equity_element_of_RAV,0)</f>
        <v>1.6269157570926748E-3</v>
      </c>
      <c r="E14" s="330">
        <f>IFERROR(ODI_1/NPV_neutral_equity_element_of_RAV,0)</f>
        <v>1.6283710395133737E-3</v>
      </c>
      <c r="F14" s="330">
        <f>IFERROR(ODI_1/NPV_neutral_equity_element_of_RAV,0)</f>
        <v>1.8993819206456388E-3</v>
      </c>
      <c r="G14" s="330">
        <f>IFERROR(ODI_1/NPV_neutral_equity_element_of_RAV,0)</f>
        <v>2.0189331616135924E-3</v>
      </c>
      <c r="H14" s="330">
        <f>IFERROR(ODI_1/NPV_neutral_equity_element_of_RAV,0)</f>
        <v>2.0208596967286972E-3</v>
      </c>
      <c r="I14" s="80"/>
      <c r="J14" s="180">
        <f>IFERROR(AVERAGE(D68:INDEX(D68:H68,0,MATCH('RFPR cover'!$C$9,$D$6:$H$6,0)))/AVERAGE($D$90:INDEX($D$90:$H$90,0,MATCH('RFPR cover'!$C$9,$D$6:$H$6,0))),0)</f>
        <v>1.6269157570926748E-3</v>
      </c>
      <c r="K14" s="180">
        <f t="shared" si="2"/>
        <v>1.8406044724292648E-3</v>
      </c>
    </row>
    <row r="15" spans="1:20">
      <c r="A15" s="78" t="s">
        <v>197</v>
      </c>
      <c r="B15" s="456" t="str">
        <f t="shared" si="3"/>
        <v>Complaints metric ODI</v>
      </c>
      <c r="C15" s="455" t="s">
        <v>194</v>
      </c>
      <c r="D15" s="330">
        <f>IFERROR(ODI_2/NPV_neutral_equity_element_of_RAV,0)</f>
        <v>0</v>
      </c>
      <c r="E15" s="330">
        <f>IFERROR(ODI_2/NPV_neutral_equity_element_of_RAV,0)</f>
        <v>0</v>
      </c>
      <c r="F15" s="330">
        <f>IFERROR(ODI_2/NPV_neutral_equity_element_of_RAV,0)</f>
        <v>0</v>
      </c>
      <c r="G15" s="330">
        <f>IFERROR(ODI_2/NPV_neutral_equity_element_of_RAV,0)</f>
        <v>0</v>
      </c>
      <c r="H15" s="330">
        <f>IFERROR(ODI_2/NPV_neutral_equity_element_of_RAV,0)</f>
        <v>0</v>
      </c>
      <c r="I15" s="80"/>
      <c r="J15" s="180">
        <f>IFERROR(AVERAGE(D69:INDEX(D69:H69,0,MATCH('RFPR cover'!$C$9,$D$6:$H$6,0)))/AVERAGE($D$90:INDEX($D$90:$H$90,0,MATCH('RFPR cover'!$C$9,$D$6:$H$6,0))),0)</f>
        <v>0</v>
      </c>
      <c r="K15" s="180">
        <f t="shared" si="2"/>
        <v>0</v>
      </c>
    </row>
    <row r="16" spans="1:20">
      <c r="A16" s="78" t="s">
        <v>198</v>
      </c>
      <c r="B16" s="456" t="str">
        <f t="shared" si="3"/>
        <v>Unplanned Interruption Mean Duration ODI [NGN, SGN and WWU]</v>
      </c>
      <c r="C16" s="455" t="s">
        <v>194</v>
      </c>
      <c r="D16" s="330">
        <f>IFERROR(ODI_3/NPV_neutral_equity_element_of_RAV,0)</f>
        <v>0</v>
      </c>
      <c r="E16" s="330">
        <f>IFERROR(ODI_3/NPV_neutral_equity_element_of_RAV,0)</f>
        <v>0</v>
      </c>
      <c r="F16" s="330">
        <f>IFERROR(ODI_3/NPV_neutral_equity_element_of_RAV,0)</f>
        <v>0</v>
      </c>
      <c r="G16" s="330">
        <f>IFERROR(ODI_3/NPV_neutral_equity_element_of_RAV,0)</f>
        <v>0</v>
      </c>
      <c r="H16" s="330">
        <f>IFERROR(ODI_3/NPV_neutral_equity_element_of_RAV,0)</f>
        <v>0</v>
      </c>
      <c r="I16" s="80"/>
      <c r="J16" s="180">
        <f>IFERROR(AVERAGE(D70:INDEX(D70:H70,0,MATCH('RFPR cover'!$C$9,$D$6:$H$6,0)))/AVERAGE($D$90:INDEX($D$90:$H$90,0,MATCH('RFPR cover'!$C$9,$D$6:$H$6,0))),0)</f>
        <v>0</v>
      </c>
      <c r="K16" s="180">
        <f t="shared" si="2"/>
        <v>0</v>
      </c>
    </row>
    <row r="17" spans="1:11">
      <c r="A17" s="78" t="s">
        <v>199</v>
      </c>
      <c r="B17" s="456" t="str">
        <f t="shared" si="3"/>
        <v>Unplanned Interruption Mean Duration ODI [Cadent only]</v>
      </c>
      <c r="C17" s="455" t="s">
        <v>194</v>
      </c>
      <c r="D17" s="330">
        <f>IFERROR(ODI_4/NPV_neutral_equity_element_of_RAV,0)</f>
        <v>0</v>
      </c>
      <c r="E17" s="330">
        <f>IFERROR(ODI_4/NPV_neutral_equity_element_of_RAV,0)</f>
        <v>0</v>
      </c>
      <c r="F17" s="330">
        <f>IFERROR(ODI_4/NPV_neutral_equity_element_of_RAV,0)</f>
        <v>0</v>
      </c>
      <c r="G17" s="330">
        <f>IFERROR(ODI_4/NPV_neutral_equity_element_of_RAV,0)</f>
        <v>0</v>
      </c>
      <c r="H17" s="330">
        <f>IFERROR(ODI_4/NPV_neutral_equity_element_of_RAV,0)</f>
        <v>0</v>
      </c>
      <c r="I17" s="80"/>
      <c r="J17" s="180">
        <f>IFERROR(AVERAGE(D71:INDEX(D71:H71,0,MATCH('RFPR cover'!$C$9,$D$6:$H$6,0)))/AVERAGE($D$90:INDEX($D$90:$H$90,0,MATCH('RFPR cover'!$C$9,$D$6:$H$6,0))),0)</f>
        <v>0</v>
      </c>
      <c r="K17" s="180">
        <f t="shared" si="2"/>
        <v>0</v>
      </c>
    </row>
    <row r="18" spans="1:11">
      <c r="A18" s="78" t="s">
        <v>200</v>
      </c>
      <c r="B18" s="456" t="str">
        <f t="shared" si="3"/>
        <v>Shrinkage Management ODI</v>
      </c>
      <c r="C18" s="455" t="s">
        <v>194</v>
      </c>
      <c r="D18" s="330">
        <f>IFERROR(ODI_5/NPV_neutral_equity_element_of_RAV,0)</f>
        <v>5.1946114192440434E-4</v>
      </c>
      <c r="E18" s="330">
        <f>IFERROR(ODI_5/NPV_neutral_equity_element_of_RAV,0)</f>
        <v>5.1186226777982812E-4</v>
      </c>
      <c r="F18" s="330">
        <f>IFERROR(ODI_5/NPV_neutral_equity_element_of_RAV,0)</f>
        <v>5.0716480603627033E-4</v>
      </c>
      <c r="G18" s="330">
        <f>IFERROR(ODI_5/NPV_neutral_equity_element_of_RAV,0)</f>
        <v>4.9422535688157512E-4</v>
      </c>
      <c r="H18" s="330">
        <f>IFERROR(ODI_5/NPV_neutral_equity_element_of_RAV,0)</f>
        <v>4.580735480981994E-4</v>
      </c>
      <c r="I18" s="80"/>
      <c r="J18" s="180">
        <f>IFERROR(AVERAGE(D72:INDEX(D72:H72,0,MATCH('RFPR cover'!$C$9,$D$6:$H$6,0)))/AVERAGE($D$90:INDEX($D$90:$H$90,0,MATCH('RFPR cover'!$C$9,$D$6:$H$6,0))),0)</f>
        <v>5.1946114192440434E-4</v>
      </c>
      <c r="K18" s="180">
        <f t="shared" ref="K18:K27" si="4">IFERROR(AVERAGE(D72:H72)/AVERAGE($D$90:$H$90),0)</f>
        <v>4.9799590210539146E-4</v>
      </c>
    </row>
    <row r="19" spans="1:11">
      <c r="A19" s="78" t="s">
        <v>201</v>
      </c>
      <c r="B19" s="456" t="str">
        <f>B73</f>
        <v>Collaborative streetworks ODI [Cadent Lon &amp; EoE, SGN So only]</v>
      </c>
      <c r="C19" s="455" t="s">
        <v>194</v>
      </c>
      <c r="D19" s="330">
        <f>IFERROR(ODI_6/NPV_neutral_equity_element_of_RAV,0)</f>
        <v>0</v>
      </c>
      <c r="E19" s="330">
        <f>IFERROR(ODI_6/NPV_neutral_equity_element_of_RAV,0)</f>
        <v>0</v>
      </c>
      <c r="F19" s="330">
        <f>IFERROR(ODI_6/NPV_neutral_equity_element_of_RAV,0)</f>
        <v>0</v>
      </c>
      <c r="G19" s="330">
        <f>IFERROR(ODI_6/NPV_neutral_equity_element_of_RAV,0)</f>
        <v>0</v>
      </c>
      <c r="H19" s="330">
        <f>IFERROR(ODI_6/NPV_neutral_equity_element_of_RAV,0)</f>
        <v>0</v>
      </c>
      <c r="I19" s="80"/>
      <c r="J19" s="180">
        <f>IFERROR(AVERAGE(D73:INDEX(D73:H73,0,MATCH('RFPR cover'!$C$9,$D$6:$H$6,0)))/AVERAGE($D$90:INDEX($D$90:$H$90,0,MATCH('RFPR cover'!$C$9,$D$6:$H$6,0))),0)</f>
        <v>0</v>
      </c>
      <c r="K19" s="180">
        <f t="shared" si="4"/>
        <v>0</v>
      </c>
    </row>
    <row r="20" spans="1:11">
      <c r="A20" s="78" t="s">
        <v>202</v>
      </c>
      <c r="B20" s="456" t="str">
        <f t="shared" ref="B20" si="5">B74</f>
        <v>Network innovation input for RORE</v>
      </c>
      <c r="C20" s="455" t="s">
        <v>194</v>
      </c>
      <c r="D20" s="330">
        <f>IFERROR(ORA_1/NPV_neutral_equity_element_of_RAV,0)</f>
        <v>-4.7388442386870159E-5</v>
      </c>
      <c r="E20" s="330">
        <f>IFERROR(ORA_1/NPV_neutral_equity_element_of_RAV,0)</f>
        <v>-2.0241533497160902E-4</v>
      </c>
      <c r="F20" s="330">
        <f>IFERROR(ORA_1/NPV_neutral_equity_element_of_RAV,0)</f>
        <v>-2.3275691433289602E-4</v>
      </c>
      <c r="G20" s="330">
        <f>IFERROR(ORA_1/NPV_neutral_equity_element_of_RAV,0)</f>
        <v>-2.316410007893623E-4</v>
      </c>
      <c r="H20" s="330">
        <f>IFERROR(ORA_1/NPV_neutral_equity_element_of_RAV,0)</f>
        <v>-2.3186204055957542E-4</v>
      </c>
      <c r="I20" s="80"/>
      <c r="J20" s="180">
        <f>IFERROR(AVERAGE(D74:INDEX(D74:H74,0,MATCH('RFPR cover'!$C$9,$D$6:$H$6,0)))/AVERAGE($D$90:INDEX($D$90:$H$90,0,MATCH('RFPR cover'!$C$9,$D$6:$H$6,0))),0)</f>
        <v>-4.7388442386870159E-5</v>
      </c>
      <c r="K20" s="180">
        <f t="shared" si="4"/>
        <v>-1.8993725057765497E-4</v>
      </c>
    </row>
    <row r="21" spans="1:11">
      <c r="A21" s="78" t="s">
        <v>203</v>
      </c>
      <c r="B21" s="456" t="str">
        <f t="shared" ref="B21" si="6">B75</f>
        <v>Carry-over Network innovation input for RORE</v>
      </c>
      <c r="C21" s="455" t="s">
        <v>194</v>
      </c>
      <c r="D21" s="330">
        <f>IFERROR(ORA_2/NPV_neutral_equity_element_of_RAV,0)</f>
        <v>-8.3677022544745305E-5</v>
      </c>
      <c r="E21" s="330">
        <f>IFERROR(ORA_2/NPV_neutral_equity_element_of_RAV,0)</f>
        <v>0</v>
      </c>
      <c r="F21" s="330">
        <f>IFERROR(ORA_2/NPV_neutral_equity_element_of_RAV,0)</f>
        <v>0</v>
      </c>
      <c r="G21" s="330">
        <f>IFERROR(ORA_2/NPV_neutral_equity_element_of_RAV,0)</f>
        <v>0</v>
      </c>
      <c r="H21" s="330">
        <f>IFERROR(ORA_2/NPV_neutral_equity_element_of_RAV,0)</f>
        <v>0</v>
      </c>
      <c r="I21" s="80"/>
      <c r="J21" s="180">
        <f>IFERROR(AVERAGE(D75:INDEX(D75:H75,0,MATCH('RFPR cover'!$C$9,$D$6:$H$6,0)))/AVERAGE($D$90:INDEX($D$90:$H$90,0,MATCH('RFPR cover'!$C$9,$D$6:$H$6,0))),0)</f>
        <v>-8.3677022544745305E-5</v>
      </c>
      <c r="K21" s="180">
        <f t="shared" si="4"/>
        <v>-1.641862810921762E-5</v>
      </c>
    </row>
    <row r="22" spans="1:11">
      <c r="A22" s="78" t="s">
        <v>204</v>
      </c>
      <c r="B22" s="456" t="str">
        <f t="shared" ref="B22:B27" si="7">B76</f>
        <v>Strategic innovation input for RORE</v>
      </c>
      <c r="C22" s="455" t="s">
        <v>194</v>
      </c>
      <c r="D22" s="330">
        <f>IFERROR(ORA_3/NPV_neutral_equity_element_of_RAV,0)</f>
        <v>0</v>
      </c>
      <c r="E22" s="330">
        <f>IFERROR(ORA_3/NPV_neutral_equity_element_of_RAV,0)</f>
        <v>0</v>
      </c>
      <c r="F22" s="330">
        <f>IFERROR(ORA_3/NPV_neutral_equity_element_of_RAV,0)</f>
        <v>0</v>
      </c>
      <c r="G22" s="330">
        <f>IFERROR(ORA_3/NPV_neutral_equity_element_of_RAV,0)</f>
        <v>0</v>
      </c>
      <c r="H22" s="330">
        <f>IFERROR(ORA_3/NPV_neutral_equity_element_of_RAV,0)</f>
        <v>0</v>
      </c>
      <c r="I22" s="80"/>
      <c r="J22" s="180">
        <f>IFERROR(AVERAGE(D76:INDEX(D76:H76,0,MATCH('RFPR cover'!$C$9,$D$6:$H$6,0)))/AVERAGE($D$90:INDEX($D$90:$H$90,0,MATCH('RFPR cover'!$C$9,$D$6:$H$6,0))),0)</f>
        <v>0</v>
      </c>
      <c r="K22" s="180">
        <f t="shared" si="4"/>
        <v>0</v>
      </c>
    </row>
    <row r="23" spans="1:11">
      <c r="A23" s="78" t="s">
        <v>205</v>
      </c>
      <c r="B23" s="456" t="str">
        <f t="shared" si="7"/>
        <v/>
      </c>
      <c r="C23" s="455" t="s">
        <v>194</v>
      </c>
      <c r="D23" s="330">
        <f>IFERROR(ORA_4/NPV_neutral_equity_element_of_RAV,0)</f>
        <v>0</v>
      </c>
      <c r="E23" s="330">
        <f>IFERROR(ORA_4/NPV_neutral_equity_element_of_RAV,0)</f>
        <v>0</v>
      </c>
      <c r="F23" s="330">
        <f>IFERROR(ORA_4/NPV_neutral_equity_element_of_RAV,0)</f>
        <v>0</v>
      </c>
      <c r="G23" s="330">
        <f>IFERROR(ORA_4/NPV_neutral_equity_element_of_RAV,0)</f>
        <v>0</v>
      </c>
      <c r="H23" s="330">
        <f>IFERROR(ORA_4/NPV_neutral_equity_element_of_RAV,0)</f>
        <v>0</v>
      </c>
      <c r="I23" s="80"/>
      <c r="J23" s="180">
        <f>IFERROR(AVERAGE(D77:INDEX(D77:H77,0,MATCH('RFPR cover'!$C$9,$D$6:$H$6,0)))/AVERAGE($D$90:INDEX($D$90:$H$90,0,MATCH('RFPR cover'!$C$9,$D$6:$H$6,0))),0)</f>
        <v>0</v>
      </c>
      <c r="K23" s="180">
        <f t="shared" si="4"/>
        <v>0</v>
      </c>
    </row>
    <row r="24" spans="1:11">
      <c r="A24" s="78" t="s">
        <v>206</v>
      </c>
      <c r="B24" s="456" t="str">
        <f t="shared" si="7"/>
        <v/>
      </c>
      <c r="C24" s="455" t="s">
        <v>194</v>
      </c>
      <c r="D24" s="330">
        <f>IFERROR(ORA_5/NPV_neutral_equity_element_of_RAV,0)</f>
        <v>0</v>
      </c>
      <c r="E24" s="330">
        <f>IFERROR(ORA_5/NPV_neutral_equity_element_of_RAV,0)</f>
        <v>0</v>
      </c>
      <c r="F24" s="330">
        <f>IFERROR(ORA_5/NPV_neutral_equity_element_of_RAV,0)</f>
        <v>0</v>
      </c>
      <c r="G24" s="330">
        <f>IFERROR(ORA_5/NPV_neutral_equity_element_of_RAV,0)</f>
        <v>0</v>
      </c>
      <c r="H24" s="330">
        <f>IFERROR(ORA_5/NPV_neutral_equity_element_of_RAV,0)</f>
        <v>0</v>
      </c>
      <c r="I24" s="80"/>
      <c r="J24" s="180">
        <f>IFERROR(AVERAGE(D78:INDEX(D78:H78,0,MATCH('RFPR cover'!$C$9,$D$6:$H$6,0)))/AVERAGE($D$90:INDEX($D$90:$H$90,0,MATCH('RFPR cover'!$C$9,$D$6:$H$6,0))),0)</f>
        <v>0</v>
      </c>
      <c r="K24" s="180">
        <f t="shared" si="4"/>
        <v>0</v>
      </c>
    </row>
    <row r="25" spans="1:11">
      <c r="A25" s="78" t="s">
        <v>207</v>
      </c>
      <c r="B25" s="456" t="str">
        <f t="shared" si="7"/>
        <v/>
      </c>
      <c r="C25" s="455" t="s">
        <v>194</v>
      </c>
      <c r="D25" s="330">
        <f>IFERROR(ORA_6/NPV_neutral_equity_element_of_RAV,0)</f>
        <v>0</v>
      </c>
      <c r="E25" s="330">
        <f>IFERROR(ORA_6/NPV_neutral_equity_element_of_RAV,0)</f>
        <v>0</v>
      </c>
      <c r="F25" s="330">
        <f>IFERROR(ORA_6/NPV_neutral_equity_element_of_RAV,0)</f>
        <v>0</v>
      </c>
      <c r="G25" s="330">
        <f>IFERROR(ORA_6/NPV_neutral_equity_element_of_RAV,0)</f>
        <v>0</v>
      </c>
      <c r="H25" s="330">
        <f>IFERROR(ORA_6/NPV_neutral_equity_element_of_RAV,0)</f>
        <v>0</v>
      </c>
      <c r="I25" s="80"/>
      <c r="J25" s="180">
        <f>IFERROR(AVERAGE(D79:INDEX(D79:H79,0,MATCH('RFPR cover'!$C$9,$D$6:$H$6,0)))/AVERAGE($D$90:INDEX($D$90:$H$90,0,MATCH('RFPR cover'!$C$9,$D$6:$H$6,0))),0)</f>
        <v>0</v>
      </c>
      <c r="K25" s="180">
        <f t="shared" si="4"/>
        <v>0</v>
      </c>
    </row>
    <row r="26" spans="1:11">
      <c r="A26" s="78" t="s">
        <v>208</v>
      </c>
      <c r="B26" s="456" t="str">
        <f t="shared" si="7"/>
        <v/>
      </c>
      <c r="C26" s="455" t="s">
        <v>194</v>
      </c>
      <c r="D26" s="330">
        <f>IFERROR(ORA_7/NPV_neutral_equity_element_of_RAV,0)</f>
        <v>0</v>
      </c>
      <c r="E26" s="330">
        <f>IFERROR(ORA_7/NPV_neutral_equity_element_of_RAV,0)</f>
        <v>0</v>
      </c>
      <c r="F26" s="330">
        <f>IFERROR(ORA_7/NPV_neutral_equity_element_of_RAV,0)</f>
        <v>0</v>
      </c>
      <c r="G26" s="330">
        <f>IFERROR(ORA_7/NPV_neutral_equity_element_of_RAV,0)</f>
        <v>0</v>
      </c>
      <c r="H26" s="330">
        <f>IFERROR(ORA_7/NPV_neutral_equity_element_of_RAV,0)</f>
        <v>0</v>
      </c>
      <c r="I26" s="80"/>
      <c r="J26" s="180">
        <f>IFERROR(AVERAGE(D80:INDEX(D80:H80,0,MATCH('RFPR cover'!$C$9,$D$6:$H$6,0)))/AVERAGE($D$90:INDEX($D$90:$H$90,0,MATCH('RFPR cover'!$C$9,$D$6:$H$6,0))),0)</f>
        <v>0</v>
      </c>
      <c r="K26" s="180">
        <f t="shared" si="4"/>
        <v>0</v>
      </c>
    </row>
    <row r="27" spans="1:11">
      <c r="A27" s="78" t="s">
        <v>209</v>
      </c>
      <c r="B27" s="456" t="str">
        <f t="shared" si="7"/>
        <v/>
      </c>
      <c r="C27" s="455" t="s">
        <v>194</v>
      </c>
      <c r="D27" s="330">
        <f>IFERROR(ORA_8/NPV_neutral_equity_element_of_RAV,0)</f>
        <v>0</v>
      </c>
      <c r="E27" s="330">
        <f>IFERROR(ORA_8/NPV_neutral_equity_element_of_RAV,0)</f>
        <v>0</v>
      </c>
      <c r="F27" s="330">
        <f>IFERROR(ORA_8/NPV_neutral_equity_element_of_RAV,0)</f>
        <v>0</v>
      </c>
      <c r="G27" s="330">
        <f>IFERROR(ORA_8/NPV_neutral_equity_element_of_RAV,0)</f>
        <v>0</v>
      </c>
      <c r="H27" s="330">
        <f>IFERROR(ORA_8/NPV_neutral_equity_element_of_RAV,0)</f>
        <v>0</v>
      </c>
      <c r="I27" s="80"/>
      <c r="J27" s="180">
        <f>IFERROR(AVERAGE(D81:INDEX(D81:H81,0,MATCH('RFPR cover'!$C$9,$D$6:$H$6,0)))/AVERAGE($D$90:INDEX($D$90:$H$90,0,MATCH('RFPR cover'!$C$9,$D$6:$H$6,0))),0)</f>
        <v>0</v>
      </c>
      <c r="K27" s="180">
        <f t="shared" si="4"/>
        <v>0</v>
      </c>
    </row>
    <row r="28" spans="1:11" ht="12.75" thickBot="1">
      <c r="B28" s="456" t="str">
        <f t="shared" ref="B28:B30" si="8">B82</f>
        <v>Penalties and fines (Other Activities)</v>
      </c>
      <c r="C28" s="455" t="s">
        <v>194</v>
      </c>
      <c r="D28" s="438">
        <f>IFERROR(Penalties_and_fines/NPV_neutral_equity_element_of_RAV,0)</f>
        <v>-6.1259393846149464E-4</v>
      </c>
      <c r="E28" s="438">
        <f>IFERROR(Penalties_and_fines/NPV_neutral_equity_element_of_RAV,0)</f>
        <v>-5.1900401661191182E-4</v>
      </c>
      <c r="F28" s="438">
        <f>IFERROR(Penalties_and_fines/NPV_neutral_equity_element_of_RAV,0)</f>
        <v>-4.9769247197669513E-4</v>
      </c>
      <c r="G28" s="438">
        <f>IFERROR(Penalties_and_fines/NPV_neutral_equity_element_of_RAV,0)</f>
        <v>-4.8705369822474694E-4</v>
      </c>
      <c r="H28" s="438">
        <f>IFERROR(Penalties_and_fines/NPV_neutral_equity_element_of_RAV,0)</f>
        <v>-4.7837912928775706E-4</v>
      </c>
      <c r="I28" s="80"/>
      <c r="J28" s="443">
        <f>IFERROR(AVERAGE(D82:INDEX(D82:H82,0,MATCH('RFPR cover'!$C$9,$D$6:$H$6,0)))/AVERAGE($D$90:INDEX($D$90:$H$90,0,MATCH('RFPR cover'!$C$9,$D$6:$H$6,0))),0)</f>
        <v>-6.1259393846149464E-4</v>
      </c>
      <c r="K28" s="443">
        <f>IFERROR(AVERAGE(D82:H82)/AVERAGE($D$90:$H$90),0)</f>
        <v>-5.1843668658968739E-4</v>
      </c>
    </row>
    <row r="29" spans="1:11" ht="12.75" thickBot="1">
      <c r="B29" s="457" t="str">
        <f t="shared" si="8"/>
        <v>RoRE - Operational performance</v>
      </c>
      <c r="C29" s="172" t="s">
        <v>194</v>
      </c>
      <c r="D29" s="440">
        <f>SUM(D11:D28)</f>
        <v>4.8719594135933353E-2</v>
      </c>
      <c r="E29" s="441">
        <f t="shared" ref="E29:H29" si="9">SUM(E11:E28)</f>
        <v>4.8825078601450765E-2</v>
      </c>
      <c r="F29" s="441">
        <f t="shared" si="9"/>
        <v>5.2145700441380713E-2</v>
      </c>
      <c r="G29" s="441">
        <f t="shared" si="9"/>
        <v>4.7124196704033089E-2</v>
      </c>
      <c r="H29" s="442">
        <f t="shared" si="9"/>
        <v>4.7748457936724491E-2</v>
      </c>
      <c r="I29" s="81"/>
      <c r="J29" s="445">
        <f>SUM(J11:J28)</f>
        <v>4.8719594135933353E-2</v>
      </c>
      <c r="K29" s="442">
        <f>SUM(K11:K28)</f>
        <v>4.8911050751826363E-2</v>
      </c>
    </row>
    <row r="30" spans="1:11">
      <c r="B30" s="456" t="str">
        <f t="shared" si="8"/>
        <v>Debt performance - at notional gearing</v>
      </c>
      <c r="C30" s="455" t="s">
        <v>194</v>
      </c>
      <c r="D30" s="439">
        <f>IFERROR(Debt_performance___at_notional_gearing/NPV_neutral_equity_element_of_RAV,0)</f>
        <v>2.3853184547390435E-2</v>
      </c>
      <c r="E30" s="439">
        <f>IFERROR(Debt_performance___at_notional_gearing/NPV_neutral_equity_element_of_RAV,0)</f>
        <v>6.4219711518641573E-2</v>
      </c>
      <c r="F30" s="439">
        <f>IFERROR(Debt_performance___at_notional_gearing/NPV_neutral_equity_element_of_RAV,0)</f>
        <v>1.7527231859432304E-2</v>
      </c>
      <c r="G30" s="439">
        <f>IFERROR(Debt_performance___at_notional_gearing/NPV_neutral_equity_element_of_RAV,0)</f>
        <v>7.8339883838052324E-3</v>
      </c>
      <c r="H30" s="439">
        <f>IFERROR(Debt_performance___at_notional_gearing/NPV_neutral_equity_element_of_RAV,0)</f>
        <v>1.0419373865095326E-2</v>
      </c>
      <c r="I30" s="80"/>
      <c r="J30" s="444">
        <f>IFERROR(AVERAGE(D84:INDEX(D84:H84,0,MATCH('RFPR cover'!$C$9,$D$6:$H$6,0)))/AVERAGE($D$90:INDEX($D$90:$H$90,0,MATCH('RFPR cover'!$C$9,$D$6:$H$6,0))),0)</f>
        <v>2.3853184547390435E-2</v>
      </c>
      <c r="K30" s="444">
        <f>IFERROR(AVERAGE(D84:H84)/AVERAGE($D$90:$H$90),0)</f>
        <v>2.4674775695257056E-2</v>
      </c>
    </row>
    <row r="31" spans="1:11" ht="12.75" thickBot="1">
      <c r="B31" s="456" t="str">
        <f>B86</f>
        <v>Tax performance - at notional gearing</v>
      </c>
      <c r="C31" s="455" t="s">
        <v>194</v>
      </c>
      <c r="D31" s="438">
        <f>IFERROR(Tax_performance___at_notional_gearing/NPV_neutral_equity_element_of_RAV,0)</f>
        <v>-4.4531856135236704E-3</v>
      </c>
      <c r="E31" s="438">
        <f>IFERROR(Tax_performance___at_notional_gearing/NPV_neutral_equity_element_of_RAV,0)</f>
        <v>-1.9565242970026514E-2</v>
      </c>
      <c r="F31" s="438">
        <f>IFERROR(Tax_performance___at_notional_gearing/NPV_neutral_equity_element_of_RAV,0)</f>
        <v>3.7955189290011238E-3</v>
      </c>
      <c r="G31" s="438">
        <f>IFERROR(Tax_performance___at_notional_gearing/NPV_neutral_equity_element_of_RAV,0)</f>
        <v>8.0253557768605248E-4</v>
      </c>
      <c r="H31" s="438">
        <f>IFERROR(Tax_performance___at_notional_gearing/NPV_neutral_equity_element_of_RAV,0)</f>
        <v>-4.4716965558879595E-4</v>
      </c>
      <c r="I31" s="80"/>
      <c r="J31" s="85">
        <f>IFERROR(AVERAGE(D86:INDEX(D86:H86,0,MATCH('RFPR cover'!$C$9,$D$6:$H$6,0)))/AVERAGE($D$90:INDEX($D$90:$H$90,0,MATCH('RFPR cover'!$C$9,$D$6:$H$6,0))),0)</f>
        <v>-4.4531856135236704E-3</v>
      </c>
      <c r="K31" s="85">
        <f>IFERROR(AVERAGE(D86:H86)/AVERAGE($D$90:$H$90),0)</f>
        <v>-3.9351108758600749E-3</v>
      </c>
    </row>
    <row r="32" spans="1:11" ht="12.75" thickBot="1">
      <c r="B32" s="457" t="str">
        <f>B88</f>
        <v>RoRE - including financing and tax</v>
      </c>
      <c r="C32" s="172" t="s">
        <v>194</v>
      </c>
      <c r="D32" s="440">
        <f>SUM(D29:D31)</f>
        <v>6.8119593069800116E-2</v>
      </c>
      <c r="E32" s="441">
        <f t="shared" ref="E32:H32" si="10">SUM(E29:E31)</f>
        <v>9.3479547150065817E-2</v>
      </c>
      <c r="F32" s="441">
        <f t="shared" si="10"/>
        <v>7.3468451229814144E-2</v>
      </c>
      <c r="G32" s="441">
        <f t="shared" si="10"/>
        <v>5.5760720665524371E-2</v>
      </c>
      <c r="H32" s="442">
        <f t="shared" si="10"/>
        <v>5.7720662146231019E-2</v>
      </c>
      <c r="I32" s="81"/>
      <c r="J32" s="445">
        <f>SUM(J29:J31)</f>
        <v>6.8119593069800116E-2</v>
      </c>
      <c r="K32" s="442">
        <f>SUM(K29:K31)</f>
        <v>6.9650715571223348E-2</v>
      </c>
    </row>
    <row r="36" spans="1:13">
      <c r="B36" s="189" t="s">
        <v>210</v>
      </c>
      <c r="C36" s="98"/>
      <c r="D36" s="98"/>
      <c r="E36" s="98"/>
      <c r="F36" s="98"/>
      <c r="G36" s="98"/>
      <c r="H36" s="98"/>
      <c r="I36" s="190"/>
      <c r="J36" s="98"/>
      <c r="K36" s="98"/>
      <c r="L36" s="98"/>
    </row>
    <row r="37" spans="1:13">
      <c r="B37" s="89"/>
      <c r="I37" s="27"/>
    </row>
    <row r="38" spans="1:13">
      <c r="B38" s="456" t="s">
        <v>193</v>
      </c>
      <c r="C38" s="455" t="s">
        <v>194</v>
      </c>
      <c r="D38" s="330">
        <f>IFERROR(Equity_Return_on_the_RAV/Equity_RAV_based_on_actual_gearing,0)</f>
        <v>4.2180636514259941E-2</v>
      </c>
      <c r="E38" s="330">
        <f>IFERROR(Equity_Return_on_the_RAV/Equity_RAV_based_on_actual_gearing,0)</f>
        <v>4.877641432964587E-2</v>
      </c>
      <c r="F38" s="330">
        <f>IFERROR(Equity_Return_on_the_RAV/Equity_RAV_based_on_actual_gearing,0)</f>
        <v>4.9677380789080475E-2</v>
      </c>
      <c r="G38" s="330">
        <f>IFERROR(Equity_Return_on_the_RAV/Equity_RAV_based_on_actual_gearing,0)</f>
        <v>4.7549268934292344E-2</v>
      </c>
      <c r="H38" s="330">
        <f>IFERROR(Equity_Return_on_the_RAV/Equity_RAV_based_on_actual_gearing,0)</f>
        <v>4.6098259439754798E-2</v>
      </c>
      <c r="I38" s="80"/>
      <c r="J38" s="82">
        <f>IFERROR(AVERAGE(D65:INDEX(D65:H65,0,MATCH('RFPR cover'!$C$9,$D$6:$H$6,0)))/AVERAGE($D$91:INDEX($D$91:$H$91,0,MATCH('RFPR cover'!$C$9,$D$6:$H$6,0))),0)</f>
        <v>4.2180636514259941E-2</v>
      </c>
      <c r="K38" s="180">
        <f t="shared" ref="K38:K48" si="11">IFERROR(AVERAGE(D65:H65)/AVERAGE($D$91:$H$91),0)</f>
        <v>4.6727883153350691E-2</v>
      </c>
      <c r="M38" s="130"/>
    </row>
    <row r="39" spans="1:13">
      <c r="B39" s="456" t="str">
        <f t="shared" ref="B39:B46" si="12">B66</f>
        <v>Totex outperformance</v>
      </c>
      <c r="C39" s="455" t="s">
        <v>194</v>
      </c>
      <c r="D39" s="330">
        <f>IFERROR(Totex_outperformance/Equity_RAV_based_on_actual_gearing,0)</f>
        <v>2.0005961774896383E-3</v>
      </c>
      <c r="E39" s="330">
        <f>IFERROR(Totex_outperformance/Equity_RAV_based_on_actual_gearing,0)</f>
        <v>1.975961214002806E-3</v>
      </c>
      <c r="F39" s="330">
        <f>IFERROR(Totex_outperformance/Equity_RAV_based_on_actual_gearing,0)</f>
        <v>5.5567842268289111E-3</v>
      </c>
      <c r="G39" s="330">
        <f>IFERROR(Totex_outperformance/Equity_RAV_based_on_actual_gearing,0)</f>
        <v>-3.1574177841615621E-4</v>
      </c>
      <c r="H39" s="330">
        <f>IFERROR(Totex_outperformance/Equity_RAV_based_on_actual_gearing,0)</f>
        <v>1.5474956888070915E-4</v>
      </c>
      <c r="I39" s="80"/>
      <c r="J39" s="82">
        <f>IFERROR(AVERAGE(D66:INDEX(D66:H66,0,MATCH('RFPR cover'!$C$9,$D$6:$H$6,0)))/AVERAGE($D$91:INDEX($D$91:$H$91,0,MATCH('RFPR cover'!$C$9,$D$6:$H$6,0))),0)</f>
        <v>2.0005961774896383E-3</v>
      </c>
      <c r="K39" s="180">
        <f t="shared" si="11"/>
        <v>1.8254121483337988E-3</v>
      </c>
    </row>
    <row r="40" spans="1:13">
      <c r="A40" s="78" t="s">
        <v>195</v>
      </c>
      <c r="B40" s="456" t="str">
        <f t="shared" si="12"/>
        <v>Business Plan Incentive</v>
      </c>
      <c r="C40" s="455" t="s">
        <v>194</v>
      </c>
      <c r="D40" s="330">
        <f>IFERROR(Business_Plan_Incentive/Equity_RAV_based_on_actual_gearing,0)</f>
        <v>-7.4194201204599776E-6</v>
      </c>
      <c r="E40" s="330">
        <f>IFERROR(Business_Plan_Incentive/Equity_RAV_based_on_actual_gearing,0)</f>
        <v>-8.3824330835237809E-6</v>
      </c>
      <c r="F40" s="330">
        <f>IFERROR(Business_Plan_Incentive/Equity_RAV_based_on_actual_gearing,0)</f>
        <v>-8.4904033958568846E-6</v>
      </c>
      <c r="G40" s="330">
        <f>IFERROR(Business_Plan_Incentive/Equity_RAV_based_on_actual_gearing,0)</f>
        <v>-8.0449484816358658E-6</v>
      </c>
      <c r="H40" s="330">
        <f>IFERROR(Business_Plan_Incentive/Equity_RAV_based_on_actual_gearing,0)</f>
        <v>-7.7739990375711588E-6</v>
      </c>
      <c r="I40" s="80"/>
      <c r="J40" s="82">
        <f>IFERROR(AVERAGE(D67:INDEX(D67:H67,0,MATCH('RFPR cover'!$C$9,$D$6:$H$6,0)))/AVERAGE($D$91:INDEX($D$91:$H$91,0,MATCH('RFPR cover'!$C$9,$D$6:$H$6,0))),0)</f>
        <v>-7.4194201204599776E-6</v>
      </c>
      <c r="K40" s="180">
        <f t="shared" si="11"/>
        <v>-8.0026365228812111E-6</v>
      </c>
    </row>
    <row r="41" spans="1:13">
      <c r="A41" s="78" t="s">
        <v>196</v>
      </c>
      <c r="B41" s="456" t="str">
        <f t="shared" si="12"/>
        <v>Customer Satisfaction Survey ODI</v>
      </c>
      <c r="C41" s="455" t="s">
        <v>194</v>
      </c>
      <c r="D41" s="330">
        <f>IFERROR(ODI_1/Equity_RAV_based_on_actual_gearing,0)</f>
        <v>1.518846508166584E-3</v>
      </c>
      <c r="E41" s="330">
        <f>IFERROR(ODI_1/Equity_RAV_based_on_actual_gearing,0)</f>
        <v>1.7430196078090246E-3</v>
      </c>
      <c r="F41" s="330">
        <f>IFERROR(ODI_1/Equity_RAV_based_on_actual_gearing,0)</f>
        <v>2.0783727524968636E-3</v>
      </c>
      <c r="G41" s="330">
        <f>IFERROR(ODI_1/Equity_RAV_based_on_actual_gearing,0)</f>
        <v>2.1033676140234719E-3</v>
      </c>
      <c r="H41" s="330">
        <f>IFERROR(ODI_1/Equity_RAV_based_on_actual_gearing,0)</f>
        <v>2.0325273486091824E-3</v>
      </c>
      <c r="I41" s="80"/>
      <c r="J41" s="82">
        <f>IFERROR(AVERAGE(D68:INDEX(D68:H68,0,MATCH('RFPR cover'!$C$9,$D$6:$H$6,0)))/AVERAGE($D$91:INDEX($D$91:$H$91,0,MATCH('RFPR cover'!$C$9,$D$6:$H$6,0))),0)</f>
        <v>1.518846508166584E-3</v>
      </c>
      <c r="K41" s="180">
        <f t="shared" si="11"/>
        <v>1.88917317872804E-3</v>
      </c>
    </row>
    <row r="42" spans="1:13">
      <c r="A42" s="78" t="s">
        <v>197</v>
      </c>
      <c r="B42" s="456" t="str">
        <f t="shared" si="12"/>
        <v>Complaints metric ODI</v>
      </c>
      <c r="C42" s="455" t="s">
        <v>194</v>
      </c>
      <c r="D42" s="330">
        <f>IFERROR(ODI_2/Equity_RAV_based_on_actual_gearing,0)</f>
        <v>0</v>
      </c>
      <c r="E42" s="330">
        <f>IFERROR(ODI_2/Equity_RAV_based_on_actual_gearing,0)</f>
        <v>0</v>
      </c>
      <c r="F42" s="330">
        <f>IFERROR(ODI_2/Equity_RAV_based_on_actual_gearing,0)</f>
        <v>0</v>
      </c>
      <c r="G42" s="330">
        <f>IFERROR(ODI_2/Equity_RAV_based_on_actual_gearing,0)</f>
        <v>0</v>
      </c>
      <c r="H42" s="330">
        <f>IFERROR(ODI_2/Equity_RAV_based_on_actual_gearing,0)</f>
        <v>0</v>
      </c>
      <c r="I42" s="80"/>
      <c r="J42" s="82">
        <f>IFERROR(AVERAGE(D69:INDEX(D69:H69,0,MATCH('RFPR cover'!$C$9,$D$6:$H$6,0)))/AVERAGE($D$91:INDEX($D$91:$H$91,0,MATCH('RFPR cover'!$C$9,$D$6:$H$6,0))),0)</f>
        <v>0</v>
      </c>
      <c r="K42" s="180">
        <f t="shared" si="11"/>
        <v>0</v>
      </c>
    </row>
    <row r="43" spans="1:13">
      <c r="A43" s="78" t="s">
        <v>198</v>
      </c>
      <c r="B43" s="456" t="str">
        <f t="shared" si="12"/>
        <v>Unplanned Interruption Mean Duration ODI [NGN, SGN and WWU]</v>
      </c>
      <c r="C43" s="455" t="s">
        <v>194</v>
      </c>
      <c r="D43" s="330">
        <f>IFERROR(ODI_3/Equity_RAV_based_on_actual_gearing,0)</f>
        <v>0</v>
      </c>
      <c r="E43" s="330">
        <f>IFERROR(ODI_3/Equity_RAV_based_on_actual_gearing,0)</f>
        <v>0</v>
      </c>
      <c r="F43" s="330">
        <f>IFERROR(ODI_3/Equity_RAV_based_on_actual_gearing,0)</f>
        <v>0</v>
      </c>
      <c r="G43" s="330">
        <f>IFERROR(ODI_3/Equity_RAV_based_on_actual_gearing,0)</f>
        <v>0</v>
      </c>
      <c r="H43" s="330">
        <f>IFERROR(ODI_3/Equity_RAV_based_on_actual_gearing,0)</f>
        <v>0</v>
      </c>
      <c r="I43" s="80"/>
      <c r="J43" s="82">
        <f>IFERROR(AVERAGE(D70:INDEX(D70:H70,0,MATCH('RFPR cover'!$C$9,$D$6:$H$6,0)))/AVERAGE($D$91:INDEX($D$91:$H$91,0,MATCH('RFPR cover'!$C$9,$D$6:$H$6,0))),0)</f>
        <v>0</v>
      </c>
      <c r="K43" s="180">
        <f t="shared" si="11"/>
        <v>0</v>
      </c>
    </row>
    <row r="44" spans="1:13">
      <c r="A44" s="78" t="s">
        <v>199</v>
      </c>
      <c r="B44" s="456" t="str">
        <f t="shared" si="12"/>
        <v>Unplanned Interruption Mean Duration ODI [Cadent only]</v>
      </c>
      <c r="C44" s="455" t="s">
        <v>194</v>
      </c>
      <c r="D44" s="330">
        <f>IFERROR(ODI_4/Equity_RAV_based_on_actual_gearing,0)</f>
        <v>0</v>
      </c>
      <c r="E44" s="330">
        <f>IFERROR(ODI_4/Equity_RAV_based_on_actual_gearing,0)</f>
        <v>0</v>
      </c>
      <c r="F44" s="330">
        <f>IFERROR(ODI_4/Equity_RAV_based_on_actual_gearing,0)</f>
        <v>0</v>
      </c>
      <c r="G44" s="330">
        <f>IFERROR(ODI_4/Equity_RAV_based_on_actual_gearing,0)</f>
        <v>0</v>
      </c>
      <c r="H44" s="330">
        <f>IFERROR(ODI_4/Equity_RAV_based_on_actual_gearing,0)</f>
        <v>0</v>
      </c>
      <c r="I44" s="80"/>
      <c r="J44" s="82">
        <f>IFERROR(AVERAGE(D71:INDEX(D71:H71,0,MATCH('RFPR cover'!$C$9,$D$6:$H$6,0)))/AVERAGE($D$91:INDEX($D$91:$H$91,0,MATCH('RFPR cover'!$C$9,$D$6:$H$6,0))),0)</f>
        <v>0</v>
      </c>
      <c r="K44" s="180">
        <f t="shared" si="11"/>
        <v>0</v>
      </c>
    </row>
    <row r="45" spans="1:13">
      <c r="A45" s="78" t="s">
        <v>200</v>
      </c>
      <c r="B45" s="456" t="str">
        <f t="shared" si="12"/>
        <v>Shrinkage Management ODI</v>
      </c>
      <c r="C45" s="455" t="s">
        <v>194</v>
      </c>
      <c r="D45" s="330">
        <f>IFERROR(ODI_5/Equity_RAV_based_on_actual_gearing,0)</f>
        <v>4.8495549821831661E-4</v>
      </c>
      <c r="E45" s="330">
        <f>IFERROR(ODI_5/Equity_RAV_based_on_actual_gearing,0)</f>
        <v>5.4790090685011002E-4</v>
      </c>
      <c r="F45" s="330">
        <f>IFERROR(ODI_5/Equity_RAV_based_on_actual_gearing,0)</f>
        <v>5.5495816951486962E-4</v>
      </c>
      <c r="G45" s="330">
        <f>IFERROR(ODI_5/Equity_RAV_based_on_actual_gearing,0)</f>
        <v>5.148945143201609E-4</v>
      </c>
      <c r="H45" s="330">
        <f>IFERROR(ODI_5/Equity_RAV_based_on_actual_gearing,0)</f>
        <v>4.607182852382989E-4</v>
      </c>
      <c r="I45" s="80"/>
      <c r="J45" s="82">
        <f>IFERROR(AVERAGE(D72:INDEX(D72:H72,0,MATCH('RFPR cover'!$C$9,$D$6:$H$6,0)))/AVERAGE($D$91:INDEX($D$91:$H$91,0,MATCH('RFPR cover'!$C$9,$D$6:$H$6,0))),0)</f>
        <v>4.8495549821831661E-4</v>
      </c>
      <c r="K45" s="180">
        <f t="shared" si="11"/>
        <v>5.1113670289646416E-4</v>
      </c>
    </row>
    <row r="46" spans="1:13">
      <c r="A46" s="78" t="s">
        <v>201</v>
      </c>
      <c r="B46" s="456" t="str">
        <f t="shared" si="12"/>
        <v>Collaborative streetworks ODI [Cadent Lon &amp; EoE, SGN So only]</v>
      </c>
      <c r="C46" s="455" t="s">
        <v>194</v>
      </c>
      <c r="D46" s="330">
        <f>IFERROR(ODI_6/Equity_RAV_based_on_actual_gearing,0)</f>
        <v>0</v>
      </c>
      <c r="E46" s="330">
        <f>IFERROR(ODI_6/Equity_RAV_based_on_actual_gearing,0)</f>
        <v>0</v>
      </c>
      <c r="F46" s="330">
        <f>IFERROR(ODI_6/Equity_RAV_based_on_actual_gearing,0)</f>
        <v>0</v>
      </c>
      <c r="G46" s="330">
        <f>IFERROR(ODI_6/Equity_RAV_based_on_actual_gearing,0)</f>
        <v>0</v>
      </c>
      <c r="H46" s="330">
        <f>IFERROR(ODI_6/Equity_RAV_based_on_actual_gearing,0)</f>
        <v>0</v>
      </c>
      <c r="I46" s="80"/>
      <c r="J46" s="82">
        <f>IFERROR(AVERAGE(D73:INDEX(D73:H73,0,MATCH('RFPR cover'!$C$9,$D$6:$H$6,0)))/AVERAGE($D$91:INDEX($D$91:$H$91,0,MATCH('RFPR cover'!$C$9,$D$6:$H$6,0))),0)</f>
        <v>0</v>
      </c>
      <c r="K46" s="180">
        <f t="shared" si="11"/>
        <v>0</v>
      </c>
    </row>
    <row r="47" spans="1:13">
      <c r="A47" s="78" t="s">
        <v>202</v>
      </c>
      <c r="B47" s="456" t="str">
        <f t="shared" ref="B47" si="13">B74</f>
        <v>Network innovation input for RORE</v>
      </c>
      <c r="C47" s="455" t="s">
        <v>194</v>
      </c>
      <c r="D47" s="330">
        <f>IFERROR(ORA_1/Equity_RAV_based_on_actual_gearing,0)</f>
        <v>-4.42406252032207E-5</v>
      </c>
      <c r="E47" s="330">
        <f>IFERROR(ORA_1/Equity_RAV_based_on_actual_gearing,0)</f>
        <v>-2.1666677263075255E-4</v>
      </c>
      <c r="F47" s="330">
        <f>IFERROR(ORA_1/Equity_RAV_based_on_actual_gearing,0)</f>
        <v>-2.5469107789564477E-4</v>
      </c>
      <c r="G47" s="330">
        <f>IFERROR(ORA_1/Equity_RAV_based_on_actual_gearing,0)</f>
        <v>-2.4132853350673791E-4</v>
      </c>
      <c r="H47" s="330">
        <f>IFERROR(ORA_1/Equity_RAV_based_on_actual_gearing,0)</f>
        <v>-2.3320072111118786E-4</v>
      </c>
      <c r="I47" s="80"/>
      <c r="J47" s="82">
        <f>IFERROR(AVERAGE(D74:INDEX(D74:H74,0,MATCH('RFPR cover'!$C$9,$D$6:$H$6,0)))/AVERAGE($D$91:INDEX($D$91:$H$91,0,MATCH('RFPR cover'!$C$9,$D$6:$H$6,0))),0)</f>
        <v>-4.42406252032207E-5</v>
      </c>
      <c r="K47" s="180">
        <f t="shared" si="11"/>
        <v>-1.9494919457577407E-4</v>
      </c>
    </row>
    <row r="48" spans="1:13">
      <c r="A48" s="78" t="s">
        <v>203</v>
      </c>
      <c r="B48" s="456" t="str">
        <f t="shared" ref="B48" si="14">B75</f>
        <v>Carry-over Network innovation input for RORE</v>
      </c>
      <c r="C48" s="455" t="s">
        <v>194</v>
      </c>
      <c r="D48" s="330">
        <f>IFERROR(ORA_2/Equity_RAV_based_on_actual_gearing,0)</f>
        <v>-7.8118705871396449E-5</v>
      </c>
      <c r="E48" s="330">
        <f>IFERROR(ORA_2/Equity_RAV_based_on_actual_gearing,0)</f>
        <v>0</v>
      </c>
      <c r="F48" s="330">
        <f>IFERROR(ORA_2/Equity_RAV_based_on_actual_gearing,0)</f>
        <v>0</v>
      </c>
      <c r="G48" s="330">
        <f>IFERROR(ORA_2/Equity_RAV_based_on_actual_gearing,0)</f>
        <v>0</v>
      </c>
      <c r="H48" s="330">
        <f>IFERROR(ORA_2/Equity_RAV_based_on_actual_gearing,0)</f>
        <v>0</v>
      </c>
      <c r="I48" s="80"/>
      <c r="J48" s="82">
        <f>IFERROR(AVERAGE(D75:INDEX(D75:H75,0,MATCH('RFPR cover'!$C$9,$D$6:$H$6,0)))/AVERAGE($D$91:INDEX($D$91:$H$91,0,MATCH('RFPR cover'!$C$9,$D$6:$H$6,0))),0)</f>
        <v>-7.8118705871396449E-5</v>
      </c>
      <c r="K48" s="180">
        <f t="shared" si="11"/>
        <v>-1.685187247997205E-5</v>
      </c>
    </row>
    <row r="49" spans="1:12">
      <c r="A49" s="78" t="s">
        <v>204</v>
      </c>
      <c r="B49" s="723" t="str">
        <f>B76</f>
        <v>Strategic innovation input for RORE</v>
      </c>
      <c r="C49" s="455" t="s">
        <v>194</v>
      </c>
      <c r="D49" s="330">
        <f>IFERROR(ORA_3/Equity_RAV_based_on_actual_gearing,0)</f>
        <v>0</v>
      </c>
      <c r="E49" s="330">
        <f>IFERROR(ORA_3/Equity_RAV_based_on_actual_gearing,0)</f>
        <v>0</v>
      </c>
      <c r="F49" s="330">
        <f>IFERROR(ORA_3/Equity_RAV_based_on_actual_gearing,0)</f>
        <v>0</v>
      </c>
      <c r="G49" s="330">
        <f>IFERROR(ORA_3/Equity_RAV_based_on_actual_gearing,0)</f>
        <v>0</v>
      </c>
      <c r="H49" s="330">
        <f>IFERROR(ORA_3/Equity_RAV_based_on_actual_gearing,0)</f>
        <v>0</v>
      </c>
      <c r="I49" s="80"/>
      <c r="J49" s="82">
        <f>IFERROR(AVERAGE(D76:INDEX(D76:H76,0,MATCH('RFPR cover'!$C$9,$D$6:$H$6,0)))/AVERAGE($D$91:INDEX($D$91:$H$91,0,MATCH('RFPR cover'!$C$9,$D$6:$H$6,0))),0)</f>
        <v>0</v>
      </c>
      <c r="K49" s="180">
        <f t="shared" ref="K49:K54" si="15">IFERROR(AVERAGE(D76:H76)/AVERAGE($D$91:$H$91),0)</f>
        <v>0</v>
      </c>
    </row>
    <row r="50" spans="1:12">
      <c r="A50" s="78" t="s">
        <v>205</v>
      </c>
      <c r="B50" s="456" t="str">
        <f t="shared" ref="B50:B54" si="16">B77</f>
        <v/>
      </c>
      <c r="C50" s="455" t="s">
        <v>194</v>
      </c>
      <c r="D50" s="330">
        <f>IFERROR(ORA_4/Equity_RAV_based_on_actual_gearing,0)</f>
        <v>0</v>
      </c>
      <c r="E50" s="330">
        <f>IFERROR(ORA_4/Equity_RAV_based_on_actual_gearing,0)</f>
        <v>0</v>
      </c>
      <c r="F50" s="330">
        <f>IFERROR(ORA_4/Equity_RAV_based_on_actual_gearing,0)</f>
        <v>0</v>
      </c>
      <c r="G50" s="330">
        <f>IFERROR(ORA_4/Equity_RAV_based_on_actual_gearing,0)</f>
        <v>0</v>
      </c>
      <c r="H50" s="330">
        <f>IFERROR(ORA_4/Equity_RAV_based_on_actual_gearing,0)</f>
        <v>0</v>
      </c>
      <c r="I50" s="80"/>
      <c r="J50" s="82">
        <f>IFERROR(AVERAGE(D77:INDEX(D77:H77,0,MATCH('RFPR cover'!$C$9,$D$6:$H$6,0)))/AVERAGE($D$91:INDEX($D$91:$H$91,0,MATCH('RFPR cover'!$C$9,$D$6:$H$6,0))),0)</f>
        <v>0</v>
      </c>
      <c r="K50" s="180">
        <f t="shared" si="15"/>
        <v>0</v>
      </c>
    </row>
    <row r="51" spans="1:12">
      <c r="A51" s="78" t="s">
        <v>206</v>
      </c>
      <c r="B51" s="456" t="str">
        <f t="shared" si="16"/>
        <v/>
      </c>
      <c r="C51" s="455" t="s">
        <v>194</v>
      </c>
      <c r="D51" s="330">
        <f>IFERROR(ORA_5/Equity_RAV_based_on_actual_gearing,0)</f>
        <v>0</v>
      </c>
      <c r="E51" s="330">
        <f>IFERROR(ORA_5/Equity_RAV_based_on_actual_gearing,0)</f>
        <v>0</v>
      </c>
      <c r="F51" s="330">
        <f>IFERROR(ORA_5/Equity_RAV_based_on_actual_gearing,0)</f>
        <v>0</v>
      </c>
      <c r="G51" s="330">
        <f>IFERROR(ORA_5/Equity_RAV_based_on_actual_gearing,0)</f>
        <v>0</v>
      </c>
      <c r="H51" s="330">
        <f>IFERROR(ORA_5/Equity_RAV_based_on_actual_gearing,0)</f>
        <v>0</v>
      </c>
      <c r="I51" s="80"/>
      <c r="J51" s="82">
        <f>IFERROR(AVERAGE(D78:INDEX(D78:H78,0,MATCH('RFPR cover'!$C$9,$D$6:$H$6,0)))/AVERAGE($D$91:INDEX($D$91:$H$91,0,MATCH('RFPR cover'!$C$9,$D$6:$H$6,0))),0)</f>
        <v>0</v>
      </c>
      <c r="K51" s="180">
        <f t="shared" si="15"/>
        <v>0</v>
      </c>
    </row>
    <row r="52" spans="1:12">
      <c r="A52" s="78" t="s">
        <v>207</v>
      </c>
      <c r="B52" s="456" t="str">
        <f t="shared" si="16"/>
        <v/>
      </c>
      <c r="C52" s="455" t="s">
        <v>194</v>
      </c>
      <c r="D52" s="330">
        <f>IFERROR(ORA_6/Equity_RAV_based_on_actual_gearing,0)</f>
        <v>0</v>
      </c>
      <c r="E52" s="330">
        <f>IFERROR(ORA_6/Equity_RAV_based_on_actual_gearing,0)</f>
        <v>0</v>
      </c>
      <c r="F52" s="330">
        <f>IFERROR(ORA_6/Equity_RAV_based_on_actual_gearing,0)</f>
        <v>0</v>
      </c>
      <c r="G52" s="330">
        <f>IFERROR(ORA_6/Equity_RAV_based_on_actual_gearing,0)</f>
        <v>0</v>
      </c>
      <c r="H52" s="330">
        <f>IFERROR(ORA_6/Equity_RAV_based_on_actual_gearing,0)</f>
        <v>0</v>
      </c>
      <c r="I52" s="80"/>
      <c r="J52" s="82">
        <f>IFERROR(AVERAGE(D79:INDEX(D79:H79,0,MATCH('RFPR cover'!$C$9,$D$6:$H$6,0)))/AVERAGE($D$91:INDEX($D$91:$H$91,0,MATCH('RFPR cover'!$C$9,$D$6:$H$6,0))),0)</f>
        <v>0</v>
      </c>
      <c r="K52" s="180">
        <f t="shared" si="15"/>
        <v>0</v>
      </c>
    </row>
    <row r="53" spans="1:12">
      <c r="A53" s="78" t="s">
        <v>208</v>
      </c>
      <c r="B53" s="456" t="str">
        <f t="shared" si="16"/>
        <v/>
      </c>
      <c r="C53" s="455" t="s">
        <v>194</v>
      </c>
      <c r="D53" s="330">
        <f>IFERROR(ORA_7/Equity_RAV_based_on_actual_gearing,0)</f>
        <v>0</v>
      </c>
      <c r="E53" s="330">
        <f>IFERROR(ORA_7/Equity_RAV_based_on_actual_gearing,0)</f>
        <v>0</v>
      </c>
      <c r="F53" s="330">
        <f>IFERROR(ORA_7/Equity_RAV_based_on_actual_gearing,0)</f>
        <v>0</v>
      </c>
      <c r="G53" s="330">
        <f>IFERROR(ORA_7/Equity_RAV_based_on_actual_gearing,0)</f>
        <v>0</v>
      </c>
      <c r="H53" s="330">
        <f>IFERROR(ORA_7/Equity_RAV_based_on_actual_gearing,0)</f>
        <v>0</v>
      </c>
      <c r="I53" s="80"/>
      <c r="J53" s="82">
        <f>IFERROR(AVERAGE(D80:INDEX(D80:H80,0,MATCH('RFPR cover'!$C$9,$D$6:$H$6,0)))/AVERAGE($D$91:INDEX($D$91:$H$91,0,MATCH('RFPR cover'!$C$9,$D$6:$H$6,0))),0)</f>
        <v>0</v>
      </c>
      <c r="K53" s="180">
        <f t="shared" si="15"/>
        <v>0</v>
      </c>
    </row>
    <row r="54" spans="1:12">
      <c r="A54" s="78" t="s">
        <v>209</v>
      </c>
      <c r="B54" s="456" t="str">
        <f t="shared" si="16"/>
        <v/>
      </c>
      <c r="C54" s="455" t="s">
        <v>194</v>
      </c>
      <c r="D54" s="330">
        <f>IFERROR(ORA_8/Equity_RAV_based_on_actual_gearing,0)</f>
        <v>0</v>
      </c>
      <c r="E54" s="330">
        <f>IFERROR(ORA_8/Equity_RAV_based_on_actual_gearing,0)</f>
        <v>0</v>
      </c>
      <c r="F54" s="330">
        <f>IFERROR(ORA_8/Equity_RAV_based_on_actual_gearing,0)</f>
        <v>0</v>
      </c>
      <c r="G54" s="330">
        <f>IFERROR(ORA_8/Equity_RAV_based_on_actual_gearing,0)</f>
        <v>0</v>
      </c>
      <c r="H54" s="330">
        <f>IFERROR(ORA_8/Equity_RAV_based_on_actual_gearing,0)</f>
        <v>0</v>
      </c>
      <c r="I54" s="80"/>
      <c r="J54" s="82">
        <f>IFERROR(AVERAGE(D81:INDEX(D81:H81,0,MATCH('RFPR cover'!$C$9,$D$6:$H$6,0)))/AVERAGE($D$91:INDEX($D$91:$H$91,0,MATCH('RFPR cover'!$C$9,$D$6:$H$6,0))),0)</f>
        <v>0</v>
      </c>
      <c r="K54" s="180">
        <f t="shared" si="15"/>
        <v>0</v>
      </c>
    </row>
    <row r="55" spans="1:12" ht="12.75" thickBot="1">
      <c r="B55" s="456" t="str">
        <f t="shared" ref="B55:B56" si="17">B82</f>
        <v>Penalties and fines (Other Activities)</v>
      </c>
      <c r="C55" s="455" t="s">
        <v>194</v>
      </c>
      <c r="D55" s="438">
        <f>IFERROR(Penalties_and_fines/Equity_RAV_based_on_actual_gearing,0)</f>
        <v>-5.719018703334469E-4</v>
      </c>
      <c r="E55" s="438">
        <f>IFERROR(Penalties_and_fines/Equity_RAV_based_on_actual_gearing,0)</f>
        <v>-5.55545484127835E-4</v>
      </c>
      <c r="F55" s="438">
        <f>IFERROR(Penalties_and_fines/Equity_RAV_based_on_actual_gearing,0)</f>
        <v>-5.4459319720573179E-4</v>
      </c>
      <c r="G55" s="438">
        <f>IFERROR(Penalties_and_fines/Equity_RAV_based_on_actual_gearing,0)</f>
        <v>-5.0742292742248104E-4</v>
      </c>
      <c r="H55" s="438">
        <f>IFERROR(Penalties_and_fines/Equity_RAV_based_on_actual_gearing,0)</f>
        <v>-4.8114110289555105E-4</v>
      </c>
      <c r="I55" s="80"/>
      <c r="J55" s="85">
        <f>IFERROR(AVERAGE(D82:INDEX(D82:H82,0,MATCH('RFPR cover'!$C$9,$D$6:$H$6,0)))/AVERAGE($D$91:INDEX($D$91:$H$91,0,MATCH('RFPR cover'!$C$9,$D$6:$H$6,0))),0)</f>
        <v>-5.719018703334469E-4</v>
      </c>
      <c r="K55" s="443">
        <f>IFERROR(AVERAGE(D82:H82)/AVERAGE($D$91:$H$91),0)</f>
        <v>-5.3211686586918886E-4</v>
      </c>
    </row>
    <row r="56" spans="1:12" ht="12.75" thickBot="1">
      <c r="B56" s="457" t="str">
        <f t="shared" si="17"/>
        <v>RoRE - Operational performance</v>
      </c>
      <c r="C56" s="172" t="s">
        <v>194</v>
      </c>
      <c r="D56" s="440">
        <f t="shared" ref="D56:H56" si="18">SUM(D38:D55)</f>
        <v>4.5483354076605954E-2</v>
      </c>
      <c r="E56" s="441">
        <f t="shared" si="18"/>
        <v>5.2262701368465704E-2</v>
      </c>
      <c r="F56" s="441">
        <f t="shared" si="18"/>
        <v>5.7059721259423886E-2</v>
      </c>
      <c r="G56" s="441">
        <f t="shared" si="18"/>
        <v>4.9094992874808958E-2</v>
      </c>
      <c r="H56" s="442">
        <f t="shared" si="18"/>
        <v>4.8024138819438678E-2</v>
      </c>
      <c r="I56" s="81"/>
      <c r="J56" s="445">
        <f>SUM(J38:J55)</f>
        <v>4.5483354076605954E-2</v>
      </c>
      <c r="K56" s="442">
        <f>SUM(K38:K55)</f>
        <v>5.0201684613861181E-2</v>
      </c>
    </row>
    <row r="57" spans="1:12">
      <c r="B57" s="456" t="s">
        <v>211</v>
      </c>
      <c r="C57" s="455" t="s">
        <v>194</v>
      </c>
      <c r="D57" s="439">
        <f>IFERROR((Debt_performance___at_notional_gearing+Debt_performance___impact_of_actual_gearing)/Equity_RAV_based_on_actual_gearing,0)</f>
        <v>2.2832863184039105E-2</v>
      </c>
      <c r="E57" s="439">
        <f>IFERROR((Debt_performance___at_notional_gearing+Debt_performance___impact_of_actual_gearing)/Equity_RAV_based_on_actual_gearing,0)</f>
        <v>7.0163663443145494E-2</v>
      </c>
      <c r="F57" s="439">
        <f>IFERROR((Debt_performance___at_notional_gearing+Debt_performance___impact_of_actual_gearing)/Equity_RAV_based_on_actual_gearing,0)</f>
        <v>1.8124412654593015E-2</v>
      </c>
      <c r="G57" s="439">
        <f>IFERROR((Debt_performance___at_notional_gearing+Debt_performance___impact_of_actual_gearing)/Equity_RAV_based_on_actual_gearing,0)</f>
        <v>7.4495102270942344E-3</v>
      </c>
      <c r="H57" s="439">
        <f>IFERROR((Debt_performance___at_notional_gearing+Debt_performance___impact_of_actual_gearing)/Equity_RAV_based_on_actual_gearing,0)</f>
        <v>1.0393338490223341E-2</v>
      </c>
      <c r="I57" s="80"/>
      <c r="J57" s="444">
        <f>IFERROR((AVERAGE(D84:INDEX(D84:H84,0,MATCH('RFPR cover'!$C$9,$D$6:$H$6,0)))+AVERAGE(D85:INDEX(D85:H85,0,MATCH('RFPR cover'!$C$9,$D$6:$H$6,0))))/AVERAGE($D$91:INDEX($D$91:$H$91,0,MATCH('RFPR cover'!$C$9,$D$6:$H$6,0))),0)</f>
        <v>2.2832863184039105E-2</v>
      </c>
      <c r="K57" s="444">
        <f>IFERROR((AVERAGE(D84:H84)+AVERAGE(D85:H85))/AVERAGE($D$91:$H$91),0)</f>
        <v>2.5360969154692124E-2</v>
      </c>
    </row>
    <row r="58" spans="1:12" ht="12.75" thickBot="1">
      <c r="B58" s="456" t="s">
        <v>212</v>
      </c>
      <c r="C58" s="455" t="s">
        <v>194</v>
      </c>
      <c r="D58" s="446">
        <f>IFERROR((Tax_performance___at_notional_gearing+Tax_performance___impact_of_actual_gearing)/D$91,0)</f>
        <v>-4.1573790098418766E-3</v>
      </c>
      <c r="E58" s="446">
        <f>IFERROR((Tax_performance___at_notional_gearing+Tax_performance___impact_of_actual_gearing)/E$91,0)</f>
        <v>-2.0942771211710565E-2</v>
      </c>
      <c r="F58" s="446">
        <f>IFERROR((Tax_performance___at_notional_gearing+Tax_performance___impact_of_actual_gearing)/F$91,0)</f>
        <v>4.1531948039921027E-3</v>
      </c>
      <c r="G58" s="446">
        <f>IFERROR((Tax_performance___at_notional_gearing+Tax_performance___impact_of_actual_gearing)/G$91,0)</f>
        <v>8.3609867592513093E-4</v>
      </c>
      <c r="H58" s="446">
        <f>IFERROR((Tax_performance___at_notional_gearing+Tax_performance___impact_of_actual_gearing)/H$91,0)</f>
        <v>-4.4975143792696078E-4</v>
      </c>
      <c r="I58" s="80"/>
      <c r="J58" s="85">
        <f>IFERROR((AVERAGE(D86:INDEX(D86:H86,0,MATCH('RFPR cover'!$C$9,$D$6:$H$6,0)))+AVERAGE(D87:INDEX(D87:H87,0,MATCH('RFPR cover'!$C$9,$D$6:$H$6,0))))/AVERAGE($D$91:INDEX($D$91:$H$91,0,MATCH('RFPR cover'!$C$9,$D$6:$H$6,0))),0)</f>
        <v>-4.1573790098418766E-3</v>
      </c>
      <c r="K58" s="85">
        <f>IFERROR((AVERAGE(D86:H86)+AVERAGE(D87:H87))/AVERAGE($D$91:$H$91),0)</f>
        <v>-4.038948091973386E-3</v>
      </c>
    </row>
    <row r="59" spans="1:12" ht="12.75" thickBot="1">
      <c r="B59" s="457" t="str">
        <f>B88</f>
        <v>RoRE - including financing and tax</v>
      </c>
      <c r="C59" s="172" t="s">
        <v>194</v>
      </c>
      <c r="D59" s="440">
        <f>SUM(D56:D58)</f>
        <v>6.415883825080318E-2</v>
      </c>
      <c r="E59" s="441">
        <f t="shared" ref="E59:H59" si="19">SUM(E56:E58)</f>
        <v>0.10148359359990064</v>
      </c>
      <c r="F59" s="441">
        <f t="shared" si="19"/>
        <v>7.9337328718009012E-2</v>
      </c>
      <c r="G59" s="441">
        <f t="shared" si="19"/>
        <v>5.7380601777828319E-2</v>
      </c>
      <c r="H59" s="442">
        <f t="shared" si="19"/>
        <v>5.7967725871735057E-2</v>
      </c>
      <c r="I59" s="81"/>
      <c r="J59" s="445">
        <f>SUM(J56:J58)</f>
        <v>6.415883825080318E-2</v>
      </c>
      <c r="K59" s="442">
        <f>SUM(K56:K58)</f>
        <v>7.1523705676579924E-2</v>
      </c>
    </row>
    <row r="60" spans="1:12">
      <c r="B60" s="171"/>
      <c r="C60" s="172"/>
      <c r="D60" s="173"/>
      <c r="E60" s="173"/>
      <c r="F60" s="173"/>
      <c r="G60" s="173"/>
      <c r="H60" s="173"/>
      <c r="I60" s="81"/>
      <c r="J60" s="173"/>
      <c r="K60" s="173"/>
    </row>
    <row r="61" spans="1:12">
      <c r="B61" s="171"/>
      <c r="C61" s="172"/>
      <c r="D61" s="173"/>
      <c r="E61" s="173"/>
      <c r="F61" s="173"/>
      <c r="G61" s="173"/>
      <c r="H61" s="173"/>
      <c r="I61" s="81"/>
      <c r="J61" s="173"/>
      <c r="K61" s="173"/>
    </row>
    <row r="62" spans="1:12">
      <c r="B62" s="183" t="s">
        <v>213</v>
      </c>
      <c r="C62" s="184"/>
      <c r="D62" s="185"/>
      <c r="E62" s="185"/>
      <c r="F62" s="185"/>
      <c r="G62" s="185"/>
      <c r="H62" s="185"/>
      <c r="I62" s="186"/>
      <c r="J62" s="185"/>
      <c r="K62" s="185"/>
      <c r="L62" s="98"/>
    </row>
    <row r="63" spans="1:12">
      <c r="B63" s="188" t="str">
        <f>"Input values provided in "&amp;Data!C9&amp;" prices"</f>
        <v>Input values provided in £m 18/19 prices</v>
      </c>
      <c r="C63" s="187"/>
      <c r="D63" s="187"/>
      <c r="E63" s="187"/>
      <c r="F63" s="187"/>
      <c r="G63" s="187"/>
      <c r="H63" s="187"/>
      <c r="I63" s="187"/>
      <c r="J63" s="187"/>
      <c r="K63" s="187"/>
      <c r="L63" s="187"/>
    </row>
    <row r="65" spans="1:12">
      <c r="B65" s="458" t="s">
        <v>214</v>
      </c>
      <c r="C65" s="460" t="str">
        <f>Data!$C$9</f>
        <v>£m 18/19</v>
      </c>
      <c r="D65" s="83">
        <f>'R7 - RAV'!E44</f>
        <v>41.423446509462757</v>
      </c>
      <c r="E65" s="84">
        <f>'R7 - RAV'!F44</f>
        <v>42.397753013482131</v>
      </c>
      <c r="F65" s="84">
        <f>'R7 - RAV'!G44</f>
        <v>42.631776412052005</v>
      </c>
      <c r="G65" s="84">
        <f>'R7 - RAV'!H44</f>
        <v>43.064919663071365</v>
      </c>
      <c r="H65" s="84">
        <f>'R7 - RAV'!I44</f>
        <v>43.205905343819566</v>
      </c>
      <c r="I65" s="88"/>
      <c r="J65" s="46">
        <f>SUM(D65:INDEX(D65:H65,0,MATCH('RFPR cover'!$C$9,$D$6:$H$6,0)))</f>
        <v>41.423446509462757</v>
      </c>
      <c r="K65" s="46">
        <f t="shared" ref="K65:K82" si="20">SUM(D65:H65)</f>
        <v>212.72380094188782</v>
      </c>
      <c r="L65" s="88"/>
    </row>
    <row r="66" spans="1:12">
      <c r="B66" s="458" t="s">
        <v>215</v>
      </c>
      <c r="C66" s="460" t="str">
        <f>Data!$C$9</f>
        <v>£m 18/19</v>
      </c>
      <c r="D66" s="118">
        <f>'R3 - Totex - Reconciliation'!D97</f>
        <v>1.9646832194497925</v>
      </c>
      <c r="E66" s="118">
        <f>'R3 - Totex - Reconciliation'!E97</f>
        <v>1.7175578948736456</v>
      </c>
      <c r="F66" s="118">
        <f>'R3 - Totex - Reconciliation'!F97</f>
        <v>4.7686810166984319</v>
      </c>
      <c r="G66" s="118">
        <f>'R3 - Totex - Reconciliation'!G97</f>
        <v>-0.28596431925288046</v>
      </c>
      <c r="H66" s="118">
        <f>'R3 - Totex - Reconciliation'!H97</f>
        <v>0.1450400797408582</v>
      </c>
      <c r="I66" s="88"/>
      <c r="J66" s="46">
        <f>SUM(D66:INDEX(D66:H66,0,MATCH('RFPR cover'!$C$9,$D$6:$H$6,0)))</f>
        <v>1.9646832194497925</v>
      </c>
      <c r="K66" s="46">
        <f t="shared" si="20"/>
        <v>8.3099978915098482</v>
      </c>
      <c r="L66" s="88"/>
    </row>
    <row r="67" spans="1:12">
      <c r="A67" s="78" t="s">
        <v>195</v>
      </c>
      <c r="B67" s="458" t="s">
        <v>216</v>
      </c>
      <c r="C67" s="460" t="str">
        <f>Data!$C$9</f>
        <v>£m 18/19</v>
      </c>
      <c r="D67" s="115">
        <f>'R4 - Incentives and Other Rev'!D12</f>
        <v>-7.2862331602607357E-3</v>
      </c>
      <c r="E67" s="115">
        <f>'R4 - Incentives and Other Rev'!E12</f>
        <v>-7.2862331602607357E-3</v>
      </c>
      <c r="F67" s="115">
        <f>'R4 - Incentives and Other Rev'!F12</f>
        <v>-7.2862331602607357E-3</v>
      </c>
      <c r="G67" s="115">
        <f>'R4 - Incentives and Other Rev'!G12</f>
        <v>-7.2862331602607357E-3</v>
      </c>
      <c r="H67" s="115">
        <f>'R4 - Incentives and Other Rev'!H12</f>
        <v>-7.2862331602607357E-3</v>
      </c>
      <c r="I67" s="88"/>
      <c r="J67" s="46">
        <f>SUM(D67:INDEX(D67:H67,0,MATCH('RFPR cover'!$C$9,$D$6:$H$6,0)))</f>
        <v>-7.2862331602607357E-3</v>
      </c>
      <c r="K67" s="46">
        <f t="shared" si="20"/>
        <v>-3.6431165801303678E-2</v>
      </c>
      <c r="L67" s="88"/>
    </row>
    <row r="68" spans="1:12">
      <c r="A68" s="78" t="s">
        <v>196</v>
      </c>
      <c r="B68" s="660" t="str">
        <f>'R4 - Incentives and Other Rev'!B14</f>
        <v>Customer Satisfaction Survey ODI</v>
      </c>
      <c r="C68" s="460" t="str">
        <f>Data!$C$9</f>
        <v>£m 18/19</v>
      </c>
      <c r="D68" s="115">
        <f>'R4 - Incentives and Other Rev'!D14</f>
        <v>1.4915815001002395</v>
      </c>
      <c r="E68" s="115">
        <f>'R4 - Incentives and Other Rev'!E14</f>
        <v>1.5150788725490156</v>
      </c>
      <c r="F68" s="115">
        <f>'R4 - Incentives and Other Rev'!F14</f>
        <v>1.7836029411764698</v>
      </c>
      <c r="G68" s="115">
        <f>'R4 - Incentives and Other Rev'!G14</f>
        <v>1.905</v>
      </c>
      <c r="H68" s="115">
        <f>'R4 - Incentives and Other Rev'!H14</f>
        <v>1.905</v>
      </c>
      <c r="I68" s="329"/>
      <c r="J68" s="46">
        <f>SUM(D68:INDEX(D68:H68,0,MATCH('RFPR cover'!$C$9,$D$6:$H$6,0)))</f>
        <v>1.4915815001002395</v>
      </c>
      <c r="K68" s="46">
        <f t="shared" si="20"/>
        <v>8.6002633138257245</v>
      </c>
      <c r="L68" s="88"/>
    </row>
    <row r="69" spans="1:12">
      <c r="A69" s="78" t="s">
        <v>197</v>
      </c>
      <c r="B69" s="660" t="str">
        <f>'R4 - Incentives and Other Rev'!B15</f>
        <v>Complaints metric ODI</v>
      </c>
      <c r="C69" s="460"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9"/>
      <c r="J69" s="46">
        <f>SUM(D69:INDEX(D69:H69,0,MATCH('RFPR cover'!$C$9,$D$6:$H$6,0)))</f>
        <v>0</v>
      </c>
      <c r="K69" s="46">
        <f t="shared" si="20"/>
        <v>0</v>
      </c>
      <c r="L69" s="88"/>
    </row>
    <row r="70" spans="1:12">
      <c r="A70" s="78" t="s">
        <v>198</v>
      </c>
      <c r="B70" s="660" t="str">
        <f>'R4 - Incentives and Other Rev'!B16</f>
        <v>Unplanned Interruption Mean Duration ODI [NGN, SGN and WWU]</v>
      </c>
      <c r="C70" s="460"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9"/>
      <c r="J70" s="46">
        <f>SUM(D70:INDEX(D70:H70,0,MATCH('RFPR cover'!$C$9,$D$6:$H$6,0)))</f>
        <v>0</v>
      </c>
      <c r="K70" s="46">
        <f t="shared" si="20"/>
        <v>0</v>
      </c>
      <c r="L70" s="88"/>
    </row>
    <row r="71" spans="1:12">
      <c r="A71" s="78" t="s">
        <v>199</v>
      </c>
      <c r="B71" s="660" t="str">
        <f>'R4 - Incentives and Other Rev'!B17</f>
        <v>Unplanned Interruption Mean Duration ODI [Cadent only]</v>
      </c>
      <c r="C71" s="460"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9"/>
      <c r="J71" s="46">
        <f>SUM(D71:INDEX(D71:H71,0,MATCH('RFPR cover'!$C$9,$D$6:$H$6,0)))</f>
        <v>0</v>
      </c>
      <c r="K71" s="46">
        <f t="shared" si="20"/>
        <v>0</v>
      </c>
      <c r="L71" s="88"/>
    </row>
    <row r="72" spans="1:12">
      <c r="A72" s="78" t="s">
        <v>200</v>
      </c>
      <c r="B72" s="660" t="str">
        <f>'R4 - Incentives and Other Rev'!B18</f>
        <v>Shrinkage Management ODI</v>
      </c>
      <c r="C72" s="460" t="str">
        <f>Data!$C$9</f>
        <v>£m 18/19</v>
      </c>
      <c r="D72" s="115">
        <f>'R4 - Incentives and Other Rev'!D18</f>
        <v>0.47625000000000001</v>
      </c>
      <c r="E72" s="115">
        <f>'R4 - Incentives and Other Rev'!E18</f>
        <v>0.47625000000000001</v>
      </c>
      <c r="F72" s="115">
        <f>'R4 - Incentives and Other Rev'!F18</f>
        <v>0.47625000000000001</v>
      </c>
      <c r="G72" s="115">
        <f>'R4 - Incentives and Other Rev'!G18</f>
        <v>0.46633505395836183</v>
      </c>
      <c r="H72" s="115">
        <f>'R4 - Incentives and Other Rev'!H18</f>
        <v>0.43181132789161736</v>
      </c>
      <c r="I72" s="329"/>
      <c r="J72" s="46">
        <f>SUM(D72:INDEX(D72:H72,0,MATCH('RFPR cover'!$C$9,$D$6:$H$6,0)))</f>
        <v>0.47625000000000001</v>
      </c>
      <c r="K72" s="46">
        <f t="shared" si="20"/>
        <v>2.3268963818499788</v>
      </c>
      <c r="L72" s="88"/>
    </row>
    <row r="73" spans="1:12">
      <c r="A73" s="78" t="s">
        <v>201</v>
      </c>
      <c r="B73" s="660" t="str">
        <f>'R4 - Incentives and Other Rev'!B19</f>
        <v>Collaborative streetworks ODI [Cadent Lon &amp; EoE, SGN So only]</v>
      </c>
      <c r="C73" s="460" t="str">
        <f>Data!$C$9</f>
        <v>£m 18/19</v>
      </c>
      <c r="D73" s="115">
        <f>'R4 - Incentives and Other Rev'!D19</f>
        <v>0</v>
      </c>
      <c r="E73" s="115">
        <f>'R4 - Incentives and Other Rev'!E19</f>
        <v>0</v>
      </c>
      <c r="F73" s="115">
        <f>'R4 - Incentives and Other Rev'!F19</f>
        <v>0</v>
      </c>
      <c r="G73" s="115">
        <f>'R4 - Incentives and Other Rev'!G19</f>
        <v>0</v>
      </c>
      <c r="H73" s="115">
        <f>'R4 - Incentives and Other Rev'!H19</f>
        <v>0</v>
      </c>
      <c r="I73" s="329"/>
      <c r="J73" s="46">
        <f>SUM(D73:INDEX(D73:H73,0,MATCH('RFPR cover'!$C$9,$D$6:$H$6,0)))</f>
        <v>0</v>
      </c>
      <c r="K73" s="46">
        <f t="shared" si="20"/>
        <v>0</v>
      </c>
      <c r="L73" s="88"/>
    </row>
    <row r="74" spans="1:12">
      <c r="A74" s="78" t="s">
        <v>202</v>
      </c>
      <c r="B74" s="660" t="str">
        <f>'R4 - Incentives and Other Rev'!B41</f>
        <v>Network innovation input for RORE</v>
      </c>
      <c r="C74" s="460" t="str">
        <f>Data!$C$9</f>
        <v>£m 18/19</v>
      </c>
      <c r="D74" s="115">
        <f>-'R4 - Incentives and Other Rev'!D41</f>
        <v>-4.344645607780856E-2</v>
      </c>
      <c r="E74" s="115">
        <f>-'R4 - Incentives and Other Rev'!E41</f>
        <v>-0.18833250534046853</v>
      </c>
      <c r="F74" s="115">
        <f>-'R4 - Incentives and Other Rev'!F41</f>
        <v>-0.2185689526002208</v>
      </c>
      <c r="G74" s="115">
        <f>-'R4 - Incentives and Other Rev'!G41</f>
        <v>-0.2185689526002208</v>
      </c>
      <c r="H74" s="115">
        <f>-'R4 - Incentives and Other Rev'!H41</f>
        <v>-0.2185689526002208</v>
      </c>
      <c r="I74" s="88"/>
      <c r="J74" s="46">
        <f>SUM(D74:INDEX(D74:H74,0,MATCH('RFPR cover'!$C$9,$D$6:$H$6,0)))</f>
        <v>-4.344645607780856E-2</v>
      </c>
      <c r="K74" s="46">
        <f t="shared" si="20"/>
        <v>-0.88748581921893943</v>
      </c>
      <c r="L74" s="88"/>
    </row>
    <row r="75" spans="1:12">
      <c r="A75" s="78" t="s">
        <v>203</v>
      </c>
      <c r="B75" s="660" t="str">
        <f>'R4 - Incentives and Other Rev'!B48</f>
        <v>Carry-over Network innovation input for RORE</v>
      </c>
      <c r="C75" s="460" t="str">
        <f>Data!$C$9</f>
        <v>£m 18/19</v>
      </c>
      <c r="D75" s="115">
        <f>-'R4 - Incentives and Other Rev'!D48</f>
        <v>-7.6716386983830209E-2</v>
      </c>
      <c r="E75" s="115">
        <f>-'R4 - Incentives and Other Rev'!E48</f>
        <v>0</v>
      </c>
      <c r="F75" s="115">
        <f>-'R4 - Incentives and Other Rev'!F48</f>
        <v>0</v>
      </c>
      <c r="G75" s="115">
        <f>-'R4 - Incentives and Other Rev'!G48</f>
        <v>0</v>
      </c>
      <c r="H75" s="115">
        <f>-'R4 - Incentives and Other Rev'!H48</f>
        <v>0</v>
      </c>
      <c r="I75" s="88"/>
      <c r="J75" s="46">
        <f>SUM(D75:INDEX(D75:H75,0,MATCH('RFPR cover'!$C$9,$D$6:$H$6,0)))</f>
        <v>-7.6716386983830209E-2</v>
      </c>
      <c r="K75" s="46">
        <f t="shared" si="20"/>
        <v>-7.6716386983830209E-2</v>
      </c>
      <c r="L75" s="88"/>
    </row>
    <row r="76" spans="1:12">
      <c r="A76" s="78" t="s">
        <v>204</v>
      </c>
      <c r="B76" s="660" t="str">
        <f>'R4 - Incentives and Other Rev'!B55</f>
        <v>Strategic innovation input for RORE</v>
      </c>
      <c r="C76" s="460"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205</v>
      </c>
      <c r="B77" s="660" t="str">
        <f>'R4 - Incentives and Other Rev'!B62</f>
        <v/>
      </c>
      <c r="C77" s="460"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206</v>
      </c>
      <c r="B78" s="660" t="str">
        <f>'R4 - Incentives and Other Rev'!B63</f>
        <v/>
      </c>
      <c r="C78" s="460"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207</v>
      </c>
      <c r="B79" s="660" t="str">
        <f>'R4 - Incentives and Other Rev'!B64</f>
        <v/>
      </c>
      <c r="C79" s="460"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208</v>
      </c>
      <c r="B80" s="660" t="str">
        <f>'R4 - Incentives and Other Rev'!B65</f>
        <v/>
      </c>
      <c r="C80" s="460"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209</v>
      </c>
      <c r="B81" s="660" t="str">
        <f>'R4 - Incentives and Other Rev'!B66</f>
        <v/>
      </c>
      <c r="C81" s="460"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8" t="s">
        <v>217</v>
      </c>
      <c r="C82" s="460" t="str">
        <f>Data!$C$9</f>
        <v>£m 18/19</v>
      </c>
      <c r="D82" s="116">
        <f>-'R10 - Pensions &amp; Oth Activities'!D54</f>
        <v>-0.56163558666096347</v>
      </c>
      <c r="E82" s="116">
        <f>-'R10 - Pensions &amp; Oth Activities'!E54</f>
        <v>-0.48289486932399345</v>
      </c>
      <c r="F82" s="116">
        <f>-'R10 - Pensions &amp; Oth Activities'!F54</f>
        <v>-0.46735506280763089</v>
      </c>
      <c r="G82" s="116">
        <f>-'R10 - Pensions &amp; Oth Activities'!G54</f>
        <v>-0.45956810891975614</v>
      </c>
      <c r="H82" s="116">
        <f>-'R10 - Pensions &amp; Oth Activities'!H54</f>
        <v>-0.45095275182556227</v>
      </c>
      <c r="I82" s="88"/>
      <c r="J82" s="412">
        <f>SUM(D82:INDEX(D82:H82,0,MATCH('RFPR cover'!$C$9,$D$6:$H$6,0)))</f>
        <v>-0.56163558666096347</v>
      </c>
      <c r="K82" s="412">
        <f t="shared" si="20"/>
        <v>-2.4224063795379061</v>
      </c>
      <c r="L82" s="88"/>
    </row>
    <row r="83" spans="1:14" ht="12.75" thickBot="1">
      <c r="B83" s="459" t="s">
        <v>218</v>
      </c>
      <c r="C83" s="461" t="str">
        <f>Data!$C$9</f>
        <v>£m 18/19</v>
      </c>
      <c r="D83" s="434">
        <f>SUM(D65:D82)</f>
        <v>44.666876566129922</v>
      </c>
      <c r="E83" s="436">
        <f>SUM(E65:E82)</f>
        <v>45.428126173080074</v>
      </c>
      <c r="F83" s="436">
        <f>SUM(F65:F82)</f>
        <v>48.96710012135879</v>
      </c>
      <c r="G83" s="436">
        <f>SUM(G65:G82)</f>
        <v>44.464867103096609</v>
      </c>
      <c r="H83" s="435">
        <f>SUM(H65:H82)</f>
        <v>45.010948813866001</v>
      </c>
      <c r="I83" s="243"/>
      <c r="J83" s="434">
        <f>SUM(J65:J82)</f>
        <v>44.666876566129922</v>
      </c>
      <c r="K83" s="435">
        <f>SUM(K65:K82)</f>
        <v>228.53791877753142</v>
      </c>
      <c r="L83" s="88"/>
    </row>
    <row r="84" spans="1:14">
      <c r="B84" s="458" t="s">
        <v>219</v>
      </c>
      <c r="C84" s="460" t="str">
        <f>Data!$C$9</f>
        <v>£m 18/19</v>
      </c>
      <c r="D84" s="462">
        <f>IFERROR('R5 - Financing'!D85+'R8 - Tax'!E67,0)</f>
        <v>21.868968097613532</v>
      </c>
      <c r="E84" s="462">
        <f>IFERROR('R5 - Financing'!E85+'R8 - Tax'!F67,0)</f>
        <v>59.751694031701312</v>
      </c>
      <c r="F84" s="462">
        <f>IFERROR('R5 - Financing'!F85+'R8 - Tax'!G67,0)</f>
        <v>16.458839560049576</v>
      </c>
      <c r="G84" s="462">
        <f>IFERROR('R5 - Financing'!G85+'R8 - Tax'!H67,0)</f>
        <v>7.3918979364435513</v>
      </c>
      <c r="H84" s="462">
        <f>IFERROR('R5 - Financing'!H85+'R8 - Tax'!I67,0)</f>
        <v>9.8220115157610248</v>
      </c>
      <c r="I84" s="88"/>
      <c r="J84" s="433">
        <f>SUM(D84:INDEX(D84:H84,0,MATCH('RFPR cover'!$C$9,$D$6:$H$6,0)))</f>
        <v>21.868968097613532</v>
      </c>
      <c r="K84" s="433">
        <f>SUM(D84:H84)</f>
        <v>115.29341114156898</v>
      </c>
      <c r="L84" s="88"/>
    </row>
    <row r="85" spans="1:14">
      <c r="B85" s="458" t="s">
        <v>220</v>
      </c>
      <c r="C85" s="460" t="str">
        <f>Data!$C$9</f>
        <v>£m 18/19</v>
      </c>
      <c r="D85" s="463">
        <f>IFERROR('R5 - Financing'!D87+'R8 - Tax'!E68,0)</f>
        <v>0.55401943701446887</v>
      </c>
      <c r="E85" s="463">
        <f>IFERROR('R5 - Financing'!E87+'R8 - Tax'!F68,0)</f>
        <v>1.2364231570507496</v>
      </c>
      <c r="F85" s="463">
        <f>IFERROR('R5 - Financing'!F87+'R8 - Tax'!G68,0)</f>
        <v>-0.90496180689282557</v>
      </c>
      <c r="G85" s="463">
        <f>IFERROR('R5 - Financing'!G87+'R8 - Tax'!H68,0)</f>
        <v>-0.64494752796580901</v>
      </c>
      <c r="H85" s="463">
        <f>IFERROR('R5 - Financing'!H87+'R8 - Tax'!I68,0)</f>
        <v>-8.0784743376519641E-2</v>
      </c>
      <c r="I85" s="88"/>
      <c r="J85" s="46">
        <f>SUM(D85:INDEX(D85:H85,0,MATCH('RFPR cover'!$C$9,$D$6:$H$6,0)))</f>
        <v>0.55401943701446887</v>
      </c>
      <c r="K85" s="46">
        <f>SUM(D85:H85)</f>
        <v>0.15974851583006422</v>
      </c>
      <c r="L85" s="88"/>
    </row>
    <row r="86" spans="1:14">
      <c r="B86" s="458" t="s">
        <v>221</v>
      </c>
      <c r="C86" s="460" t="str">
        <f>Data!$C$9</f>
        <v>£m 18/19</v>
      </c>
      <c r="D86" s="463">
        <f>'R8 - Tax'!E60-'R8 - Tax'!E67</f>
        <v>-4.0827493671303063</v>
      </c>
      <c r="E86" s="463">
        <f>'R8 - Tax'!F60-'R8 - Tax'!F67</f>
        <v>-18.204012194317748</v>
      </c>
      <c r="F86" s="463">
        <f>'R8 - Tax'!G60-'R8 - Tax'!G67</f>
        <v>3.5641587673721826</v>
      </c>
      <c r="G86" s="463">
        <f>'R8 - Tax'!H60-'R8 - Tax'!H67</f>
        <v>0.75724660160123514</v>
      </c>
      <c r="H86" s="463">
        <f>'R8 - Tax'!I60-'R8 - Tax'!I67</f>
        <v>-0.42153257609898254</v>
      </c>
      <c r="I86" s="88"/>
      <c r="J86" s="46">
        <f>SUM(D86:INDEX(D86:H86,0,MATCH('RFPR cover'!$C$9,$D$6:$H$6,0)))</f>
        <v>-4.0827493671303063</v>
      </c>
      <c r="K86" s="46">
        <f>SUM(D86:H86)</f>
        <v>-18.386888768573616</v>
      </c>
      <c r="L86" s="88"/>
    </row>
    <row r="87" spans="1:14" ht="12.75" thickBot="1">
      <c r="B87" s="458" t="s">
        <v>222</v>
      </c>
      <c r="C87" s="460" t="str">
        <f>Data!$C$9</f>
        <v>£m 18/19</v>
      </c>
      <c r="D87" s="464">
        <f>'R8 - Tax'!E62-'R8 - Tax'!E68</f>
        <v>2.2204460492503131E-15</v>
      </c>
      <c r="E87" s="464">
        <f>'R8 - Tax'!F62-'R8 - Tax'!F68</f>
        <v>-1.7763568394002505E-15</v>
      </c>
      <c r="F87" s="464">
        <f>'R8 - Tax'!G62-'R8 - Tax'!G68</f>
        <v>-2.6645352591003757E-15</v>
      </c>
      <c r="G87" s="464">
        <f>'R8 - Tax'!H62-'R8 - Tax'!H68</f>
        <v>8.8817841970012523E-16</v>
      </c>
      <c r="H87" s="464">
        <f>'R8 - Tax'!I62-'R8 - Tax'!I68</f>
        <v>1.5543122344752192E-15</v>
      </c>
      <c r="I87" s="88"/>
      <c r="J87" s="412">
        <f>SUM(D87:INDEX(D87:H87,0,MATCH('RFPR cover'!$C$9,$D$6:$H$6,0)))</f>
        <v>2.2204460492503131E-15</v>
      </c>
      <c r="K87" s="412">
        <f>SUM(D87:H87)</f>
        <v>2.2204460492503131E-16</v>
      </c>
      <c r="L87" s="88"/>
    </row>
    <row r="88" spans="1:14" ht="12.75" thickBot="1">
      <c r="B88" s="459" t="s">
        <v>223</v>
      </c>
      <c r="C88" s="461" t="str">
        <f>Data!$C$9</f>
        <v>£m 18/19</v>
      </c>
      <c r="D88" s="624">
        <f>IF(OR(Licensee=Data!$B$78,Licensee=Data!$B$81),"N/A",SUM(D83:D87))</f>
        <v>63.007114733627631</v>
      </c>
      <c r="E88" s="624">
        <f>IF(OR(Licensee=Data!$B$78,Licensee=Data!$B$81),"N/A",SUM(E83:E87))</f>
        <v>88.212231167514375</v>
      </c>
      <c r="F88" s="624">
        <f>IF(OR(Licensee=Data!$B$78,Licensee=Data!$B$81),"N/A",SUM(F83:F87))</f>
        <v>68.085136641887715</v>
      </c>
      <c r="G88" s="624">
        <f>IF(OR(Licensee=Data!$B$78,Licensee=Data!$B$81),"N/A",SUM(G83:G87))</f>
        <v>51.969064113175584</v>
      </c>
      <c r="H88" s="624">
        <f>IF(OR(Licensee=Data!$B$78,Licensee=Data!$B$81),"N/A",SUM(H83:H87))</f>
        <v>54.330643010151526</v>
      </c>
      <c r="I88" s="243"/>
      <c r="J88" s="434">
        <f>SUM(J83:J87)</f>
        <v>63.007114733627631</v>
      </c>
      <c r="K88" s="435">
        <f>SUM(K83:K87)</f>
        <v>325.60418966635689</v>
      </c>
      <c r="L88" s="88"/>
    </row>
    <row r="89" spans="1:14">
      <c r="D89" s="437"/>
      <c r="I89" s="88"/>
      <c r="L89" s="88"/>
      <c r="N89" s="88"/>
    </row>
    <row r="90" spans="1:14">
      <c r="B90" s="623" t="s">
        <v>224</v>
      </c>
      <c r="C90" s="460" t="str">
        <f>Data!$C$9</f>
        <v>£m 18/19</v>
      </c>
      <c r="D90" s="114">
        <f>'R7 - RAV'!E40</f>
        <v>916.81544886240454</v>
      </c>
      <c r="E90" s="84">
        <f>'R7 - RAV'!F40</f>
        <v>930.42607353283893</v>
      </c>
      <c r="F90" s="84">
        <f>'R7 - RAV'!G40</f>
        <v>939.04386568562609</v>
      </c>
      <c r="G90" s="84">
        <f>'R7 - RAV'!H40</f>
        <v>943.56764068279836</v>
      </c>
      <c r="H90" s="84">
        <f>'R7 - RAV'!I40</f>
        <v>942.66811450777755</v>
      </c>
      <c r="I90" s="88"/>
      <c r="L90" s="88"/>
    </row>
    <row r="91" spans="1:14">
      <c r="B91" s="458" t="s">
        <v>225</v>
      </c>
      <c r="C91" s="460" t="str">
        <f>Data!$C$9</f>
        <v>£m 18/19</v>
      </c>
      <c r="D91" s="117">
        <f>IFERROR('R6 - Net Debt'!D63,0)</f>
        <v>982.04887200928783</v>
      </c>
      <c r="E91" s="117">
        <f>IFERROR('R6 - Net Debt'!E63,0)</f>
        <v>869.22652261695987</v>
      </c>
      <c r="F91" s="117">
        <f>IFERROR('R6 - Net Debt'!F63,0)</f>
        <v>858.17278880014635</v>
      </c>
      <c r="G91" s="117">
        <f>IFERROR('R6 - Net Debt'!G63,0)</f>
        <v>905.69046860809078</v>
      </c>
      <c r="H91" s="117">
        <f>IFERROR('R6 - Net Debt'!H63,0)</f>
        <v>937.25676129452972</v>
      </c>
      <c r="I91" s="88"/>
      <c r="L91" s="88"/>
    </row>
    <row r="92" spans="1:14">
      <c r="L92" s="88"/>
    </row>
    <row r="93" spans="1:14">
      <c r="L93" s="88"/>
    </row>
    <row r="94" spans="1:14">
      <c r="L94" s="88"/>
    </row>
  </sheetData>
  <phoneticPr fontId="251" type="noConversion"/>
  <conditionalFormatting sqref="D6:G6">
    <cfRule type="expression" dxfId="100" priority="8">
      <formula>AND(D$5="Actuals",E$5="Forecast")</formula>
    </cfRule>
  </conditionalFormatting>
  <conditionalFormatting sqref="H6">
    <cfRule type="expression" dxfId="99" priority="201">
      <formula>AND(H$5="Actuals",#REF!="Forecast")</formula>
    </cfRule>
  </conditionalFormatting>
  <conditionalFormatting sqref="D7:H7">
    <cfRule type="expression" dxfId="98"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103" activePane="bottomLeft" state="frozen"/>
      <selection pane="bottomLeft" activeCell="K95" sqref="K95"/>
    </sheetView>
  </sheetViews>
  <sheetFormatPr defaultRowHeight="12.4" outlineLevelCol="1"/>
  <cols>
    <col min="1" max="1" width="8.3515625" customWidth="1"/>
    <col min="2" max="2" width="58.3515625" style="88" customWidth="1"/>
    <col min="3" max="3" width="22.1171875" style="88" customWidth="1"/>
    <col min="4" max="4" width="13.3515625" style="69" customWidth="1"/>
    <col min="5" max="9" width="11.1171875" customWidth="1"/>
    <col min="10" max="10" width="5" customWidth="1"/>
    <col min="11" max="20" width="9.234375" customWidth="1" outlineLevel="1"/>
  </cols>
  <sheetData>
    <row r="1" spans="1:10" ht="20.65">
      <c r="A1" s="777" t="s">
        <v>226</v>
      </c>
      <c r="B1" s="400"/>
      <c r="C1" s="400"/>
      <c r="D1" s="401"/>
      <c r="E1" s="402"/>
      <c r="F1" s="402"/>
      <c r="G1" s="402"/>
      <c r="H1" s="402"/>
      <c r="I1" s="402"/>
      <c r="J1" s="782"/>
    </row>
    <row r="2" spans="1:10" ht="20.65">
      <c r="A2" s="295" t="str">
        <f t="shared" ref="A2" si="0">Licensee</f>
        <v>Cadent-NW</v>
      </c>
      <c r="B2" s="298"/>
      <c r="C2" s="298"/>
      <c r="D2" s="68"/>
      <c r="E2" s="16"/>
      <c r="F2" s="16"/>
      <c r="G2" s="16"/>
      <c r="H2" s="16"/>
      <c r="I2" s="16"/>
      <c r="J2" s="65"/>
    </row>
    <row r="3" spans="1:10" ht="20.65">
      <c r="A3" s="290">
        <f>Reporting_Year</f>
        <v>2022</v>
      </c>
      <c r="B3" s="579"/>
      <c r="C3" s="579"/>
      <c r="D3" s="580"/>
      <c r="E3" s="577"/>
      <c r="F3" s="577"/>
      <c r="G3" s="577"/>
      <c r="H3" s="577"/>
      <c r="I3" s="577"/>
      <c r="J3" s="119"/>
    </row>
    <row r="4" spans="1:10" s="2" customFormat="1" ht="12.75" customHeight="1">
      <c r="B4" s="66"/>
      <c r="C4" s="66"/>
      <c r="D4" s="69"/>
    </row>
    <row r="5" spans="1:10" s="2" customFormat="1">
      <c r="B5" s="66"/>
      <c r="C5" s="66"/>
      <c r="D5" s="69"/>
      <c r="E5" s="153" t="str">
        <f>IF(E6&lt;=Reporting_Year,"Actuals","Forecast")</f>
        <v>Actuals</v>
      </c>
      <c r="F5" s="153" t="str">
        <f>IF(F6&lt;=Reporting_Year,"Actuals","Forecast")</f>
        <v>Forecast</v>
      </c>
      <c r="G5" s="153" t="str">
        <f>IF(G6&lt;=Reporting_Year,"Actuals","Forecast")</f>
        <v>Forecast</v>
      </c>
      <c r="H5" s="153" t="str">
        <f>IF(H6&lt;=Reporting_Year,"Actuals","Forecast")</f>
        <v>Forecast</v>
      </c>
      <c r="I5" s="153" t="str">
        <f>IF(I6&lt;=Reporting_Year,"Actuals","Forecast")</f>
        <v>Forecast</v>
      </c>
    </row>
    <row r="6" spans="1:10" s="2" customFormat="1">
      <c r="B6" s="66"/>
      <c r="C6" s="66"/>
      <c r="D6" s="69"/>
      <c r="E6" s="320">
        <f>RIIO_2_start_date</f>
        <v>2022</v>
      </c>
      <c r="F6" s="320">
        <f>E6+1</f>
        <v>2023</v>
      </c>
      <c r="G6" s="320">
        <f>F6+1</f>
        <v>2024</v>
      </c>
      <c r="H6" s="320">
        <f t="shared" ref="H6:I6" si="1">G6+1</f>
        <v>2025</v>
      </c>
      <c r="I6" s="320">
        <f t="shared" si="1"/>
        <v>2026</v>
      </c>
    </row>
    <row r="7" spans="1:10" s="2" customFormat="1">
      <c r="B7" s="240"/>
      <c r="C7" s="240"/>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40"/>
      <c r="C8" s="240"/>
      <c r="D8" s="75"/>
      <c r="E8" s="28"/>
      <c r="F8" s="28"/>
      <c r="G8" s="28"/>
      <c r="H8" s="28"/>
      <c r="I8" s="28"/>
    </row>
    <row r="9" spans="1:10" s="2" customFormat="1">
      <c r="B9" s="241" t="s">
        <v>227</v>
      </c>
      <c r="C9" s="241"/>
      <c r="D9" s="73"/>
      <c r="E9" s="40"/>
      <c r="F9" s="40"/>
      <c r="G9" s="40"/>
      <c r="H9" s="40"/>
      <c r="I9" s="40"/>
      <c r="J9" s="41"/>
    </row>
    <row r="10" spans="1:10" s="2" customFormat="1">
      <c r="B10" s="240"/>
      <c r="C10" s="240"/>
      <c r="D10" s="75"/>
      <c r="E10" s="28"/>
      <c r="F10" s="28"/>
      <c r="G10" s="28"/>
      <c r="H10" s="28"/>
      <c r="I10" s="28"/>
    </row>
    <row r="11" spans="1:10" s="2" customFormat="1">
      <c r="B11" s="666" t="s">
        <v>228</v>
      </c>
      <c r="C11" s="240"/>
      <c r="D11" s="69"/>
    </row>
    <row r="12" spans="1:10" s="2" customFormat="1">
      <c r="B12" s="155"/>
      <c r="C12" s="240"/>
      <c r="D12" s="69"/>
    </row>
    <row r="13" spans="1:10" s="2" customFormat="1">
      <c r="B13" s="242" t="s">
        <v>229</v>
      </c>
      <c r="C13" s="27" t="str">
        <f>IF(Licensee="NGGT (SO)","SORt* x  PIt* / PI2018/19","Rt* x  PIt* / PI2018/19")</f>
        <v>Rt* x  PIt* / PI2018/19</v>
      </c>
      <c r="D13" s="74" t="s">
        <v>230</v>
      </c>
      <c r="E13" s="308">
        <v>439.61150937658181</v>
      </c>
      <c r="F13" s="308"/>
      <c r="G13" s="308"/>
      <c r="H13" s="308"/>
      <c r="I13" s="308"/>
    </row>
    <row r="14" spans="1:10" s="2" customFormat="1">
      <c r="B14" s="242" t="s">
        <v>231</v>
      </c>
      <c r="C14" s="310" t="str">
        <f>IF(Licensee="NGGT (SO)","SOADJt*","ADJt*")</f>
        <v>ADJt*</v>
      </c>
      <c r="D14" s="74" t="s">
        <v>230</v>
      </c>
      <c r="E14" s="308">
        <v>0</v>
      </c>
      <c r="F14" s="308"/>
      <c r="G14" s="308"/>
      <c r="H14" s="308"/>
      <c r="I14" s="308"/>
    </row>
    <row r="15" spans="1:10" s="2" customFormat="1">
      <c r="B15" s="242" t="s">
        <v>232</v>
      </c>
      <c r="C15" s="310" t="str">
        <f>IF(Licensee="NGGT (SO)","SOADJRt*","ADJRt*")</f>
        <v>ADJRt*</v>
      </c>
      <c r="D15" s="74" t="s">
        <v>230</v>
      </c>
      <c r="E15" s="221">
        <f>SUM(E13:E14)</f>
        <v>439.61150937658181</v>
      </c>
      <c r="F15" s="221">
        <f t="shared" ref="F15:I15" si="2">SUM(F13:F14)</f>
        <v>0</v>
      </c>
      <c r="G15" s="221">
        <f t="shared" si="2"/>
        <v>0</v>
      </c>
      <c r="H15" s="221">
        <f t="shared" si="2"/>
        <v>0</v>
      </c>
      <c r="I15" s="221">
        <f t="shared" si="2"/>
        <v>0</v>
      </c>
    </row>
    <row r="16" spans="1:10" s="2" customFormat="1">
      <c r="B16" s="242" t="s">
        <v>233</v>
      </c>
      <c r="C16" s="310" t="str">
        <f>IF(OR(Licensee="Cadent",Licensee="NGGT (SO)"),"SOLARt","LARt")</f>
        <v>LARt</v>
      </c>
      <c r="D16" s="74" t="s">
        <v>230</v>
      </c>
      <c r="E16" s="308">
        <v>13.896656783962017</v>
      </c>
      <c r="F16" s="308"/>
      <c r="G16" s="308"/>
      <c r="H16" s="308"/>
      <c r="I16" s="308"/>
    </row>
    <row r="17" spans="2:10" s="2" customFormat="1">
      <c r="B17" s="242" t="s">
        <v>234</v>
      </c>
      <c r="C17" s="310" t="str">
        <f>IF(Licensee="NGGT (SO)","SOKt","Kt")</f>
        <v>Kt</v>
      </c>
      <c r="D17" s="74" t="s">
        <v>230</v>
      </c>
      <c r="E17" s="308">
        <v>2.2402549021590343</v>
      </c>
      <c r="F17" s="308"/>
      <c r="G17" s="308"/>
      <c r="H17" s="308"/>
      <c r="I17" s="308"/>
    </row>
    <row r="18" spans="2:10" s="2" customFormat="1">
      <c r="B18" s="240" t="s">
        <v>235</v>
      </c>
      <c r="C18" s="240" t="str">
        <f>IF(Licensee="Cadent","SOIARt",IF(Licensee="NGGT (SO)","SOARt","ARt"))</f>
        <v>ARt</v>
      </c>
      <c r="D18" s="75" t="s">
        <v>230</v>
      </c>
      <c r="E18" s="207">
        <f>SUM(E15:E17)</f>
        <v>455.7484210627029</v>
      </c>
      <c r="F18" s="207">
        <f t="shared" ref="F18:I18" si="3">SUM(F15:F17)</f>
        <v>0</v>
      </c>
      <c r="G18" s="207">
        <f t="shared" si="3"/>
        <v>0</v>
      </c>
      <c r="H18" s="207">
        <f t="shared" si="3"/>
        <v>0</v>
      </c>
      <c r="I18" s="207">
        <f t="shared" si="3"/>
        <v>0</v>
      </c>
    </row>
    <row r="19" spans="2:10" s="2" customFormat="1">
      <c r="B19" s="66"/>
      <c r="C19" s="66"/>
      <c r="D19" s="69"/>
      <c r="E19" s="30"/>
      <c r="F19" s="30"/>
      <c r="G19" s="30"/>
      <c r="H19" s="34"/>
      <c r="I19" s="34"/>
    </row>
    <row r="20" spans="2:10" s="2" customFormat="1">
      <c r="B20" s="66" t="s">
        <v>236</v>
      </c>
      <c r="C20" s="155"/>
      <c r="D20" s="75" t="s">
        <v>230</v>
      </c>
      <c r="E20" s="207">
        <f>IF(ISBLANK(E24),0,E24-E18)</f>
        <v>-7.3473261429867875</v>
      </c>
      <c r="F20" s="207">
        <f t="shared" ref="F20:I20" si="4">IF(ISBLANK(F24),0,F24-F18)</f>
        <v>0</v>
      </c>
      <c r="G20" s="207">
        <f t="shared" si="4"/>
        <v>0</v>
      </c>
      <c r="H20" s="207">
        <f t="shared" si="4"/>
        <v>0</v>
      </c>
      <c r="I20" s="207">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5" t="s">
        <v>237</v>
      </c>
      <c r="C24" s="155" t="s">
        <v>238</v>
      </c>
      <c r="D24" s="75" t="s">
        <v>230</v>
      </c>
      <c r="E24" s="308">
        <v>448.40109491971612</v>
      </c>
      <c r="F24" s="308"/>
      <c r="G24" s="308"/>
      <c r="H24" s="308"/>
      <c r="I24" s="308"/>
    </row>
    <row r="25" spans="2:10" s="2" customFormat="1">
      <c r="B25" s="66"/>
      <c r="C25" s="66"/>
      <c r="D25" s="69"/>
    </row>
    <row r="26" spans="2:10" s="2" customFormat="1">
      <c r="B26" s="155" t="s">
        <v>239</v>
      </c>
      <c r="C26" s="155"/>
      <c r="D26" s="69"/>
      <c r="E26" s="69"/>
      <c r="F26" s="69"/>
      <c r="G26" s="69"/>
      <c r="H26" s="69"/>
      <c r="I26" s="69"/>
      <c r="J26" s="69"/>
    </row>
    <row r="27" spans="2:10" s="2" customFormat="1">
      <c r="B27" s="311" t="s">
        <v>240</v>
      </c>
      <c r="C27" s="311"/>
      <c r="D27" s="75" t="s">
        <v>230</v>
      </c>
      <c r="E27" s="204">
        <v>0</v>
      </c>
      <c r="F27" s="204"/>
      <c r="G27" s="204"/>
      <c r="H27" s="204"/>
      <c r="I27" s="204"/>
    </row>
    <row r="28" spans="2:10" s="2" customFormat="1">
      <c r="B28" s="311" t="s">
        <v>241</v>
      </c>
      <c r="C28" s="311"/>
      <c r="D28" s="75" t="s">
        <v>230</v>
      </c>
      <c r="E28" s="204">
        <v>0</v>
      </c>
      <c r="F28" s="204"/>
      <c r="G28" s="204"/>
      <c r="H28" s="204"/>
      <c r="I28" s="204"/>
    </row>
    <row r="29" spans="2:10" s="2" customFormat="1">
      <c r="B29" s="311" t="s">
        <v>242</v>
      </c>
      <c r="C29" s="311"/>
      <c r="D29" s="75" t="s">
        <v>230</v>
      </c>
      <c r="E29" s="204">
        <v>0</v>
      </c>
      <c r="F29" s="204"/>
      <c r="G29" s="204"/>
      <c r="H29" s="204"/>
      <c r="I29" s="204"/>
    </row>
    <row r="30" spans="2:10" s="2" customFormat="1">
      <c r="B30" s="311" t="s">
        <v>243</v>
      </c>
      <c r="C30" s="311"/>
      <c r="D30" s="75" t="s">
        <v>230</v>
      </c>
      <c r="E30" s="204">
        <v>0</v>
      </c>
      <c r="F30" s="204"/>
      <c r="G30" s="204"/>
      <c r="H30" s="204"/>
      <c r="I30" s="204"/>
    </row>
    <row r="31" spans="2:10" s="2" customFormat="1">
      <c r="B31" s="311" t="s">
        <v>244</v>
      </c>
      <c r="C31" s="311"/>
      <c r="D31" s="75" t="s">
        <v>230</v>
      </c>
      <c r="E31" s="204">
        <v>0</v>
      </c>
      <c r="F31" s="204"/>
      <c r="G31" s="204"/>
      <c r="H31" s="204"/>
      <c r="I31" s="204"/>
    </row>
    <row r="32" spans="2:10" s="2" customFormat="1">
      <c r="B32" s="311" t="s">
        <v>245</v>
      </c>
      <c r="C32" s="311"/>
      <c r="D32" s="75" t="s">
        <v>230</v>
      </c>
      <c r="E32" s="204">
        <v>0.38045973660034477</v>
      </c>
      <c r="F32" s="204"/>
      <c r="G32" s="204"/>
      <c r="H32" s="204"/>
      <c r="I32" s="204"/>
    </row>
    <row r="33" spans="2:9" s="2" customFormat="1">
      <c r="B33" s="311" t="s">
        <v>246</v>
      </c>
      <c r="C33" s="311"/>
      <c r="D33" s="75" t="s">
        <v>230</v>
      </c>
      <c r="E33" s="204">
        <v>0</v>
      </c>
      <c r="F33" s="204"/>
      <c r="G33" s="204"/>
      <c r="H33" s="204"/>
      <c r="I33" s="204"/>
    </row>
    <row r="34" spans="2:9" s="2" customFormat="1">
      <c r="B34" s="467" t="s">
        <v>247</v>
      </c>
      <c r="C34" s="467"/>
      <c r="D34" s="75" t="s">
        <v>230</v>
      </c>
      <c r="E34" s="204">
        <v>0</v>
      </c>
      <c r="F34" s="204"/>
      <c r="G34" s="204"/>
      <c r="H34" s="204"/>
      <c r="I34" s="204"/>
    </row>
    <row r="35" spans="2:9" s="2" customFormat="1">
      <c r="B35" s="376" t="s">
        <v>248</v>
      </c>
      <c r="C35" s="309"/>
      <c r="D35" s="75" t="s">
        <v>230</v>
      </c>
      <c r="E35" s="204">
        <v>-1.9505021000000109</v>
      </c>
      <c r="F35" s="204"/>
      <c r="G35" s="204"/>
      <c r="H35" s="204"/>
      <c r="I35" s="204"/>
    </row>
    <row r="36" spans="2:9" s="2" customFormat="1">
      <c r="B36" s="155" t="s">
        <v>249</v>
      </c>
      <c r="C36" s="155"/>
      <c r="D36" s="75" t="s">
        <v>230</v>
      </c>
      <c r="E36" s="207">
        <f>SUM(E27:E35)</f>
        <v>-1.5700423633996661</v>
      </c>
      <c r="F36" s="207">
        <f t="shared" ref="F36:I36" si="5">SUM(F27:F35)</f>
        <v>0</v>
      </c>
      <c r="G36" s="207">
        <f t="shared" si="5"/>
        <v>0</v>
      </c>
      <c r="H36" s="207">
        <f t="shared" si="5"/>
        <v>0</v>
      </c>
      <c r="I36" s="207">
        <f t="shared" si="5"/>
        <v>0</v>
      </c>
    </row>
    <row r="37" spans="2:9" s="2" customFormat="1">
      <c r="B37" s="66"/>
      <c r="C37" s="66"/>
      <c r="D37" s="69"/>
    </row>
    <row r="38" spans="2:9" s="2" customFormat="1">
      <c r="B38" s="155" t="s">
        <v>250</v>
      </c>
      <c r="D38" s="155"/>
      <c r="E38" s="469"/>
    </row>
    <row r="39" spans="2:9" s="2" customFormat="1">
      <c r="B39" s="376" t="s">
        <v>251</v>
      </c>
      <c r="C39" s="376"/>
      <c r="D39" s="75" t="s">
        <v>230</v>
      </c>
      <c r="E39" s="204">
        <v>3.257733975247981</v>
      </c>
      <c r="F39" s="204"/>
      <c r="G39" s="204"/>
      <c r="H39" s="204"/>
      <c r="I39" s="204"/>
    </row>
    <row r="40" spans="2:9" s="2" customFormat="1">
      <c r="B40" s="376" t="s">
        <v>252</v>
      </c>
      <c r="C40" s="376"/>
      <c r="D40" s="75" t="s">
        <v>230</v>
      </c>
      <c r="E40" s="204">
        <v>0.58805651000000003</v>
      </c>
      <c r="F40" s="204"/>
      <c r="G40" s="204"/>
      <c r="H40" s="204"/>
      <c r="I40" s="204"/>
    </row>
    <row r="41" spans="2:9" s="2" customFormat="1">
      <c r="B41" s="376" t="s">
        <v>253</v>
      </c>
      <c r="C41" s="376"/>
      <c r="D41" s="75" t="s">
        <v>230</v>
      </c>
      <c r="E41" s="204">
        <v>1.0869247118001797</v>
      </c>
      <c r="F41" s="204"/>
      <c r="G41" s="204"/>
      <c r="H41" s="204"/>
      <c r="I41" s="204"/>
    </row>
    <row r="42" spans="2:9" s="2" customFormat="1">
      <c r="B42" s="376" t="s">
        <v>254</v>
      </c>
      <c r="C42" s="376"/>
      <c r="D42" s="75" t="s">
        <v>230</v>
      </c>
      <c r="E42" s="204">
        <v>0</v>
      </c>
      <c r="F42" s="204"/>
      <c r="G42" s="204"/>
      <c r="H42" s="204"/>
      <c r="I42" s="204"/>
    </row>
    <row r="43" spans="2:9" s="2" customFormat="1">
      <c r="B43" s="376" t="s">
        <v>255</v>
      </c>
      <c r="C43" s="376"/>
      <c r="D43" s="75" t="s">
        <v>230</v>
      </c>
      <c r="E43" s="204">
        <v>0</v>
      </c>
      <c r="F43" s="204"/>
      <c r="G43" s="204"/>
      <c r="H43" s="204"/>
      <c r="I43" s="204"/>
    </row>
    <row r="44" spans="2:9" s="2" customFormat="1">
      <c r="B44" s="376" t="s">
        <v>256</v>
      </c>
      <c r="C44" s="376"/>
      <c r="D44" s="75" t="s">
        <v>230</v>
      </c>
      <c r="E44" s="204">
        <v>0</v>
      </c>
      <c r="F44" s="204"/>
      <c r="G44" s="204"/>
      <c r="H44" s="204"/>
      <c r="I44" s="204"/>
    </row>
    <row r="45" spans="2:9" s="2" customFormat="1">
      <c r="B45" s="376" t="s">
        <v>257</v>
      </c>
      <c r="C45" s="376"/>
      <c r="D45" s="75" t="s">
        <v>230</v>
      </c>
      <c r="E45" s="204">
        <v>0</v>
      </c>
      <c r="F45" s="204"/>
      <c r="G45" s="204"/>
      <c r="H45" s="204"/>
      <c r="I45" s="204"/>
    </row>
    <row r="46" spans="2:9" s="2" customFormat="1">
      <c r="B46" s="376" t="s">
        <v>258</v>
      </c>
      <c r="C46" s="376"/>
      <c r="D46" s="75" t="s">
        <v>230</v>
      </c>
      <c r="E46" s="204">
        <v>0</v>
      </c>
      <c r="F46" s="204"/>
      <c r="G46" s="204"/>
      <c r="H46" s="204"/>
      <c r="I46" s="204"/>
    </row>
    <row r="47" spans="2:9" s="2" customFormat="1">
      <c r="B47" s="376" t="s">
        <v>259</v>
      </c>
      <c r="C47" s="376"/>
      <c r="D47" s="75" t="s">
        <v>230</v>
      </c>
      <c r="E47" s="204">
        <v>1526.7911025875333</v>
      </c>
      <c r="F47" s="204"/>
      <c r="G47" s="204"/>
      <c r="H47" s="204"/>
      <c r="I47" s="204"/>
    </row>
    <row r="48" spans="2:9" s="2" customFormat="1">
      <c r="B48" s="376" t="s">
        <v>260</v>
      </c>
      <c r="C48" s="376"/>
      <c r="D48" s="75" t="s">
        <v>230</v>
      </c>
      <c r="E48" s="204">
        <v>0</v>
      </c>
      <c r="F48" s="204"/>
      <c r="G48" s="204"/>
      <c r="H48" s="204"/>
      <c r="I48" s="204"/>
    </row>
    <row r="49" spans="1:14" s="2" customFormat="1">
      <c r="B49" s="376" t="s">
        <v>261</v>
      </c>
      <c r="C49" s="376"/>
      <c r="D49" s="75" t="s">
        <v>230</v>
      </c>
      <c r="E49" s="204">
        <v>2.4676364100000003</v>
      </c>
      <c r="F49" s="204"/>
      <c r="G49" s="204"/>
      <c r="H49" s="204"/>
      <c r="I49" s="204"/>
    </row>
    <row r="50" spans="1:14" s="2" customFormat="1">
      <c r="B50" s="376" t="s">
        <v>262</v>
      </c>
      <c r="C50" s="376"/>
      <c r="D50" s="75" t="s">
        <v>230</v>
      </c>
      <c r="E50" s="204">
        <v>1.4813130248907669</v>
      </c>
      <c r="F50" s="204"/>
      <c r="G50" s="204"/>
      <c r="H50" s="204"/>
      <c r="I50" s="204"/>
    </row>
    <row r="51" spans="1:14" s="2" customFormat="1">
      <c r="B51" s="376" t="s">
        <v>263</v>
      </c>
      <c r="C51" s="376"/>
      <c r="D51" s="75" t="s">
        <v>230</v>
      </c>
      <c r="E51" s="204">
        <v>2.0754477499999999</v>
      </c>
      <c r="F51" s="204"/>
      <c r="G51" s="204"/>
      <c r="H51" s="204"/>
      <c r="I51" s="204"/>
    </row>
    <row r="52" spans="1:14" s="2" customFormat="1">
      <c r="B52" s="376" t="s">
        <v>264</v>
      </c>
      <c r="C52" s="376"/>
      <c r="D52" s="75" t="s">
        <v>230</v>
      </c>
      <c r="E52" s="204">
        <v>-0.92340560053800003</v>
      </c>
      <c r="F52" s="204"/>
      <c r="G52" s="204"/>
      <c r="H52" s="204"/>
      <c r="I52" s="204"/>
    </row>
    <row r="53" spans="1:14" s="2" customFormat="1">
      <c r="B53" s="376" t="s">
        <v>265</v>
      </c>
      <c r="C53" s="376"/>
      <c r="D53" s="75" t="s">
        <v>230</v>
      </c>
      <c r="E53" s="204">
        <v>6.6169412324820764E-2</v>
      </c>
      <c r="F53" s="204"/>
      <c r="G53" s="204"/>
      <c r="H53" s="204"/>
      <c r="I53" s="204"/>
    </row>
    <row r="54" spans="1:14" s="2" customFormat="1">
      <c r="B54" s="376" t="s">
        <v>266</v>
      </c>
      <c r="C54" s="376"/>
      <c r="D54" s="75" t="s">
        <v>230</v>
      </c>
      <c r="E54" s="204">
        <v>0.27796866242465501</v>
      </c>
      <c r="F54" s="204"/>
      <c r="G54" s="204"/>
      <c r="H54" s="204"/>
      <c r="I54" s="204"/>
    </row>
    <row r="55" spans="1:14" s="2" customFormat="1">
      <c r="B55" s="155" t="s">
        <v>267</v>
      </c>
      <c r="C55" s="155"/>
      <c r="D55" s="75" t="s">
        <v>230</v>
      </c>
      <c r="E55" s="207">
        <f t="shared" ref="E55:I55" si="6">SUM(E39:E54)</f>
        <v>1537.1689474436837</v>
      </c>
      <c r="F55" s="207">
        <f t="shared" si="6"/>
        <v>0</v>
      </c>
      <c r="G55" s="207">
        <f t="shared" si="6"/>
        <v>0</v>
      </c>
      <c r="H55" s="207">
        <f t="shared" si="6"/>
        <v>0</v>
      </c>
      <c r="I55" s="207">
        <f t="shared" si="6"/>
        <v>0</v>
      </c>
    </row>
    <row r="56" spans="1:14" s="2" customFormat="1">
      <c r="B56" s="66"/>
      <c r="C56" s="66"/>
      <c r="D56" s="69"/>
      <c r="E56" s="31"/>
      <c r="F56" s="31"/>
      <c r="G56" s="31"/>
      <c r="H56" s="31"/>
      <c r="I56" s="31"/>
    </row>
    <row r="57" spans="1:14" s="2" customFormat="1">
      <c r="B57" s="288" t="s">
        <v>268</v>
      </c>
      <c r="C57" s="288"/>
      <c r="D57" s="75" t="s">
        <v>230</v>
      </c>
      <c r="E57" s="207">
        <f t="shared" ref="E57:I57" si="7">E24+E36+E55</f>
        <v>1984</v>
      </c>
      <c r="F57" s="207">
        <f t="shared" si="7"/>
        <v>0</v>
      </c>
      <c r="G57" s="207">
        <f t="shared" si="7"/>
        <v>0</v>
      </c>
      <c r="H57" s="207">
        <f t="shared" si="7"/>
        <v>0</v>
      </c>
      <c r="I57" s="207">
        <f t="shared" si="7"/>
        <v>0</v>
      </c>
    </row>
    <row r="58" spans="1:14" s="2" customFormat="1">
      <c r="B58" s="349" t="s">
        <v>269</v>
      </c>
      <c r="C58" s="349"/>
      <c r="D58" s="75" t="s">
        <v>230</v>
      </c>
      <c r="E58" s="204">
        <v>1984</v>
      </c>
      <c r="F58" s="204"/>
      <c r="G58" s="204"/>
      <c r="H58" s="204"/>
      <c r="I58" s="204"/>
    </row>
    <row r="59" spans="1:14" s="2" customFormat="1">
      <c r="B59" s="66" t="s">
        <v>270</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41" t="s">
        <v>271</v>
      </c>
      <c r="C63" s="241"/>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3" t="str">
        <f>IF(E$6&lt;=Reporting_Year,"Actuals","N/A")</f>
        <v>Actuals</v>
      </c>
      <c r="F65" s="153" t="str">
        <f>IF(F$6&lt;=Reporting_Year,"Actuals","N/A")</f>
        <v>N/A</v>
      </c>
      <c r="G65" s="153" t="str">
        <f>IF(G$6&lt;=Reporting_Year,"Actuals","N/A")</f>
        <v>N/A</v>
      </c>
      <c r="H65" s="153" t="str">
        <f>IF(H$6&lt;=Reporting_Year,"Actuals","N/A")</f>
        <v>N/A</v>
      </c>
      <c r="I65" s="153"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272</v>
      </c>
      <c r="C67" s="88"/>
      <c r="D67" s="75" t="s">
        <v>230</v>
      </c>
      <c r="E67" s="514">
        <f>E58</f>
        <v>1984</v>
      </c>
      <c r="F67" s="514">
        <f t="shared" ref="F67:I67" si="8">F58</f>
        <v>0</v>
      </c>
      <c r="G67" s="514">
        <f t="shared" si="8"/>
        <v>0</v>
      </c>
      <c r="H67" s="514">
        <f t="shared" si="8"/>
        <v>0</v>
      </c>
      <c r="I67" s="514">
        <f t="shared" si="8"/>
        <v>0</v>
      </c>
      <c r="J67"/>
      <c r="K67"/>
      <c r="L67"/>
      <c r="M67"/>
      <c r="N67"/>
    </row>
    <row r="68" spans="1:14" s="2" customFormat="1">
      <c r="A68"/>
      <c r="B68" s="2" t="s">
        <v>237</v>
      </c>
      <c r="C68" s="88"/>
      <c r="D68" s="75" t="s">
        <v>230</v>
      </c>
      <c r="E68" s="514">
        <v>1899.4131134199997</v>
      </c>
      <c r="F68" s="514">
        <f t="shared" ref="F68:I68" si="9">F24</f>
        <v>0</v>
      </c>
      <c r="G68" s="514">
        <f t="shared" si="9"/>
        <v>0</v>
      </c>
      <c r="H68" s="514">
        <f t="shared" si="9"/>
        <v>0</v>
      </c>
      <c r="I68" s="514">
        <f t="shared" si="9"/>
        <v>0</v>
      </c>
      <c r="J68"/>
      <c r="K68"/>
      <c r="L68"/>
      <c r="M68"/>
      <c r="N68"/>
    </row>
    <row r="69" spans="1:14" s="2" customFormat="1">
      <c r="A69"/>
      <c r="B69" s="349"/>
      <c r="C69" s="88"/>
      <c r="D69" s="75"/>
      <c r="E69" s="350"/>
      <c r="F69" s="350"/>
      <c r="G69" s="350"/>
      <c r="H69"/>
      <c r="I69"/>
      <c r="J69"/>
      <c r="K69"/>
      <c r="L69"/>
      <c r="M69"/>
      <c r="N69"/>
    </row>
    <row r="70" spans="1:14">
      <c r="B70" s="603"/>
    </row>
    <row r="71" spans="1:14">
      <c r="B71" s="130" t="s">
        <v>273</v>
      </c>
      <c r="D71" s="75" t="s">
        <v>230</v>
      </c>
      <c r="E71" s="514">
        <f>'R3 - Totex - Reconciliation'!D122-E83</f>
        <v>899</v>
      </c>
      <c r="F71" s="514">
        <f>'R3 - Totex - Reconciliation'!E122</f>
        <v>0</v>
      </c>
      <c r="G71" s="514">
        <f>'R3 - Totex - Reconciliation'!F122</f>
        <v>0</v>
      </c>
      <c r="H71" s="514">
        <f>'R3 - Totex - Reconciliation'!G122</f>
        <v>0</v>
      </c>
      <c r="I71" s="514">
        <f>'R3 - Totex - Reconciliation'!H122</f>
        <v>0</v>
      </c>
    </row>
    <row r="72" spans="1:14">
      <c r="B72" s="7" t="s">
        <v>274</v>
      </c>
      <c r="D72"/>
    </row>
    <row r="73" spans="1:14" ht="8.25" customHeight="1">
      <c r="B73"/>
      <c r="D73"/>
    </row>
    <row r="74" spans="1:14" ht="12.75" customHeight="1">
      <c r="B74" s="2" t="s">
        <v>275</v>
      </c>
      <c r="D74" s="75" t="s">
        <v>230</v>
      </c>
      <c r="E74" s="652">
        <v>16.17650043713239</v>
      </c>
      <c r="F74" s="652">
        <f>'R3 - Totex - Reconciliation'!E143</f>
        <v>0</v>
      </c>
      <c r="G74" s="652">
        <f>'R3 - Totex - Reconciliation'!F143</f>
        <v>0</v>
      </c>
      <c r="H74" s="652">
        <f>'R3 - Totex - Reconciliation'!G143</f>
        <v>0</v>
      </c>
      <c r="I74" s="652">
        <f>'R3 - Totex - Reconciliation'!H143</f>
        <v>0</v>
      </c>
    </row>
    <row r="75" spans="1:14">
      <c r="B75" t="s">
        <v>276</v>
      </c>
      <c r="D75" s="75" t="s">
        <v>230</v>
      </c>
      <c r="E75" s="204">
        <v>0</v>
      </c>
      <c r="F75" s="204"/>
      <c r="G75" s="204"/>
      <c r="H75" s="204"/>
      <c r="I75" s="204"/>
    </row>
    <row r="76" spans="1:14" ht="5.25" customHeight="1">
      <c r="B76"/>
      <c r="D76" s="88"/>
      <c r="E76" s="88"/>
      <c r="F76" s="88"/>
      <c r="G76" s="88"/>
      <c r="H76" s="88"/>
      <c r="I76" s="88"/>
      <c r="J76" s="88"/>
      <c r="L76" s="88"/>
      <c r="M76" s="88"/>
    </row>
    <row r="77" spans="1:14">
      <c r="B77" s="2" t="s">
        <v>277</v>
      </c>
      <c r="D77" s="75" t="s">
        <v>230</v>
      </c>
      <c r="E77" s="661">
        <v>915.17650043713229</v>
      </c>
      <c r="F77" s="661">
        <f>'R3 - Totex - Reconciliation'!E122+'R3 - Totex - Reconciliation'!E143+F75</f>
        <v>0</v>
      </c>
      <c r="G77" s="661">
        <f>'R3 - Totex - Reconciliation'!F122+'R3 - Totex - Reconciliation'!F143+G75</f>
        <v>0</v>
      </c>
      <c r="H77" s="661">
        <f>'R3 - Totex - Reconciliation'!G122+'R3 - Totex - Reconciliation'!G143+H75</f>
        <v>0</v>
      </c>
      <c r="I77" s="661">
        <f>'R3 - Totex - Reconciliation'!H122+'R3 - Totex - Reconciliation'!H143+I75</f>
        <v>0</v>
      </c>
    </row>
    <row r="78" spans="1:14">
      <c r="B78" s="7" t="s">
        <v>278</v>
      </c>
      <c r="D78" s="75" t="s">
        <v>230</v>
      </c>
      <c r="E78" s="538" t="str">
        <f>IF(ABS(E77-SUM(E71,E74))&lt;=materiality_threshold,"ok","error")</f>
        <v>ok</v>
      </c>
      <c r="F78" s="538" t="str">
        <f>IF(ABS(F77-SUM(F71,F74))&lt;=materiality_threshold,"ok","error")</f>
        <v>ok</v>
      </c>
      <c r="G78" s="538" t="str">
        <f>IF(ABS(G77-SUM(G71,G74))&lt;=materiality_threshold,"ok","error")</f>
        <v>ok</v>
      </c>
      <c r="H78" s="538" t="str">
        <f>IF(ABS(H77-SUM(H71,H74))&lt;=materiality_threshold,"ok","error")</f>
        <v>ok</v>
      </c>
      <c r="I78" s="538" t="str">
        <f>IF(ABS(I77-SUM(I71,I74))&lt;=materiality_threshold,"ok","error")</f>
        <v>ok</v>
      </c>
    </row>
    <row r="79" spans="1:14">
      <c r="B79"/>
      <c r="D79" s="75"/>
      <c r="E79" s="75"/>
      <c r="F79" s="75"/>
      <c r="G79" s="75"/>
      <c r="H79" s="75"/>
      <c r="I79" s="75"/>
    </row>
    <row r="80" spans="1:14">
      <c r="B80" s="130" t="s">
        <v>279</v>
      </c>
      <c r="D80" s="75" t="s">
        <v>230</v>
      </c>
      <c r="E80" s="606">
        <f>E67-E71</f>
        <v>1085</v>
      </c>
      <c r="F80" s="606">
        <f>F67-F71</f>
        <v>0</v>
      </c>
      <c r="G80" s="606">
        <f>G67-G71</f>
        <v>0</v>
      </c>
      <c r="H80" s="606">
        <f>H67-H71</f>
        <v>0</v>
      </c>
      <c r="I80" s="606">
        <f>I67-I71</f>
        <v>0</v>
      </c>
    </row>
    <row r="81" spans="2:12">
      <c r="B81" s="340" t="s">
        <v>280</v>
      </c>
      <c r="D81" s="75" t="s">
        <v>230</v>
      </c>
      <c r="E81" s="606">
        <f>E68-E77</f>
        <v>984.23661298286743</v>
      </c>
      <c r="F81" s="606">
        <f>F68-F77</f>
        <v>0</v>
      </c>
      <c r="G81" s="606">
        <f>G68-G77</f>
        <v>0</v>
      </c>
      <c r="H81" s="606">
        <f>H68-H77</f>
        <v>0</v>
      </c>
      <c r="I81" s="606">
        <f>I68-I77</f>
        <v>0</v>
      </c>
    </row>
    <row r="83" spans="2:12">
      <c r="B83" s="130" t="s">
        <v>281</v>
      </c>
      <c r="D83" s="75" t="s">
        <v>230</v>
      </c>
      <c r="E83" s="204">
        <v>400</v>
      </c>
      <c r="F83" s="204"/>
      <c r="G83" s="204"/>
      <c r="H83" s="204"/>
      <c r="I83" s="204"/>
    </row>
    <row r="84" spans="2:12" ht="16.149999999999999" customHeight="1">
      <c r="B84" s="7" t="s">
        <v>274</v>
      </c>
    </row>
    <row r="85" spans="2:12" ht="22.15" customHeight="1">
      <c r="B85" t="s">
        <v>282</v>
      </c>
      <c r="D85"/>
    </row>
    <row r="86" spans="2:12">
      <c r="B86" s="66" t="s">
        <v>283</v>
      </c>
      <c r="D86" s="75" t="s">
        <v>230</v>
      </c>
      <c r="E86" s="533">
        <v>9</v>
      </c>
      <c r="F86" s="533"/>
      <c r="G86" s="533"/>
      <c r="H86" s="533"/>
      <c r="I86" s="533"/>
    </row>
    <row r="87" spans="2:12">
      <c r="B87" s="710" t="s">
        <v>284</v>
      </c>
      <c r="D87" s="75" t="s">
        <v>230</v>
      </c>
      <c r="E87" s="204">
        <v>0</v>
      </c>
      <c r="F87" s="204"/>
      <c r="G87" s="204"/>
      <c r="H87" s="204"/>
      <c r="I87" s="204"/>
    </row>
    <row r="88" spans="2:12">
      <c r="B88" s="66" t="s">
        <v>285</v>
      </c>
      <c r="D88" s="75" t="s">
        <v>230</v>
      </c>
      <c r="E88" s="581">
        <f>SUM(E86:E87)</f>
        <v>9</v>
      </c>
      <c r="F88" s="581">
        <f t="shared" ref="F88:I88" si="10">SUM(F86:F87)</f>
        <v>0</v>
      </c>
      <c r="G88" s="581">
        <f t="shared" si="10"/>
        <v>0</v>
      </c>
      <c r="H88" s="581">
        <f t="shared" si="10"/>
        <v>0</v>
      </c>
      <c r="I88" s="581">
        <f t="shared" si="10"/>
        <v>0</v>
      </c>
    </row>
    <row r="89" spans="2:12" ht="5.25" customHeight="1">
      <c r="B89" s="66"/>
      <c r="D89" s="75"/>
      <c r="E89" s="75"/>
      <c r="F89" s="75"/>
      <c r="G89" s="75"/>
      <c r="H89" s="75"/>
      <c r="I89" s="75"/>
      <c r="L89" s="75"/>
    </row>
    <row r="90" spans="2:12">
      <c r="B90" s="2" t="s">
        <v>286</v>
      </c>
      <c r="D90" s="75" t="s">
        <v>230</v>
      </c>
      <c r="E90" s="535">
        <f>E83-E88</f>
        <v>391</v>
      </c>
      <c r="F90" s="535">
        <f t="shared" ref="F90:I90" si="11">F83-F88</f>
        <v>0</v>
      </c>
      <c r="G90" s="535">
        <f t="shared" si="11"/>
        <v>0</v>
      </c>
      <c r="H90" s="535">
        <f t="shared" si="11"/>
        <v>0</v>
      </c>
      <c r="I90" s="535">
        <f t="shared" si="11"/>
        <v>0</v>
      </c>
    </row>
    <row r="91" spans="2:12">
      <c r="B91"/>
      <c r="C91"/>
      <c r="D91"/>
    </row>
    <row r="92" spans="2:12">
      <c r="B92" s="783" t="s">
        <v>287</v>
      </c>
      <c r="C92" s="613"/>
      <c r="D92" s="614" t="s">
        <v>230</v>
      </c>
      <c r="E92" s="221">
        <f>E80-E83</f>
        <v>685</v>
      </c>
      <c r="F92" s="221">
        <f t="shared" ref="F92:I92" si="12">F80-F83</f>
        <v>0</v>
      </c>
      <c r="G92" s="221">
        <f t="shared" si="12"/>
        <v>0</v>
      </c>
      <c r="H92" s="221">
        <f t="shared" si="12"/>
        <v>0</v>
      </c>
      <c r="I92" s="221">
        <f t="shared" si="12"/>
        <v>0</v>
      </c>
    </row>
    <row r="93" spans="2:12">
      <c r="B93" s="608" t="s">
        <v>288</v>
      </c>
      <c r="D93" s="75" t="s">
        <v>230</v>
      </c>
      <c r="E93" s="535">
        <f>E81-E90</f>
        <v>593.23661298286743</v>
      </c>
      <c r="F93" s="535">
        <f t="shared" ref="F93:I93" si="13">F81-F90</f>
        <v>0</v>
      </c>
      <c r="G93" s="535">
        <f t="shared" si="13"/>
        <v>0</v>
      </c>
      <c r="H93" s="535">
        <f t="shared" si="13"/>
        <v>0</v>
      </c>
      <c r="I93" s="535">
        <f t="shared" si="13"/>
        <v>0</v>
      </c>
    </row>
    <row r="94" spans="2:12">
      <c r="B94" s="608"/>
      <c r="D94" s="75"/>
      <c r="E94" s="516"/>
      <c r="F94" s="516"/>
      <c r="G94" s="516"/>
      <c r="H94" s="516"/>
      <c r="I94" s="536"/>
    </row>
    <row r="95" spans="2:12">
      <c r="B95" s="609" t="s">
        <v>289</v>
      </c>
      <c r="D95" s="75" t="s">
        <v>230</v>
      </c>
      <c r="E95" s="515">
        <f>'R5 - Financing'!D9</f>
        <v>316.35346812999995</v>
      </c>
      <c r="F95" s="515"/>
      <c r="G95" s="515"/>
      <c r="H95" s="515"/>
      <c r="I95" s="515"/>
    </row>
    <row r="96" spans="2:12">
      <c r="B96" s="610" t="s">
        <v>290</v>
      </c>
      <c r="D96" s="75" t="s">
        <v>230</v>
      </c>
      <c r="E96" s="515">
        <v>330.48481092743475</v>
      </c>
      <c r="F96" s="515"/>
      <c r="G96" s="515"/>
      <c r="H96" s="515"/>
      <c r="I96" s="515"/>
    </row>
    <row r="97" spans="2:9">
      <c r="B97" s="605" t="s">
        <v>278</v>
      </c>
      <c r="D97" s="75" t="s">
        <v>230</v>
      </c>
      <c r="E97" s="535">
        <f>E95-E96</f>
        <v>-14.131342797434797</v>
      </c>
      <c r="F97" s="535">
        <f t="shared" ref="F97" si="14">F95-F96</f>
        <v>0</v>
      </c>
      <c r="G97" s="535">
        <f t="shared" ref="G97" si="15">G95-G96</f>
        <v>0</v>
      </c>
      <c r="H97" s="535">
        <f t="shared" ref="H97" si="16">H95-H96</f>
        <v>0</v>
      </c>
      <c r="I97" s="611">
        <f t="shared" ref="I97" si="17">I95-I96</f>
        <v>0</v>
      </c>
    </row>
    <row r="98" spans="2:9">
      <c r="B98" s="608"/>
      <c r="D98" s="75"/>
      <c r="E98" s="516"/>
      <c r="F98" s="516"/>
      <c r="G98" s="516"/>
      <c r="H98" s="516"/>
      <c r="I98" s="536"/>
    </row>
    <row r="99" spans="2:9">
      <c r="B99" s="609" t="s">
        <v>291</v>
      </c>
      <c r="D99" s="75" t="s">
        <v>230</v>
      </c>
      <c r="E99" s="204">
        <v>462</v>
      </c>
      <c r="F99" s="204"/>
      <c r="G99" s="204"/>
      <c r="H99" s="204"/>
      <c r="I99" s="204"/>
    </row>
    <row r="100" spans="2:9">
      <c r="B100" s="609" t="s">
        <v>292</v>
      </c>
      <c r="D100" s="75" t="s">
        <v>230</v>
      </c>
      <c r="E100" s="204">
        <v>-379</v>
      </c>
      <c r="F100" s="204"/>
      <c r="G100" s="204"/>
      <c r="H100" s="204"/>
      <c r="I100" s="204"/>
    </row>
    <row r="101" spans="2:9">
      <c r="B101" s="609" t="s">
        <v>293</v>
      </c>
      <c r="D101" s="75" t="s">
        <v>230</v>
      </c>
      <c r="E101" s="221">
        <f>SUM(E99:E100)</f>
        <v>83</v>
      </c>
      <c r="F101" s="221">
        <f t="shared" ref="F101:I101" si="18">SUM(F99:F100)</f>
        <v>0</v>
      </c>
      <c r="G101" s="221">
        <f t="shared" si="18"/>
        <v>0</v>
      </c>
      <c r="H101" s="221">
        <f t="shared" si="18"/>
        <v>0</v>
      </c>
      <c r="I101" s="221">
        <f t="shared" si="18"/>
        <v>0</v>
      </c>
    </row>
    <row r="102" spans="2:9">
      <c r="B102" s="610" t="s">
        <v>294</v>
      </c>
      <c r="D102" s="75" t="s">
        <v>230</v>
      </c>
      <c r="E102" s="515">
        <v>102.20298249109956</v>
      </c>
      <c r="F102" s="515"/>
      <c r="G102" s="515"/>
      <c r="H102" s="515"/>
      <c r="I102" s="515"/>
    </row>
    <row r="103" spans="2:9">
      <c r="B103" s="605" t="s">
        <v>278</v>
      </c>
      <c r="D103" s="75" t="s">
        <v>230</v>
      </c>
      <c r="E103" s="535">
        <f>SUM(E101:E102)</f>
        <v>185.20298249109956</v>
      </c>
      <c r="F103" s="535">
        <f t="shared" ref="F103:I103" si="19">SUM(F101:F102)</f>
        <v>0</v>
      </c>
      <c r="G103" s="535">
        <f t="shared" si="19"/>
        <v>0</v>
      </c>
      <c r="H103" s="535">
        <f t="shared" si="19"/>
        <v>0</v>
      </c>
      <c r="I103" s="535">
        <f t="shared" si="19"/>
        <v>0</v>
      </c>
    </row>
    <row r="104" spans="2:9">
      <c r="B104" s="534"/>
      <c r="D104" s="75"/>
      <c r="E104" s="516"/>
      <c r="F104" s="516"/>
      <c r="G104" s="516"/>
      <c r="H104" s="516"/>
      <c r="I104" s="536"/>
    </row>
    <row r="105" spans="2:9">
      <c r="B105" s="537" t="s">
        <v>295</v>
      </c>
      <c r="D105" s="75" t="s">
        <v>230</v>
      </c>
      <c r="E105" s="221">
        <f>IFERROR(E92-E95-E99,0)</f>
        <v>-93.353468129999953</v>
      </c>
      <c r="F105" s="221">
        <f t="shared" ref="F105:I105" si="20">IFERROR(F92-F95-F99,0)</f>
        <v>0</v>
      </c>
      <c r="G105" s="221">
        <f t="shared" si="20"/>
        <v>0</v>
      </c>
      <c r="H105" s="221">
        <f t="shared" si="20"/>
        <v>0</v>
      </c>
      <c r="I105" s="221">
        <f t="shared" si="20"/>
        <v>0</v>
      </c>
    </row>
    <row r="106" spans="2:9">
      <c r="B106" s="607" t="s">
        <v>296</v>
      </c>
      <c r="D106" s="75" t="s">
        <v>230</v>
      </c>
      <c r="E106" s="221">
        <f>IFERROR(E93-E96-E102,0)</f>
        <v>160.54881956433312</v>
      </c>
      <c r="F106" s="221">
        <f t="shared" ref="F106:I106" si="21">IFERROR(F93-F96-F102,0)</f>
        <v>0</v>
      </c>
      <c r="G106" s="221">
        <f t="shared" si="21"/>
        <v>0</v>
      </c>
      <c r="H106" s="221">
        <f t="shared" si="21"/>
        <v>0</v>
      </c>
      <c r="I106" s="221">
        <f t="shared" si="21"/>
        <v>0</v>
      </c>
    </row>
    <row r="107" spans="2:9">
      <c r="B107" s="605" t="s">
        <v>278</v>
      </c>
      <c r="D107" s="75" t="s">
        <v>230</v>
      </c>
      <c r="E107" s="535">
        <f>IFERROR(E105-E106,0)</f>
        <v>-253.90228769433307</v>
      </c>
      <c r="F107" s="535">
        <f t="shared" ref="F107:I107" si="22">IFERROR(F105-F106,0)</f>
        <v>0</v>
      </c>
      <c r="G107" s="535">
        <f t="shared" si="22"/>
        <v>0</v>
      </c>
      <c r="H107" s="535">
        <f t="shared" si="22"/>
        <v>0</v>
      </c>
      <c r="I107" s="535">
        <f t="shared" si="22"/>
        <v>0</v>
      </c>
    </row>
    <row r="108" spans="2:9">
      <c r="B108" s="534"/>
      <c r="C108"/>
      <c r="D108"/>
      <c r="I108" s="361"/>
    </row>
    <row r="109" spans="2:9">
      <c r="B109" s="539"/>
      <c r="C109" s="540"/>
      <c r="D109" s="541"/>
      <c r="E109" s="542"/>
      <c r="F109" s="541"/>
      <c r="G109" s="541"/>
      <c r="H109" s="541"/>
      <c r="I109" s="543"/>
    </row>
    <row r="110" spans="2:9">
      <c r="B110"/>
      <c r="D110"/>
    </row>
    <row r="111" spans="2:9">
      <c r="B111"/>
      <c r="C111"/>
      <c r="D111"/>
    </row>
    <row r="112" spans="2:9">
      <c r="B112" s="351"/>
      <c r="D112"/>
    </row>
    <row r="113" spans="2:9">
      <c r="B113" s="6" t="s">
        <v>297</v>
      </c>
      <c r="C113"/>
      <c r="D113"/>
    </row>
    <row r="114" spans="2:9">
      <c r="B114" s="849"/>
      <c r="C114" s="850"/>
      <c r="D114" s="850"/>
      <c r="E114" s="850"/>
      <c r="F114" s="850"/>
      <c r="G114" s="784"/>
      <c r="H114" s="784"/>
      <c r="I114" s="785"/>
    </row>
    <row r="115" spans="2:9">
      <c r="B115" s="362"/>
      <c r="C115" s="363"/>
      <c r="D115" s="364"/>
      <c r="E115" s="337"/>
      <c r="F115" s="337"/>
      <c r="G115" s="337"/>
      <c r="H115" s="337"/>
      <c r="I115" s="365"/>
    </row>
    <row r="116" spans="2:9">
      <c r="B116" s="362"/>
      <c r="C116" s="363"/>
      <c r="D116" s="364"/>
      <c r="E116" s="337"/>
      <c r="F116" s="337"/>
      <c r="G116" s="337"/>
      <c r="H116" s="337"/>
      <c r="I116" s="365"/>
    </row>
    <row r="117" spans="2:9">
      <c r="B117" s="362"/>
      <c r="C117" s="363"/>
      <c r="D117" s="364"/>
      <c r="E117" s="337"/>
      <c r="F117" s="337"/>
      <c r="G117" s="337"/>
      <c r="H117" s="337"/>
      <c r="I117" s="365"/>
    </row>
    <row r="118" spans="2:9">
      <c r="B118" s="362"/>
      <c r="C118" s="363"/>
      <c r="D118" s="364"/>
      <c r="E118" s="337"/>
      <c r="F118" s="337"/>
      <c r="G118" s="337"/>
      <c r="H118" s="337"/>
      <c r="I118" s="365"/>
    </row>
    <row r="119" spans="2:9">
      <c r="B119" s="366"/>
      <c r="C119" s="582"/>
      <c r="D119" s="583"/>
      <c r="E119" s="584"/>
      <c r="F119" s="584"/>
      <c r="G119" s="584"/>
      <c r="H119" s="584"/>
      <c r="I119" s="367"/>
    </row>
    <row r="121" spans="2:9" ht="13.5" customHeight="1"/>
    <row r="127" spans="2:9" ht="15" customHeight="1"/>
    <row r="141" ht="91.5" customHeight="1"/>
  </sheetData>
  <mergeCells count="1">
    <mergeCell ref="B114:F114"/>
  </mergeCells>
  <conditionalFormatting sqref="E59:I59">
    <cfRule type="expression" dxfId="97" priority="56">
      <formula>E$5="Forecast"</formula>
    </cfRule>
  </conditionalFormatting>
  <conditionalFormatting sqref="C35">
    <cfRule type="expression" dxfId="96" priority="52">
      <formula>C$5="Forecast"</formula>
    </cfRule>
  </conditionalFormatting>
  <conditionalFormatting sqref="E86:I86 E71:I71 E67:I69">
    <cfRule type="expression" dxfId="95" priority="48">
      <formula>D$12="N/A"</formula>
    </cfRule>
  </conditionalFormatting>
  <conditionalFormatting sqref="E65:H65">
    <cfRule type="expression" dxfId="94" priority="22">
      <formula>AND(E$5="Actuals",F$5="N/A")</formula>
    </cfRule>
  </conditionalFormatting>
  <conditionalFormatting sqref="I65">
    <cfRule type="expression" dxfId="93" priority="234">
      <formula>AND(I$5="Actuals",#REF!="N/A")</formula>
    </cfRule>
  </conditionalFormatting>
  <conditionalFormatting sqref="E7:I7">
    <cfRule type="expression" dxfId="92" priority="21">
      <formula>AND(E$5="Actuals",F$5="Forecast")</formula>
    </cfRule>
  </conditionalFormatting>
  <conditionalFormatting sqref="E6:H6">
    <cfRule type="expression" dxfId="91" priority="19">
      <formula>AND(E$5="Actuals",F$5="Forecast")</formula>
    </cfRule>
  </conditionalFormatting>
  <conditionalFormatting sqref="I6">
    <cfRule type="expression" dxfId="90" priority="20">
      <formula>AND(I$5="Actuals",#REF!="Forecast")</formula>
    </cfRule>
  </conditionalFormatting>
  <conditionalFormatting sqref="E27:I35">
    <cfRule type="expression" priority="18">
      <formula>$E6="Forecast"</formula>
    </cfRule>
  </conditionalFormatting>
  <conditionalFormatting sqref="E27:I35 E39:I54">
    <cfRule type="expression" priority="17">
      <formula>E$5="Forecast"</formula>
    </cfRule>
  </conditionalFormatting>
  <conditionalFormatting sqref="E20:I20 E65:I65 E83:I83 E71:I71 E67:I68 E105:I106 E86:I88 E90:I90 E92:I93 E95:I97 E74:I74 E78:I78 E99:I103 E13:I18 E24:I24 E27:I36 E39:I55 E57:I59">
    <cfRule type="expression" dxfId="89" priority="16">
      <formula>E$5="Forecast"</formula>
    </cfRule>
  </conditionalFormatting>
  <conditionalFormatting sqref="E107:I107">
    <cfRule type="expression" dxfId="88" priority="14">
      <formula>E$5="Forecast"</formula>
    </cfRule>
  </conditionalFormatting>
  <conditionalFormatting sqref="E77:I77">
    <cfRule type="expression" dxfId="87" priority="11">
      <formula>E$5="Forecast"</formula>
    </cfRule>
  </conditionalFormatting>
  <conditionalFormatting sqref="E77:I77">
    <cfRule type="expression" dxfId="86" priority="12">
      <formula>D$12="N/A"</formula>
    </cfRule>
  </conditionalFormatting>
  <conditionalFormatting sqref="E75:I75">
    <cfRule type="expression" dxfId="85" priority="8">
      <formula>E$5="Forecast"</formula>
    </cfRule>
  </conditionalFormatting>
  <conditionalFormatting sqref="E24:I24">
    <cfRule type="expression" priority="7">
      <formula>$E3="Forecast"</formula>
    </cfRule>
  </conditionalFormatting>
  <conditionalFormatting sqref="E24:I24">
    <cfRule type="expression" priority="6">
      <formula>E$5="Forecast"</formula>
    </cfRule>
  </conditionalFormatting>
  <conditionalFormatting sqref="E24">
    <cfRule type="expression" priority="5">
      <formula>$E3="Forecast"</formula>
    </cfRule>
  </conditionalFormatting>
  <conditionalFormatting sqref="E24">
    <cfRule type="expression" priority="4">
      <formula>E$5="Forecast"</formula>
    </cfRule>
  </conditionalFormatting>
  <conditionalFormatting sqref="E39:E54">
    <cfRule type="expression" priority="3">
      <formula>$E18="Forecast"</formula>
    </cfRule>
  </conditionalFormatting>
  <conditionalFormatting sqref="E58">
    <cfRule type="expression" priority="2">
      <formula>E$5="Forecast"</formula>
    </cfRule>
  </conditionalFormatting>
  <conditionalFormatting sqref="E58">
    <cfRule type="expression" priority="1">
      <formula>$E37="Forecast"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73" zoomScaleNormal="80" workbookViewId="0">
      <pane ySplit="7" topLeftCell="A8" activePane="bottomLeft" state="frozen"/>
      <selection activeCell="B1" sqref="B1"/>
      <selection pane="bottomLeft" activeCell="M17" sqref="M17"/>
    </sheetView>
  </sheetViews>
  <sheetFormatPr defaultColWidth="9.1171875" defaultRowHeight="12.4"/>
  <cols>
    <col min="1" max="1" width="8.3515625" style="2" customWidth="1"/>
    <col min="2" max="2" width="64.46875" style="66" customWidth="1"/>
    <col min="3" max="3" width="13.3515625" style="69" customWidth="1"/>
    <col min="4" max="8" width="11.1171875" style="2" customWidth="1"/>
    <col min="9" max="10" width="12.87890625" style="2" customWidth="1"/>
    <col min="11" max="16384" width="9.1171875" style="2"/>
  </cols>
  <sheetData>
    <row r="1" spans="1:16" customFormat="1" ht="20.65">
      <c r="A1" s="777" t="s">
        <v>298</v>
      </c>
      <c r="B1" s="396"/>
      <c r="C1" s="403"/>
      <c r="D1" s="398"/>
      <c r="E1" s="398"/>
      <c r="F1" s="398"/>
      <c r="G1" s="398"/>
      <c r="H1" s="398"/>
      <c r="I1" s="399"/>
      <c r="J1" s="399"/>
      <c r="K1" s="786"/>
    </row>
    <row r="2" spans="1:16" customFormat="1" ht="20.65">
      <c r="A2" s="295" t="str">
        <f>Licensee</f>
        <v>Cadent-NW</v>
      </c>
      <c r="B2" s="298"/>
      <c r="C2" s="68"/>
      <c r="D2" s="16"/>
      <c r="E2" s="16"/>
      <c r="F2" s="16"/>
      <c r="G2" s="16"/>
      <c r="H2" s="16"/>
      <c r="I2" s="15"/>
      <c r="J2" s="15"/>
      <c r="K2" s="65"/>
    </row>
    <row r="3" spans="1:16" customFormat="1" ht="20.65">
      <c r="A3" s="290">
        <f>Reporting_Year</f>
        <v>2022</v>
      </c>
      <c r="B3" s="579"/>
      <c r="C3" s="580"/>
      <c r="D3" s="577"/>
      <c r="E3" s="577"/>
      <c r="F3" s="577"/>
      <c r="G3" s="577"/>
      <c r="H3" s="577"/>
      <c r="I3" s="578"/>
      <c r="J3" s="578"/>
      <c r="K3" s="119"/>
    </row>
    <row r="4" spans="1:16" ht="12.75" customHeight="1"/>
    <row r="5" spans="1:16" ht="30" customHeight="1">
      <c r="D5" s="153" t="str">
        <f>IF(D6&lt;=Reporting_Year,"Actuals","Forecast")</f>
        <v>Actuals</v>
      </c>
      <c r="E5" s="153" t="str">
        <f t="shared" ref="E5:I5" si="0">IF(E6&lt;=Reporting_Year,"Actuals","Forecast")</f>
        <v>Forecast</v>
      </c>
      <c r="F5" s="153" t="str">
        <f t="shared" si="0"/>
        <v>Forecast</v>
      </c>
      <c r="G5" s="153" t="str">
        <f t="shared" si="0"/>
        <v>Forecast</v>
      </c>
      <c r="H5" s="153" t="str">
        <f t="shared" si="0"/>
        <v>Forecast</v>
      </c>
      <c r="I5" s="153"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12" t="s">
        <v>299</v>
      </c>
      <c r="C8" s="128"/>
      <c r="D8" s="128"/>
      <c r="E8" s="128"/>
      <c r="F8" s="128"/>
      <c r="G8" s="128"/>
      <c r="H8" s="129"/>
      <c r="I8" s="129"/>
      <c r="J8" s="129"/>
      <c r="K8" s="66"/>
    </row>
    <row r="9" spans="1:16">
      <c r="B9" s="775" t="s">
        <v>300</v>
      </c>
      <c r="C9" s="776"/>
      <c r="D9" s="776"/>
      <c r="E9" s="776"/>
      <c r="F9" s="776"/>
      <c r="G9" s="776"/>
      <c r="H9" s="776"/>
      <c r="I9" s="776"/>
      <c r="J9" s="776"/>
      <c r="K9" s="66"/>
      <c r="L9" s="66"/>
    </row>
    <row r="11" spans="1:16">
      <c r="B11" s="369" t="s">
        <v>301</v>
      </c>
      <c r="C11" s="368"/>
      <c r="D11" s="41"/>
      <c r="E11" s="41"/>
      <c r="F11" s="41"/>
      <c r="G11" s="41"/>
      <c r="H11" s="41"/>
      <c r="I11" s="41"/>
      <c r="J11" s="41"/>
      <c r="K11" s="66"/>
    </row>
    <row r="12" spans="1:16">
      <c r="B12" s="155"/>
      <c r="D12" s="1"/>
      <c r="E12" s="1"/>
      <c r="F12" s="1"/>
      <c r="G12" s="1"/>
      <c r="H12" s="1"/>
      <c r="I12" s="1"/>
      <c r="J12" s="1"/>
      <c r="K12" s="66"/>
    </row>
    <row r="13" spans="1:16">
      <c r="B13" s="88" t="s">
        <v>302</v>
      </c>
      <c r="C13" s="38" t="str">
        <f>Data!$C$9</f>
        <v>£m 18/19</v>
      </c>
      <c r="D13" s="425">
        <v>123.01106767593465</v>
      </c>
      <c r="E13" s="425">
        <v>144.90514281270137</v>
      </c>
      <c r="F13" s="425">
        <v>137.41092664066272</v>
      </c>
      <c r="G13" s="425">
        <v>120.0740873066655</v>
      </c>
      <c r="H13" s="425">
        <v>112.08469170846067</v>
      </c>
      <c r="I13" s="55">
        <f>SUM(D13:INDEX(D13:H13,0,MATCH('RFPR cover'!$C$9,$D$6:$H$6,0)))</f>
        <v>123.01106767593465</v>
      </c>
      <c r="J13" s="56">
        <f>SUM(D13:H13)</f>
        <v>637.485916144425</v>
      </c>
      <c r="K13" s="66"/>
    </row>
    <row r="14" spans="1:16" ht="17.25" customHeight="1">
      <c r="B14" s="67" t="s">
        <v>303</v>
      </c>
      <c r="C14" s="38" t="str">
        <f>Data!$C$9</f>
        <v>£m 18/19</v>
      </c>
      <c r="D14" s="425">
        <v>130.01230376321772</v>
      </c>
      <c r="E14" s="425">
        <v>135.52220987369736</v>
      </c>
      <c r="F14" s="425">
        <v>131.93311050722474</v>
      </c>
      <c r="G14" s="425">
        <v>119.31301214556277</v>
      </c>
      <c r="H14" s="425">
        <v>114.58152095343569</v>
      </c>
      <c r="I14" s="53">
        <f>SUM(D14:INDEX(D14:H14,0,MATCH('RFPR cover'!$C$9,$D$6:$H$6,0)))</f>
        <v>130.01230376321772</v>
      </c>
      <c r="J14" s="54">
        <f>SUM(D14:H14)</f>
        <v>631.36215724313831</v>
      </c>
      <c r="K14" s="36"/>
    </row>
    <row r="15" spans="1:16">
      <c r="B15" s="243" t="s">
        <v>304</v>
      </c>
      <c r="C15" s="38" t="str">
        <f>Data!$C$9</f>
        <v>£m 18/19</v>
      </c>
      <c r="D15" s="637">
        <f>D14-D13</f>
        <v>7.0012360872830612</v>
      </c>
      <c r="E15" s="637">
        <f t="shared" ref="E15:J15" si="2">E14-E13</f>
        <v>-9.3829329390040073</v>
      </c>
      <c r="F15" s="637">
        <f t="shared" si="2"/>
        <v>-5.4778161334379831</v>
      </c>
      <c r="G15" s="637">
        <f t="shared" si="2"/>
        <v>-0.76107516110273821</v>
      </c>
      <c r="H15" s="637">
        <f t="shared" si="2"/>
        <v>2.496829244975018</v>
      </c>
      <c r="I15" s="50">
        <f t="shared" si="2"/>
        <v>7.0012360872830612</v>
      </c>
      <c r="J15" s="52">
        <f t="shared" si="2"/>
        <v>-6.123758901286692</v>
      </c>
      <c r="K15" s="804"/>
      <c r="L15" s="804"/>
      <c r="M15" s="804"/>
      <c r="N15"/>
      <c r="O15"/>
      <c r="P15"/>
    </row>
    <row r="16" spans="1:16" ht="13.15">
      <c r="B16" s="243"/>
      <c r="C16" s="38"/>
      <c r="D16" s="32"/>
      <c r="E16" s="32"/>
      <c r="F16" s="32"/>
      <c r="G16" s="32"/>
      <c r="H16" s="32"/>
      <c r="I16" s="32"/>
      <c r="J16" s="32"/>
      <c r="K16" s="37"/>
      <c r="L16" s="37"/>
      <c r="M16" s="37"/>
      <c r="N16"/>
      <c r="O16"/>
      <c r="P16"/>
    </row>
    <row r="17" spans="2:16">
      <c r="B17" s="66" t="s">
        <v>305</v>
      </c>
      <c r="C17" s="69" t="s">
        <v>194</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306</v>
      </c>
      <c r="C19" s="38" t="str">
        <f>Data!$C$9</f>
        <v>£m 18/19</v>
      </c>
      <c r="D19" s="637">
        <f>D15*D17</f>
        <v>3.5006180436415306</v>
      </c>
      <c r="E19" s="637">
        <f t="shared" ref="E19:H19" si="3">E15*E17</f>
        <v>-4.6914664695020036</v>
      </c>
      <c r="F19" s="637">
        <f t="shared" si="3"/>
        <v>-2.7389080667189916</v>
      </c>
      <c r="G19" s="637">
        <f t="shared" si="3"/>
        <v>-0.3805375805513691</v>
      </c>
      <c r="H19" s="637">
        <f t="shared" si="3"/>
        <v>1.248414622487509</v>
      </c>
      <c r="I19" s="46">
        <f>SUM(D19:INDEX(D19:H19,0,MATCH('RFPR cover'!$C$9,$D$6:$H$6,0)))</f>
        <v>3.5006180436415306</v>
      </c>
      <c r="J19" s="48">
        <f>SUM(D19:H19)</f>
        <v>-3.0618794506433247</v>
      </c>
      <c r="K19"/>
      <c r="L19"/>
      <c r="M19"/>
      <c r="N19"/>
      <c r="O19"/>
      <c r="P19"/>
    </row>
    <row r="20" spans="2:16">
      <c r="B20" s="66" t="s">
        <v>307</v>
      </c>
      <c r="C20" s="38" t="str">
        <f>Data!$C$9</f>
        <v>£m 18/19</v>
      </c>
      <c r="D20" s="637">
        <f>D15*(1-D17)</f>
        <v>3.5006180436415306</v>
      </c>
      <c r="E20" s="637">
        <f t="shared" ref="E20:H20" si="4">E15*(1-E17)</f>
        <v>-4.6914664695020036</v>
      </c>
      <c r="F20" s="637">
        <f t="shared" si="4"/>
        <v>-2.7389080667189916</v>
      </c>
      <c r="G20" s="637">
        <f t="shared" si="4"/>
        <v>-0.3805375805513691</v>
      </c>
      <c r="H20" s="637">
        <f t="shared" si="4"/>
        <v>1.248414622487509</v>
      </c>
      <c r="I20" s="43">
        <f>SUM(D20:INDEX(D20:H20,0,MATCH('RFPR cover'!$C$9,$D$6:$H$6,0)))</f>
        <v>3.5006180436415306</v>
      </c>
      <c r="J20" s="45">
        <f>SUM(D20:H20)</f>
        <v>-3.0618794506433247</v>
      </c>
      <c r="L20"/>
      <c r="M20"/>
      <c r="N20"/>
      <c r="O20"/>
      <c r="P20"/>
    </row>
    <row r="21" spans="2:16">
      <c r="C21" s="66"/>
      <c r="D21" s="66"/>
      <c r="E21" s="66"/>
      <c r="F21" s="66"/>
      <c r="G21" s="66"/>
      <c r="H21" s="66"/>
      <c r="I21" s="66"/>
      <c r="J21" s="66"/>
      <c r="L21"/>
      <c r="M21"/>
      <c r="N21"/>
      <c r="O21"/>
      <c r="P21"/>
    </row>
    <row r="22" spans="2:16">
      <c r="B22" s="155" t="s">
        <v>308</v>
      </c>
      <c r="L22"/>
      <c r="M22"/>
    </row>
    <row r="23" spans="2:16">
      <c r="B23" s="376" t="s">
        <v>309</v>
      </c>
      <c r="C23" s="38" t="str">
        <f>Data!$C$9</f>
        <v>£m 18/19</v>
      </c>
      <c r="D23" s="206">
        <v>0.59885566520016709</v>
      </c>
      <c r="E23" s="206">
        <v>-1.590521506884444</v>
      </c>
      <c r="F23" s="206">
        <v>-1.5867827189575368</v>
      </c>
      <c r="G23" s="206">
        <v>-1.592621919057754</v>
      </c>
      <c r="H23" s="206">
        <v>-2.794372175797585</v>
      </c>
      <c r="I23" s="43">
        <f>SUM(D23:INDEX(D23:H23,0,MATCH('RFPR cover'!$C$9,$D$6:$H$6,0)))</f>
        <v>0.59885566520016709</v>
      </c>
      <c r="J23" s="45">
        <f>SUM(D23:H23)</f>
        <v>-6.9654426554971529</v>
      </c>
      <c r="L23"/>
      <c r="M23"/>
      <c r="N23"/>
      <c r="O23"/>
      <c r="P23"/>
    </row>
    <row r="24" spans="2:16">
      <c r="B24" s="376" t="s">
        <v>310</v>
      </c>
      <c r="C24" s="38" t="str">
        <f>Data!$C$9</f>
        <v>£m 18/19</v>
      </c>
      <c r="D24" s="206">
        <v>-0.27878301781202286</v>
      </c>
      <c r="E24" s="206">
        <v>0.8305707627461667</v>
      </c>
      <c r="F24" s="206">
        <v>1.8009790662410294</v>
      </c>
      <c r="G24" s="206">
        <v>-1.3124071539670927</v>
      </c>
      <c r="H24" s="206">
        <v>-0.99994921848791174</v>
      </c>
      <c r="I24" s="43">
        <f>SUM(D24:INDEX(D24:H24,0,MATCH('RFPR cover'!$C$9,$D$6:$H$6,0)))</f>
        <v>-0.27878301781202286</v>
      </c>
      <c r="J24" s="45">
        <f t="shared" ref="J24" si="5">SUM(D24:H24)</f>
        <v>4.0410438720168695E-2</v>
      </c>
      <c r="L24"/>
      <c r="M24"/>
      <c r="N24"/>
      <c r="O24"/>
      <c r="P24"/>
    </row>
    <row r="25" spans="2:16">
      <c r="B25" s="155" t="s">
        <v>311</v>
      </c>
      <c r="C25" s="38" t="str">
        <f>Data!$C$9</f>
        <v>£m 18/19</v>
      </c>
      <c r="D25" s="637">
        <f>SUM(D23:D24)</f>
        <v>0.32007264738814423</v>
      </c>
      <c r="E25" s="637">
        <f t="shared" ref="E25:H25" si="6">SUM(E23:E24)</f>
        <v>-0.75995074413827735</v>
      </c>
      <c r="F25" s="637">
        <f t="shared" si="6"/>
        <v>0.21419634728349268</v>
      </c>
      <c r="G25" s="637">
        <f t="shared" si="6"/>
        <v>-2.9050290730248465</v>
      </c>
      <c r="H25" s="637">
        <f t="shared" si="6"/>
        <v>-3.7943213942854968</v>
      </c>
      <c r="I25" s="43">
        <f>SUM(D25:INDEX(D25:H25,0,MATCH('RFPR cover'!$C$9,$D$6:$H$6,0)))</f>
        <v>0.32007264738814423</v>
      </c>
      <c r="J25" s="45">
        <f t="shared" ref="J25" si="7">SUM(D25:H25)</f>
        <v>-6.9250322167769838</v>
      </c>
      <c r="L25"/>
      <c r="M25"/>
      <c r="N25"/>
      <c r="O25"/>
      <c r="P25"/>
    </row>
    <row r="26" spans="2:16">
      <c r="B26" s="155"/>
      <c r="L26"/>
      <c r="M26"/>
      <c r="N26"/>
      <c r="O26"/>
      <c r="P26"/>
    </row>
    <row r="27" spans="2:16">
      <c r="B27" s="155" t="s">
        <v>312</v>
      </c>
      <c r="L27"/>
      <c r="M27"/>
      <c r="N27"/>
      <c r="O27"/>
      <c r="P27"/>
    </row>
    <row r="28" spans="2:16">
      <c r="B28" s="376" t="s">
        <v>309</v>
      </c>
      <c r="C28" s="38" t="str">
        <f>Data!$C$9</f>
        <v>£m 18/19</v>
      </c>
      <c r="D28" s="206">
        <v>0.67086153005033133</v>
      </c>
      <c r="E28" s="206">
        <v>-0.17425373811832645</v>
      </c>
      <c r="F28" s="206">
        <v>-0.17425373811832645</v>
      </c>
      <c r="G28" s="206">
        <v>-0.17425373811832645</v>
      </c>
      <c r="H28" s="206">
        <v>-0.14810031569535198</v>
      </c>
      <c r="I28" s="43">
        <f>SUM(D28:INDEX(D28:H28,0,MATCH('RFPR cover'!$C$9,$D$6:$H$6,0)))</f>
        <v>0.67086153005033133</v>
      </c>
      <c r="J28" s="45">
        <f>SUM(D28:H28)</f>
        <v>0</v>
      </c>
      <c r="L28"/>
      <c r="M28"/>
      <c r="N28"/>
      <c r="O28"/>
      <c r="P28"/>
    </row>
    <row r="29" spans="2:16">
      <c r="B29" s="376" t="s">
        <v>310</v>
      </c>
      <c r="C29" s="38" t="str">
        <f>Data!$C$9</f>
        <v>£m 18/19</v>
      </c>
      <c r="D29" s="206">
        <v>0</v>
      </c>
      <c r="E29" s="206">
        <v>0</v>
      </c>
      <c r="F29" s="206">
        <v>0</v>
      </c>
      <c r="G29" s="206">
        <v>0</v>
      </c>
      <c r="H29" s="206">
        <v>0</v>
      </c>
      <c r="I29" s="43">
        <f>SUM(D29:INDEX(D29:H29,0,MATCH('RFPR cover'!$C$9,$D$6:$H$6,0)))</f>
        <v>0</v>
      </c>
      <c r="J29" s="45">
        <f t="shared" ref="J29:J30" si="8">SUM(D29:H29)</f>
        <v>0</v>
      </c>
      <c r="L29"/>
      <c r="M29"/>
      <c r="N29"/>
      <c r="O29"/>
      <c r="P29"/>
    </row>
    <row r="30" spans="2:16">
      <c r="B30" s="155" t="s">
        <v>311</v>
      </c>
      <c r="C30" s="38" t="str">
        <f>Data!$C$9</f>
        <v>£m 18/19</v>
      </c>
      <c r="D30" s="637">
        <f>SUM(D28:D29)</f>
        <v>0.67086153005033133</v>
      </c>
      <c r="E30" s="637">
        <f t="shared" ref="E30:H30" si="9">SUM(E28:E29)</f>
        <v>-0.17425373811832645</v>
      </c>
      <c r="F30" s="637">
        <f t="shared" si="9"/>
        <v>-0.17425373811832645</v>
      </c>
      <c r="G30" s="637">
        <f t="shared" si="9"/>
        <v>-0.17425373811832645</v>
      </c>
      <c r="H30" s="637">
        <f t="shared" si="9"/>
        <v>-0.14810031569535198</v>
      </c>
      <c r="I30" s="43">
        <f>SUM(D30:INDEX(D30:H30,0,MATCH('RFPR cover'!$C$9,$D$6:$H$6,0)))</f>
        <v>0.67086153005033133</v>
      </c>
      <c r="J30" s="45">
        <f t="shared" si="8"/>
        <v>0</v>
      </c>
      <c r="L30"/>
      <c r="M30"/>
      <c r="N30"/>
      <c r="O30"/>
      <c r="P30"/>
    </row>
    <row r="31" spans="2:16">
      <c r="B31" s="155"/>
      <c r="L31"/>
      <c r="M31"/>
      <c r="N31"/>
      <c r="O31"/>
      <c r="P31"/>
    </row>
    <row r="32" spans="2:16">
      <c r="B32" s="66" t="s">
        <v>313</v>
      </c>
      <c r="C32" s="38"/>
      <c r="D32" s="637">
        <f>D25*D17</f>
        <v>0.16003632369407211</v>
      </c>
      <c r="E32" s="637">
        <f t="shared" ref="E32:H32" si="10">E25*E17</f>
        <v>-0.37997537206913867</v>
      </c>
      <c r="F32" s="637">
        <f t="shared" si="10"/>
        <v>0.10709817364174634</v>
      </c>
      <c r="G32" s="637">
        <f t="shared" si="10"/>
        <v>-1.4525145365124232</v>
      </c>
      <c r="H32" s="637">
        <f t="shared" si="10"/>
        <v>-1.8971606971427484</v>
      </c>
      <c r="I32" s="46">
        <f>SUM(D32:INDEX(D32:H32,0,MATCH('RFPR cover'!$C$9,$D$6:$H$6,0)))</f>
        <v>0.16003632369407211</v>
      </c>
      <c r="J32" s="48">
        <f>SUM(D32:H32)</f>
        <v>-3.4625161083884919</v>
      </c>
      <c r="L32"/>
      <c r="M32"/>
      <c r="N32"/>
      <c r="O32"/>
      <c r="P32"/>
    </row>
    <row r="33" spans="2:16">
      <c r="B33" s="66" t="s">
        <v>314</v>
      </c>
      <c r="C33" s="38"/>
      <c r="D33" s="637">
        <f>D25*(1-D17)+D30</f>
        <v>0.83089785374440339</v>
      </c>
      <c r="E33" s="637">
        <f t="shared" ref="E33:H33" si="11">E25*(1-E17)+E30</f>
        <v>-0.55422911018746512</v>
      </c>
      <c r="F33" s="637">
        <f t="shared" si="11"/>
        <v>-6.715556447658011E-2</v>
      </c>
      <c r="G33" s="637">
        <f t="shared" si="11"/>
        <v>-1.6267682746307497</v>
      </c>
      <c r="H33" s="637">
        <f t="shared" si="11"/>
        <v>-2.0452610128381004</v>
      </c>
      <c r="I33" s="46">
        <f>SUM(D33:INDEX(D33:H33,0,MATCH('RFPR cover'!$C$9,$D$6:$H$6,0)))</f>
        <v>0.83089785374440339</v>
      </c>
      <c r="J33" s="45">
        <f>SUM(D33:H33)</f>
        <v>-3.4625161083884919</v>
      </c>
      <c r="L33"/>
      <c r="M33"/>
      <c r="N33"/>
      <c r="O33"/>
      <c r="P33"/>
    </row>
    <row r="34" spans="2:16">
      <c r="B34" s="155"/>
      <c r="L34"/>
      <c r="M34"/>
      <c r="N34"/>
      <c r="O34"/>
      <c r="P34"/>
    </row>
    <row r="35" spans="2:16">
      <c r="B35" s="155" t="s">
        <v>315</v>
      </c>
      <c r="L35"/>
      <c r="M35"/>
      <c r="N35"/>
      <c r="O35"/>
      <c r="P35"/>
    </row>
    <row r="36" spans="2:16">
      <c r="B36" s="66" t="s">
        <v>306</v>
      </c>
      <c r="C36" s="38" t="str">
        <f>Data!$C$9</f>
        <v>£m 18/19</v>
      </c>
      <c r="D36" s="637">
        <f>D19+D32</f>
        <v>3.6606543673356029</v>
      </c>
      <c r="E36" s="637">
        <f t="shared" ref="E36:H36" si="12">E19+E32</f>
        <v>-5.0714418415711426</v>
      </c>
      <c r="F36" s="637">
        <f t="shared" si="12"/>
        <v>-2.6318098930772451</v>
      </c>
      <c r="G36" s="637">
        <f t="shared" si="12"/>
        <v>-1.8330521170637923</v>
      </c>
      <c r="H36" s="637">
        <f t="shared" si="12"/>
        <v>-0.64874607465523937</v>
      </c>
      <c r="I36" s="46">
        <f>SUM(D36:INDEX(D36:H36,0,MATCH('RFPR cover'!$C$9,$D$6:$H$6,0)))</f>
        <v>3.6606543673356029</v>
      </c>
      <c r="J36" s="48">
        <f>SUM(D36:H36)</f>
        <v>-6.5243955590318166</v>
      </c>
      <c r="L36"/>
      <c r="M36"/>
      <c r="N36"/>
      <c r="O36"/>
      <c r="P36"/>
    </row>
    <row r="37" spans="2:16">
      <c r="B37" s="66" t="s">
        <v>307</v>
      </c>
      <c r="C37" s="38" t="str">
        <f>Data!$C$9</f>
        <v>£m 18/19</v>
      </c>
      <c r="D37" s="637">
        <f>D20+D33</f>
        <v>4.331515897385934</v>
      </c>
      <c r="E37" s="637">
        <f t="shared" ref="E37:H37" si="13">E20+E33</f>
        <v>-5.2456955796894684</v>
      </c>
      <c r="F37" s="637">
        <f t="shared" si="13"/>
        <v>-2.8060636311955718</v>
      </c>
      <c r="G37" s="637">
        <f t="shared" si="13"/>
        <v>-2.0073058551821186</v>
      </c>
      <c r="H37" s="637">
        <f t="shared" si="13"/>
        <v>-0.79684639035059135</v>
      </c>
      <c r="I37" s="46">
        <f>SUM(D37:INDEX(D37:H37,0,MATCH('RFPR cover'!$C$9,$D$6:$H$6,0)))</f>
        <v>4.331515897385934</v>
      </c>
      <c r="J37" s="45">
        <f t="shared" ref="J37" si="14">SUM(D37:H37)</f>
        <v>-6.5243955590318166</v>
      </c>
      <c r="L37"/>
      <c r="M37"/>
      <c r="N37"/>
      <c r="O37"/>
      <c r="P37"/>
    </row>
    <row r="38" spans="2:16">
      <c r="B38" s="155" t="s">
        <v>316</v>
      </c>
      <c r="C38" s="77" t="str">
        <f>Data!$C$9</f>
        <v>£m 18/19</v>
      </c>
      <c r="D38" s="637">
        <f>SUM(D36:D37)</f>
        <v>7.9921702647215369</v>
      </c>
      <c r="E38" s="637">
        <f t="shared" ref="E38:H38" si="15">SUM(E36:E37)</f>
        <v>-10.317137421260611</v>
      </c>
      <c r="F38" s="637">
        <f t="shared" si="15"/>
        <v>-5.4378735242728169</v>
      </c>
      <c r="G38" s="637">
        <f t="shared" si="15"/>
        <v>-3.8403579722459109</v>
      </c>
      <c r="H38" s="637">
        <f t="shared" si="15"/>
        <v>-1.4455924650058307</v>
      </c>
      <c r="I38" s="43">
        <f>SUM(D38:INDEX(D38:H38,0,MATCH('RFPR cover'!$C$9,$D$6:$H$6,0)))</f>
        <v>7.9921702647215369</v>
      </c>
      <c r="J38" s="45">
        <f t="shared" ref="J38" si="16">SUM(D38:H38)</f>
        <v>-13.048791118063633</v>
      </c>
      <c r="L38"/>
      <c r="M38"/>
      <c r="N38"/>
      <c r="O38"/>
      <c r="P38"/>
    </row>
    <row r="39" spans="2:16">
      <c r="B39" s="155"/>
      <c r="L39"/>
      <c r="M39"/>
      <c r="N39"/>
      <c r="O39"/>
      <c r="P39"/>
    </row>
    <row r="40" spans="2:16">
      <c r="B40" s="369" t="s">
        <v>317</v>
      </c>
      <c r="C40" s="73"/>
      <c r="D40" s="41"/>
      <c r="E40" s="41"/>
      <c r="F40" s="41"/>
      <c r="G40" s="41"/>
      <c r="H40" s="41"/>
      <c r="I40" s="41"/>
      <c r="J40" s="41"/>
    </row>
    <row r="41" spans="2:16">
      <c r="D41" s="1"/>
      <c r="E41" s="1"/>
      <c r="F41" s="1"/>
      <c r="G41" s="1"/>
      <c r="H41" s="1"/>
      <c r="I41" s="1"/>
      <c r="J41" s="1"/>
    </row>
    <row r="42" spans="2:16">
      <c r="B42" s="88" t="s">
        <v>302</v>
      </c>
      <c r="C42" s="38" t="str">
        <f>Data!$C$9</f>
        <v>£m 18/19</v>
      </c>
      <c r="D42" s="425">
        <v>6.6595213787931824</v>
      </c>
      <c r="E42" s="425">
        <v>8.464062479087481</v>
      </c>
      <c r="F42" s="425">
        <v>8.0650738875507901</v>
      </c>
      <c r="G42" s="425">
        <v>7.038839593081657</v>
      </c>
      <c r="H42" s="425">
        <v>7.3098074719793686</v>
      </c>
      <c r="I42" s="215">
        <f>SUM(D42:INDEX(D42:H42,0,MATCH('RFPR cover'!$C$9,$D$6:$H$6,0)))</f>
        <v>6.6595213787931824</v>
      </c>
      <c r="J42" s="216">
        <f>SUM(D42:H42)</f>
        <v>37.537304810492486</v>
      </c>
      <c r="K42" s="36"/>
    </row>
    <row r="43" spans="2:16" ht="15" customHeight="1">
      <c r="B43" s="67" t="s">
        <v>318</v>
      </c>
      <c r="C43" s="38" t="str">
        <f>Data!$C$9</f>
        <v>£m 18/19</v>
      </c>
      <c r="D43" s="425">
        <v>7.2002534257623125</v>
      </c>
      <c r="E43" s="425">
        <v>9.3567847218643365</v>
      </c>
      <c r="F43" s="425">
        <v>10.925293533667015</v>
      </c>
      <c r="G43" s="425">
        <v>7.3172371778102736</v>
      </c>
      <c r="H43" s="425">
        <v>7.6220281851203193</v>
      </c>
      <c r="I43" s="217">
        <f>SUM(D43:INDEX(D43:H43,0,MATCH('RFPR cover'!$C$9,$D$6:$H$6,0)))</f>
        <v>7.2002534257623125</v>
      </c>
      <c r="J43" s="218">
        <f>SUM(D43:H43)</f>
        <v>42.421597044224264</v>
      </c>
      <c r="K43" s="36"/>
    </row>
    <row r="44" spans="2:16">
      <c r="B44" s="243" t="s">
        <v>304</v>
      </c>
      <c r="C44" s="38" t="str">
        <f>Data!$C$9</f>
        <v>£m 18/19</v>
      </c>
      <c r="D44" s="637">
        <f>D43-D42</f>
        <v>0.54073204696913013</v>
      </c>
      <c r="E44" s="637">
        <f t="shared" ref="E44:J44" si="17">E43-E42</f>
        <v>0.89272224277685552</v>
      </c>
      <c r="F44" s="637">
        <f t="shared" si="17"/>
        <v>2.8602196461162244</v>
      </c>
      <c r="G44" s="637">
        <f t="shared" si="17"/>
        <v>0.27839758472861664</v>
      </c>
      <c r="H44" s="637">
        <f t="shared" si="17"/>
        <v>0.31222071314095068</v>
      </c>
      <c r="I44" s="404">
        <f t="shared" si="17"/>
        <v>0.54073204696913013</v>
      </c>
      <c r="J44" s="585">
        <f t="shared" si="17"/>
        <v>4.8842922337317773</v>
      </c>
      <c r="K44" s="90"/>
      <c r="L44" s="90"/>
      <c r="M44" s="90"/>
      <c r="N44"/>
      <c r="O44"/>
      <c r="P44"/>
    </row>
    <row r="45" spans="2:16" ht="13.15">
      <c r="B45" s="243"/>
      <c r="C45" s="38"/>
      <c r="D45" s="32"/>
      <c r="E45" s="32"/>
      <c r="F45" s="32"/>
      <c r="G45" s="32"/>
      <c r="H45" s="32"/>
      <c r="I45" s="32"/>
      <c r="J45" s="32"/>
      <c r="K45" s="37"/>
      <c r="L45" s="37"/>
      <c r="M45" s="37"/>
      <c r="N45"/>
      <c r="O45"/>
      <c r="P45"/>
    </row>
    <row r="46" spans="2:16">
      <c r="B46" s="66" t="s">
        <v>305</v>
      </c>
      <c r="C46" s="69" t="s">
        <v>194</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306</v>
      </c>
      <c r="C48" s="38" t="str">
        <f>Data!$C$9</f>
        <v>£m 18/19</v>
      </c>
      <c r="D48" s="637">
        <f>D44*D46</f>
        <v>0.27036602348456507</v>
      </c>
      <c r="E48" s="637">
        <f t="shared" ref="E48:H48" si="18">E44*E46</f>
        <v>0.44636112138842776</v>
      </c>
      <c r="F48" s="637">
        <f t="shared" si="18"/>
        <v>1.4301098230581122</v>
      </c>
      <c r="G48" s="637">
        <f t="shared" si="18"/>
        <v>0.13919879236430832</v>
      </c>
      <c r="H48" s="637">
        <f t="shared" si="18"/>
        <v>0.15611035657047534</v>
      </c>
      <c r="I48" s="142">
        <f>SUM(D48:INDEX(D48:H48,0,MATCH('RFPR cover'!$C$9,$D$6:$H$6,0)))</f>
        <v>0.27036602348456507</v>
      </c>
      <c r="J48" s="198">
        <f>SUM(D48:H48)</f>
        <v>2.4421461168658887</v>
      </c>
      <c r="K48"/>
      <c r="L48"/>
      <c r="M48"/>
      <c r="N48"/>
      <c r="O48"/>
      <c r="P48"/>
    </row>
    <row r="49" spans="2:16">
      <c r="B49" s="66" t="s">
        <v>307</v>
      </c>
      <c r="C49" s="38" t="str">
        <f>Data!$C$9</f>
        <v>£m 18/19</v>
      </c>
      <c r="D49" s="637">
        <f>D44*(1-D46)</f>
        <v>0.27036602348456507</v>
      </c>
      <c r="E49" s="637">
        <f t="shared" ref="E49:H49" si="19">E44*(1-E46)</f>
        <v>0.44636112138842776</v>
      </c>
      <c r="F49" s="637">
        <f t="shared" si="19"/>
        <v>1.4301098230581122</v>
      </c>
      <c r="G49" s="637">
        <f t="shared" si="19"/>
        <v>0.13919879236430832</v>
      </c>
      <c r="H49" s="637">
        <f t="shared" si="19"/>
        <v>0.15611035657047534</v>
      </c>
      <c r="I49" s="201">
        <f>SUM(D49:INDEX(D49:H49,0,MATCH('RFPR cover'!$C$9,$D$6:$H$6,0)))</f>
        <v>0.27036602348456507</v>
      </c>
      <c r="J49" s="202">
        <f>SUM(D49:H49)</f>
        <v>2.4421461168658887</v>
      </c>
      <c r="K49"/>
      <c r="L49"/>
      <c r="M49"/>
      <c r="N49"/>
      <c r="O49"/>
      <c r="P49"/>
    </row>
    <row r="50" spans="2:16">
      <c r="K50"/>
      <c r="L50"/>
      <c r="M50"/>
      <c r="N50"/>
      <c r="O50"/>
      <c r="P50"/>
    </row>
    <row r="51" spans="2:16">
      <c r="B51" s="155" t="s">
        <v>308</v>
      </c>
      <c r="K51"/>
      <c r="L51"/>
      <c r="M51"/>
      <c r="N51"/>
      <c r="O51"/>
      <c r="P51"/>
    </row>
    <row r="52" spans="2:16">
      <c r="B52" s="376" t="s">
        <v>309</v>
      </c>
      <c r="C52" s="38" t="str">
        <f>Data!$C$9</f>
        <v>£m 18/19</v>
      </c>
      <c r="D52" s="206">
        <v>9.7717686282042138E-2</v>
      </c>
      <c r="E52" s="206">
        <v>0.11224004291644718</v>
      </c>
      <c r="F52" s="206">
        <v>0.11811007181916189</v>
      </c>
      <c r="G52" s="206">
        <v>0.11842419781270053</v>
      </c>
      <c r="H52" s="206">
        <v>0.11944639173739802</v>
      </c>
      <c r="I52" s="43">
        <f>SUM(D52:INDEX(D52:H52,0,MATCH('RFPR cover'!$C$9,$D$6:$H$6,0)))</f>
        <v>9.7717686282042138E-2</v>
      </c>
      <c r="J52" s="45">
        <f>SUM(D52:H52)</f>
        <v>0.56593839056774975</v>
      </c>
      <c r="K52"/>
      <c r="L52"/>
      <c r="M52"/>
      <c r="N52"/>
      <c r="O52"/>
      <c r="P52"/>
    </row>
    <row r="53" spans="2:16">
      <c r="B53" s="376" t="s">
        <v>310</v>
      </c>
      <c r="C53" s="38" t="str">
        <f>Data!$C$9</f>
        <v>£m 18/19</v>
      </c>
      <c r="D53" s="206">
        <v>0</v>
      </c>
      <c r="E53" s="206">
        <v>0</v>
      </c>
      <c r="F53" s="206">
        <v>0</v>
      </c>
      <c r="G53" s="206">
        <v>0</v>
      </c>
      <c r="H53" s="206">
        <v>0</v>
      </c>
      <c r="I53" s="43">
        <f>SUM(D53:INDEX(D53:H53,0,MATCH('RFPR cover'!$C$9,$D$6:$H$6,0)))</f>
        <v>0</v>
      </c>
      <c r="J53" s="45">
        <f t="shared" ref="J53:J54" si="20">SUM(D53:H53)</f>
        <v>0</v>
      </c>
      <c r="K53"/>
      <c r="L53"/>
      <c r="M53"/>
      <c r="N53"/>
      <c r="O53"/>
      <c r="P53"/>
    </row>
    <row r="54" spans="2:16">
      <c r="B54" s="155" t="s">
        <v>311</v>
      </c>
      <c r="C54" s="38" t="str">
        <f>Data!$C$9</f>
        <v>£m 18/19</v>
      </c>
      <c r="D54" s="637">
        <f>SUM(D52:D53)</f>
        <v>9.7717686282042138E-2</v>
      </c>
      <c r="E54" s="637">
        <f t="shared" ref="E54" si="21">SUM(E52:E53)</f>
        <v>0.11224004291644718</v>
      </c>
      <c r="F54" s="637">
        <f t="shared" ref="F54" si="22">SUM(F52:F53)</f>
        <v>0.11811007181916189</v>
      </c>
      <c r="G54" s="637">
        <f t="shared" ref="G54" si="23">SUM(G52:G53)</f>
        <v>0.11842419781270053</v>
      </c>
      <c r="H54" s="637">
        <f t="shared" ref="H54" si="24">SUM(H52:H53)</f>
        <v>0.11944639173739802</v>
      </c>
      <c r="I54" s="43">
        <f>SUM(D54:INDEX(D54:H54,0,MATCH('RFPR cover'!$C$9,$D$6:$H$6,0)))</f>
        <v>9.7717686282042138E-2</v>
      </c>
      <c r="J54" s="45">
        <f t="shared" si="20"/>
        <v>0.56593839056774975</v>
      </c>
      <c r="K54" s="155"/>
      <c r="L54" s="155"/>
      <c r="M54" s="155"/>
      <c r="N54" s="155"/>
      <c r="O54"/>
      <c r="P54"/>
    </row>
    <row r="55" spans="2:16">
      <c r="B55" s="155"/>
      <c r="C55" s="155"/>
      <c r="D55" s="155"/>
      <c r="E55" s="155"/>
      <c r="F55" s="155"/>
      <c r="G55" s="155"/>
      <c r="H55" s="155"/>
      <c r="I55" s="155"/>
      <c r="J55" s="155"/>
      <c r="K55" s="155"/>
      <c r="L55" s="155"/>
      <c r="M55" s="155"/>
      <c r="N55" s="155"/>
      <c r="O55"/>
      <c r="P55"/>
    </row>
    <row r="56" spans="2:16">
      <c r="B56" s="155" t="s">
        <v>312</v>
      </c>
      <c r="K56" s="155"/>
      <c r="L56" s="155"/>
      <c r="M56" s="155"/>
      <c r="N56" s="155"/>
      <c r="O56"/>
      <c r="P56"/>
    </row>
    <row r="57" spans="2:16">
      <c r="B57" s="376" t="s">
        <v>309</v>
      </c>
      <c r="C57" s="38" t="str">
        <f>Data!$C$9</f>
        <v>£m 18/19</v>
      </c>
      <c r="D57" s="206">
        <v>0</v>
      </c>
      <c r="E57" s="206">
        <v>0</v>
      </c>
      <c r="F57" s="206">
        <v>0</v>
      </c>
      <c r="G57" s="206">
        <v>0</v>
      </c>
      <c r="H57" s="206">
        <v>0</v>
      </c>
      <c r="I57" s="43">
        <f>SUM(D57:INDEX(D57:H57,0,MATCH('RFPR cover'!$C$9,$D$6:$H$6,0)))</f>
        <v>0</v>
      </c>
      <c r="J57" s="45">
        <f>SUM(D57:H57)</f>
        <v>0</v>
      </c>
      <c r="K57" s="155"/>
      <c r="L57" s="155"/>
      <c r="M57" s="155"/>
      <c r="N57" s="155"/>
      <c r="O57"/>
      <c r="P57"/>
    </row>
    <row r="58" spans="2:16">
      <c r="B58" s="376" t="s">
        <v>310</v>
      </c>
      <c r="C58" s="38" t="str">
        <f>Data!$C$9</f>
        <v>£m 18/19</v>
      </c>
      <c r="D58" s="206">
        <v>0</v>
      </c>
      <c r="E58" s="206">
        <v>0</v>
      </c>
      <c r="F58" s="206">
        <v>0</v>
      </c>
      <c r="G58" s="206">
        <v>0</v>
      </c>
      <c r="H58" s="206">
        <v>0</v>
      </c>
      <c r="I58" s="43">
        <f>SUM(D58:INDEX(D58:H58,0,MATCH('RFPR cover'!$C$9,$D$6:$H$6,0)))</f>
        <v>0</v>
      </c>
      <c r="J58" s="45">
        <f t="shared" ref="J58:J59" si="25">SUM(D58:H58)</f>
        <v>0</v>
      </c>
      <c r="K58" s="155"/>
      <c r="L58" s="155"/>
      <c r="M58" s="155"/>
      <c r="N58" s="155"/>
      <c r="O58"/>
      <c r="P58"/>
    </row>
    <row r="59" spans="2:16">
      <c r="B59" s="155" t="s">
        <v>311</v>
      </c>
      <c r="C59" s="38" t="str">
        <f>Data!$C$9</f>
        <v>£m 18/19</v>
      </c>
      <c r="D59" s="637">
        <f>SUM(D57:D58)</f>
        <v>0</v>
      </c>
      <c r="E59" s="637">
        <f t="shared" ref="E59:H59" si="26">SUM(E57:E58)</f>
        <v>0</v>
      </c>
      <c r="F59" s="637">
        <f t="shared" si="26"/>
        <v>0</v>
      </c>
      <c r="G59" s="637">
        <f t="shared" si="26"/>
        <v>0</v>
      </c>
      <c r="H59" s="637">
        <f t="shared" si="26"/>
        <v>0</v>
      </c>
      <c r="I59" s="43">
        <f>SUM(D59:INDEX(D59:H59,0,MATCH('RFPR cover'!$C$9,$D$6:$H$6,0)))</f>
        <v>0</v>
      </c>
      <c r="J59" s="45">
        <f t="shared" si="25"/>
        <v>0</v>
      </c>
      <c r="K59" s="155"/>
      <c r="L59" s="155"/>
      <c r="M59" s="155"/>
      <c r="N59" s="155"/>
      <c r="O59"/>
      <c r="P59"/>
    </row>
    <row r="60" spans="2:16">
      <c r="B60" s="155"/>
      <c r="C60" s="155"/>
      <c r="D60" s="155"/>
      <c r="E60" s="155"/>
      <c r="F60" s="155"/>
      <c r="G60" s="155"/>
      <c r="H60" s="155"/>
      <c r="I60" s="155"/>
      <c r="J60" s="155"/>
      <c r="K60" s="155"/>
      <c r="L60" s="155"/>
      <c r="M60" s="155"/>
      <c r="N60" s="155"/>
      <c r="O60"/>
      <c r="P60"/>
    </row>
    <row r="61" spans="2:16">
      <c r="B61" s="66" t="s">
        <v>313</v>
      </c>
      <c r="C61" s="38"/>
      <c r="D61" s="637">
        <f>D54*D46</f>
        <v>4.8858843141021069E-2</v>
      </c>
      <c r="E61" s="637">
        <f t="shared" ref="E61:H61" si="27">E54*E46</f>
        <v>5.612002145822359E-2</v>
      </c>
      <c r="F61" s="637">
        <f t="shared" si="27"/>
        <v>5.9055035909580944E-2</v>
      </c>
      <c r="G61" s="637">
        <f t="shared" si="27"/>
        <v>5.9212098906350263E-2</v>
      </c>
      <c r="H61" s="637">
        <f t="shared" si="27"/>
        <v>5.9723195868699008E-2</v>
      </c>
      <c r="I61" s="46">
        <f>SUM(D61:INDEX(D61:H61,0,MATCH('RFPR cover'!$C$9,$D$6:$H$6,0)))</f>
        <v>4.8858843141021069E-2</v>
      </c>
      <c r="J61" s="48">
        <f>SUM(D61:H61)</f>
        <v>0.28296919528387487</v>
      </c>
      <c r="K61" s="155"/>
      <c r="L61" s="155"/>
      <c r="M61" s="155"/>
      <c r="N61" s="155"/>
      <c r="O61"/>
      <c r="P61"/>
    </row>
    <row r="62" spans="2:16">
      <c r="B62" s="66" t="s">
        <v>314</v>
      </c>
      <c r="C62" s="38"/>
      <c r="D62" s="637">
        <f>D54*(1-D46)+D59</f>
        <v>4.8858843141021069E-2</v>
      </c>
      <c r="E62" s="637">
        <f t="shared" ref="E62:H62" si="28">E54*(1-E46)+E59</f>
        <v>5.612002145822359E-2</v>
      </c>
      <c r="F62" s="637">
        <f t="shared" si="28"/>
        <v>5.9055035909580944E-2</v>
      </c>
      <c r="G62" s="637">
        <f t="shared" si="28"/>
        <v>5.9212098906350263E-2</v>
      </c>
      <c r="H62" s="637">
        <f t="shared" si="28"/>
        <v>5.9723195868699008E-2</v>
      </c>
      <c r="I62" s="46">
        <f>SUM(D62:INDEX(D62:H62,0,MATCH('RFPR cover'!$C$9,$D$6:$H$6,0)))</f>
        <v>4.8858843141021069E-2</v>
      </c>
      <c r="J62" s="45">
        <f>SUM(D62:H62)</f>
        <v>0.28296919528387487</v>
      </c>
      <c r="K62" s="155"/>
      <c r="L62" s="155"/>
      <c r="M62" s="155"/>
      <c r="N62" s="155"/>
      <c r="O62"/>
      <c r="P62"/>
    </row>
    <row r="63" spans="2:16">
      <c r="B63" s="155"/>
      <c r="C63" s="155"/>
      <c r="D63" s="155"/>
      <c r="E63" s="155"/>
      <c r="F63" s="155"/>
      <c r="G63" s="155"/>
      <c r="H63" s="155"/>
      <c r="I63" s="155"/>
      <c r="J63" s="155"/>
      <c r="K63" s="155"/>
      <c r="L63" s="155"/>
      <c r="M63" s="155"/>
      <c r="N63" s="155"/>
      <c r="O63"/>
      <c r="P63"/>
    </row>
    <row r="64" spans="2:16">
      <c r="B64" s="155" t="s">
        <v>315</v>
      </c>
      <c r="C64" s="155"/>
      <c r="D64" s="155"/>
      <c r="E64" s="155"/>
      <c r="F64" s="155"/>
      <c r="G64" s="155"/>
      <c r="H64" s="155"/>
      <c r="I64" s="155"/>
      <c r="J64" s="155"/>
      <c r="K64" s="155"/>
      <c r="L64" s="155"/>
      <c r="M64" s="155"/>
      <c r="N64" s="155"/>
      <c r="O64"/>
      <c r="P64"/>
    </row>
    <row r="65" spans="2:17">
      <c r="B65" s="66" t="s">
        <v>306</v>
      </c>
      <c r="C65" s="38" t="str">
        <f>Data!$C$9</f>
        <v>£m 18/19</v>
      </c>
      <c r="D65" s="637">
        <f>D61+D48</f>
        <v>0.31922486662558613</v>
      </c>
      <c r="E65" s="637">
        <f t="shared" ref="E65:H65" si="29">E61+E48</f>
        <v>0.50248114284665135</v>
      </c>
      <c r="F65" s="637">
        <f t="shared" si="29"/>
        <v>1.4891648589676931</v>
      </c>
      <c r="G65" s="637">
        <f t="shared" si="29"/>
        <v>0.19841089127065858</v>
      </c>
      <c r="H65" s="637">
        <f t="shared" si="29"/>
        <v>0.21583355243917435</v>
      </c>
      <c r="I65" s="43">
        <f>SUM(D65:INDEX(D65:H65,0,MATCH('RFPR cover'!$C$9,$D$6:$H$6,0)))</f>
        <v>0.31922486662558613</v>
      </c>
      <c r="J65" s="45">
        <f>SUM(D65:H65)</f>
        <v>2.7251153121497635</v>
      </c>
      <c r="K65" s="155"/>
      <c r="L65" s="155"/>
      <c r="M65" s="155"/>
      <c r="N65" s="155"/>
      <c r="O65"/>
      <c r="P65"/>
    </row>
    <row r="66" spans="2:17">
      <c r="B66" s="66" t="s">
        <v>307</v>
      </c>
      <c r="C66" s="38" t="str">
        <f>Data!$C$9</f>
        <v>£m 18/19</v>
      </c>
      <c r="D66" s="637">
        <f>D49+D62</f>
        <v>0.31922486662558613</v>
      </c>
      <c r="E66" s="637">
        <f t="shared" ref="E66:H66" si="30">E49+E62</f>
        <v>0.50248114284665135</v>
      </c>
      <c r="F66" s="637">
        <f t="shared" si="30"/>
        <v>1.4891648589676931</v>
      </c>
      <c r="G66" s="637">
        <f t="shared" si="30"/>
        <v>0.19841089127065858</v>
      </c>
      <c r="H66" s="637">
        <f t="shared" si="30"/>
        <v>0.21583355243917435</v>
      </c>
      <c r="I66" s="43">
        <f>SUM(D66:INDEX(D66:H66,0,MATCH('RFPR cover'!$C$9,$D$6:$H$6,0)))</f>
        <v>0.31922486662558613</v>
      </c>
      <c r="J66" s="45">
        <f t="shared" ref="J66" si="31">SUM(D66:H66)</f>
        <v>2.7251153121497635</v>
      </c>
      <c r="K66" s="155"/>
      <c r="L66" s="155"/>
      <c r="M66" s="155"/>
      <c r="N66" s="155"/>
      <c r="O66"/>
      <c r="P66"/>
    </row>
    <row r="67" spans="2:17">
      <c r="B67" s="155" t="s">
        <v>316</v>
      </c>
      <c r="C67" s="77" t="str">
        <f>Data!$C$9</f>
        <v>£m 18/19</v>
      </c>
      <c r="D67" s="637">
        <f>SUM(D65:D66)</f>
        <v>0.63844973325117227</v>
      </c>
      <c r="E67" s="637">
        <f t="shared" ref="E67:H67" si="32">SUM(E65:E66)</f>
        <v>1.0049622856933027</v>
      </c>
      <c r="F67" s="637">
        <f t="shared" si="32"/>
        <v>2.9783297179353863</v>
      </c>
      <c r="G67" s="637">
        <f t="shared" si="32"/>
        <v>0.39682178254131717</v>
      </c>
      <c r="H67" s="637">
        <f t="shared" si="32"/>
        <v>0.4316671048783487</v>
      </c>
      <c r="I67" s="43">
        <f>SUM(D67:INDEX(D67:H67,0,MATCH('RFPR cover'!$C$9,$D$6:$H$6,0)))</f>
        <v>0.63844973325117227</v>
      </c>
      <c r="J67" s="45">
        <f t="shared" ref="J67" si="33">SUM(D67:H67)</f>
        <v>5.4502306242995271</v>
      </c>
      <c r="K67"/>
      <c r="L67"/>
      <c r="M67"/>
      <c r="N67"/>
      <c r="O67"/>
      <c r="P67"/>
    </row>
    <row r="68" spans="2:17">
      <c r="C68" s="38"/>
      <c r="D68" s="38"/>
      <c r="E68" s="38"/>
      <c r="F68" s="38"/>
      <c r="G68" s="38"/>
      <c r="H68" s="38"/>
      <c r="I68" s="38"/>
      <c r="J68" s="38"/>
      <c r="K68" s="38"/>
      <c r="L68" s="38"/>
      <c r="M68" s="38"/>
      <c r="N68" s="38"/>
      <c r="O68" s="38"/>
      <c r="P68" s="38"/>
      <c r="Q68" s="38"/>
    </row>
    <row r="69" spans="2:17">
      <c r="B69" s="369" t="s">
        <v>319</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320</v>
      </c>
      <c r="C71" s="38" t="str">
        <f>Data!$C$9</f>
        <v>£m 18/19</v>
      </c>
      <c r="D71" s="425">
        <v>105.35168894028182</v>
      </c>
      <c r="E71" s="425">
        <v>93.962406683744945</v>
      </c>
      <c r="F71" s="425">
        <v>101.66664154962228</v>
      </c>
      <c r="G71" s="425">
        <v>91.05907938796642</v>
      </c>
      <c r="H71" s="425">
        <v>92.347622545341579</v>
      </c>
      <c r="I71" s="215">
        <f>SUM(D71:INDEX(D71:H71,0,MATCH('RFPR cover'!$C$9,$D$6:$H$6,0)))</f>
        <v>105.35168894028182</v>
      </c>
      <c r="J71" s="216">
        <f>SUM(D71:H71)</f>
        <v>484.387439106957</v>
      </c>
      <c r="K71"/>
      <c r="L71"/>
      <c r="M71"/>
      <c r="N71"/>
      <c r="O71"/>
      <c r="P71"/>
    </row>
    <row r="72" spans="2:17" ht="16.5" customHeight="1">
      <c r="B72" s="67" t="s">
        <v>321</v>
      </c>
      <c r="C72" s="11" t="str">
        <f>Data!$C$9</f>
        <v>£m 18/19</v>
      </c>
      <c r="D72" s="425">
        <v>107.5959141761254</v>
      </c>
      <c r="E72" s="425">
        <v>110.72187171592381</v>
      </c>
      <c r="F72" s="425">
        <v>115.59241086491585</v>
      </c>
      <c r="G72" s="425">
        <v>102.82961240830136</v>
      </c>
      <c r="H72" s="425">
        <v>101.79877209882517</v>
      </c>
      <c r="I72" s="427">
        <f>SUM(D72:INDEX(D72:H72,0,MATCH('RFPR cover'!$C$9,$D$6:$H$6,0)))</f>
        <v>107.5959141761254</v>
      </c>
      <c r="J72" s="428">
        <f>SUM(D72:H72)</f>
        <v>538.53858126409159</v>
      </c>
      <c r="K72" s="429"/>
      <c r="L72" s="429"/>
      <c r="M72" s="429"/>
      <c r="N72" s="429"/>
      <c r="O72" s="429"/>
      <c r="P72" s="429"/>
    </row>
    <row r="73" spans="2:17">
      <c r="B73" s="243" t="s">
        <v>304</v>
      </c>
      <c r="C73" s="38" t="str">
        <f>Data!$C$9</f>
        <v>£m 18/19</v>
      </c>
      <c r="D73" s="637">
        <f>D72-D71</f>
        <v>2.2442252358435866</v>
      </c>
      <c r="E73" s="637">
        <f t="shared" ref="E73:J73" si="34">E72-E71</f>
        <v>16.759465032178866</v>
      </c>
      <c r="F73" s="637">
        <f t="shared" si="34"/>
        <v>13.925769315293564</v>
      </c>
      <c r="G73" s="637">
        <f t="shared" si="34"/>
        <v>11.770533020334938</v>
      </c>
      <c r="H73" s="637">
        <f t="shared" si="34"/>
        <v>9.4511495534835888</v>
      </c>
      <c r="I73" s="404">
        <f t="shared" si="34"/>
        <v>2.2442252358435866</v>
      </c>
      <c r="J73" s="585">
        <f t="shared" si="34"/>
        <v>54.151142157134586</v>
      </c>
      <c r="K73"/>
      <c r="L73"/>
      <c r="M73"/>
      <c r="N73"/>
      <c r="O73"/>
      <c r="P73"/>
    </row>
    <row r="74" spans="2:17">
      <c r="B74" s="243"/>
      <c r="C74" s="38"/>
      <c r="D74" s="32"/>
      <c r="E74" s="32"/>
      <c r="F74" s="32"/>
      <c r="G74" s="32"/>
      <c r="H74" s="32"/>
      <c r="I74" s="32"/>
      <c r="J74" s="32"/>
      <c r="K74"/>
      <c r="L74"/>
      <c r="M74"/>
      <c r="N74"/>
      <c r="O74"/>
      <c r="P74"/>
    </row>
    <row r="75" spans="2:17">
      <c r="B75" s="66" t="s">
        <v>305</v>
      </c>
      <c r="C75" s="69" t="s">
        <v>194</v>
      </c>
      <c r="D75" s="57">
        <f>INDEX(Data!$C$55:$C$83,MATCH('RFPR cover'!$C$7,Data!$B$55:$B$83,0),0)</f>
        <v>0.5</v>
      </c>
      <c r="E75" s="57">
        <f>INDEX(Data!$C$55:$C$83,MATCH('RFPR cover'!$C$7,Data!$B$55:$B$83,0),0)</f>
        <v>0.5</v>
      </c>
      <c r="F75" s="57">
        <f>INDEX(Data!$C$55:$C$83,MATCH('RFPR cover'!$C$7,Data!$B$55:$B$83,0),0)</f>
        <v>0.5</v>
      </c>
      <c r="G75" s="57">
        <f>INDEX(Data!$C$55:$C$83,MATCH('RFPR cover'!$C$7,Data!$B$55:$B$83,0),0)</f>
        <v>0.5</v>
      </c>
      <c r="H75" s="57">
        <f>INDEX(Data!$C$55:$C$83,MATCH('RFPR cover'!$C$7,Data!$B$55:$B$83,0),0)</f>
        <v>0.5</v>
      </c>
      <c r="I75" s="35"/>
      <c r="J75" s="35"/>
      <c r="K75"/>
      <c r="L75"/>
      <c r="M75"/>
      <c r="N75"/>
      <c r="O75"/>
      <c r="P75"/>
    </row>
    <row r="76" spans="2:17">
      <c r="K76"/>
      <c r="L76"/>
      <c r="M76"/>
      <c r="N76"/>
      <c r="O76"/>
      <c r="P76"/>
    </row>
    <row r="77" spans="2:17">
      <c r="B77" s="66" t="s">
        <v>306</v>
      </c>
      <c r="C77" s="38" t="str">
        <f>Data!$C$9</f>
        <v>£m 18/19</v>
      </c>
      <c r="D77" s="637">
        <f>D73*D75</f>
        <v>1.1221126179217933</v>
      </c>
      <c r="E77" s="637">
        <f t="shared" ref="E77:H77" si="35">E73*E75</f>
        <v>8.3797325160894331</v>
      </c>
      <c r="F77" s="637">
        <f t="shared" si="35"/>
        <v>6.9628846576467822</v>
      </c>
      <c r="G77" s="637">
        <f t="shared" si="35"/>
        <v>5.8852665101674688</v>
      </c>
      <c r="H77" s="637">
        <f t="shared" si="35"/>
        <v>4.7255747767417944</v>
      </c>
      <c r="I77" s="142">
        <f>SUM(D77:INDEX(D77:H77,0,MATCH('RFPR cover'!$C$9,$D$6:$H$6,0)))</f>
        <v>1.1221126179217933</v>
      </c>
      <c r="J77" s="198">
        <f>SUM(D77:H77)</f>
        <v>27.075571078567272</v>
      </c>
      <c r="K77"/>
      <c r="L77"/>
      <c r="M77"/>
      <c r="N77"/>
      <c r="O77"/>
      <c r="P77"/>
    </row>
    <row r="78" spans="2:17">
      <c r="B78" s="66" t="s">
        <v>307</v>
      </c>
      <c r="C78" s="38" t="str">
        <f>Data!$C$9</f>
        <v>£m 18/19</v>
      </c>
      <c r="D78" s="637">
        <f>D73*(1-D75)</f>
        <v>1.1221126179217933</v>
      </c>
      <c r="E78" s="637">
        <f t="shared" ref="E78:H78" si="36">E73*(1-E75)</f>
        <v>8.3797325160894331</v>
      </c>
      <c r="F78" s="637">
        <f t="shared" si="36"/>
        <v>6.9628846576467822</v>
      </c>
      <c r="G78" s="637">
        <f t="shared" si="36"/>
        <v>5.8852665101674688</v>
      </c>
      <c r="H78" s="637">
        <f t="shared" si="36"/>
        <v>4.7255747767417944</v>
      </c>
      <c r="I78" s="201">
        <f>SUM(D78:INDEX(D78:H78,0,MATCH('RFPR cover'!$C$9,$D$6:$H$6,0)))</f>
        <v>1.1221126179217933</v>
      </c>
      <c r="J78" s="202">
        <f>SUM(D78:H78)</f>
        <v>27.075571078567272</v>
      </c>
      <c r="K78"/>
      <c r="L78"/>
      <c r="M78"/>
      <c r="N78"/>
      <c r="O78"/>
      <c r="P78"/>
    </row>
    <row r="79" spans="2:17">
      <c r="C79" s="66"/>
      <c r="D79" s="66"/>
      <c r="E79" s="66"/>
      <c r="F79" s="66"/>
      <c r="G79" s="66"/>
      <c r="H79" s="66"/>
      <c r="I79" s="66"/>
      <c r="J79" s="66"/>
      <c r="K79" s="66"/>
      <c r="L79" s="66"/>
      <c r="M79"/>
      <c r="N79"/>
      <c r="O79"/>
      <c r="P79"/>
    </row>
    <row r="80" spans="2:17">
      <c r="B80" s="155" t="s">
        <v>308</v>
      </c>
      <c r="K80" s="66"/>
      <c r="L80" s="66"/>
      <c r="M80"/>
      <c r="N80"/>
      <c r="O80"/>
      <c r="P80"/>
    </row>
    <row r="81" spans="2:16">
      <c r="B81" s="376" t="s">
        <v>309</v>
      </c>
      <c r="C81" s="38" t="str">
        <f>Data!$C$9</f>
        <v>£m 18/19</v>
      </c>
      <c r="D81" s="206">
        <v>-6.8637694908252662</v>
      </c>
      <c r="E81" s="206">
        <v>-5.6910272878198951</v>
      </c>
      <c r="F81" s="206">
        <v>-5.7728185625673296</v>
      </c>
      <c r="G81" s="206">
        <v>-5.7965277525114747</v>
      </c>
      <c r="H81" s="206">
        <v>-5.7680323479066082</v>
      </c>
      <c r="I81" s="43">
        <f>SUM(D81:INDEX(D81:H81,0,MATCH('RFPR cover'!$C$9,$D$6:$H$6,0)))</f>
        <v>-6.8637694908252662</v>
      </c>
      <c r="J81" s="45">
        <f>SUM(D81:H81)</f>
        <v>-29.892175441630574</v>
      </c>
      <c r="K81" s="66"/>
      <c r="L81" s="66"/>
      <c r="M81"/>
      <c r="N81"/>
      <c r="O81"/>
      <c r="P81"/>
    </row>
    <row r="82" spans="2:16">
      <c r="B82" s="376" t="s">
        <v>310</v>
      </c>
      <c r="C82" s="38" t="str">
        <f>Data!$C$9</f>
        <v>£m 18/19</v>
      </c>
      <c r="D82" s="206">
        <v>-0.75257083414177506</v>
      </c>
      <c r="E82" s="206">
        <v>1.8531069190739544</v>
      </c>
      <c r="F82" s="206">
        <v>4.0182088251263854</v>
      </c>
      <c r="G82" s="206">
        <v>-2.9281439785063039</v>
      </c>
      <c r="H82" s="206">
        <v>-2.2310113702724297</v>
      </c>
      <c r="I82" s="43">
        <f>SUM(D82:INDEX(D82:H82,0,MATCH('RFPR cover'!$C$9,$D$6:$H$6,0)))</f>
        <v>-0.75257083414177506</v>
      </c>
      <c r="J82" s="45">
        <f t="shared" ref="J82:J83" si="37">SUM(D82:H82)</f>
        <v>-4.0410438720168695E-2</v>
      </c>
      <c r="K82" s="66"/>
      <c r="L82" s="66"/>
      <c r="M82"/>
      <c r="N82"/>
      <c r="O82"/>
      <c r="P82"/>
    </row>
    <row r="83" spans="2:16">
      <c r="B83" s="155" t="s">
        <v>311</v>
      </c>
      <c r="C83" s="38" t="str">
        <f>Data!$C$9</f>
        <v>£m 18/19</v>
      </c>
      <c r="D83" s="637">
        <f>SUM(D81:D82)</f>
        <v>-7.6163403249670409</v>
      </c>
      <c r="E83" s="637">
        <f t="shared" ref="E83" si="38">SUM(E81:E82)</f>
        <v>-3.8379203687459409</v>
      </c>
      <c r="F83" s="637">
        <f t="shared" ref="F83" si="39">SUM(F81:F82)</f>
        <v>-1.7546097374409442</v>
      </c>
      <c r="G83" s="637">
        <f t="shared" ref="G83" si="40">SUM(G81:G82)</f>
        <v>-8.7246717310177786</v>
      </c>
      <c r="H83" s="637">
        <f t="shared" ref="H83" si="41">SUM(H81:H82)</f>
        <v>-7.9990437181790384</v>
      </c>
      <c r="I83" s="43">
        <f>SUM(D83:INDEX(D83:H83,0,MATCH('RFPR cover'!$C$9,$D$6:$H$6,0)))</f>
        <v>-7.6163403249670409</v>
      </c>
      <c r="J83" s="45">
        <f t="shared" si="37"/>
        <v>-29.932585880350743</v>
      </c>
      <c r="K83" s="66"/>
      <c r="L83" s="66"/>
      <c r="M83"/>
      <c r="N83"/>
      <c r="O83"/>
      <c r="P83"/>
    </row>
    <row r="84" spans="2:16">
      <c r="B84" s="155"/>
      <c r="C84" s="155"/>
      <c r="D84" s="155"/>
      <c r="E84" s="155"/>
      <c r="F84" s="155"/>
      <c r="G84" s="155"/>
      <c r="H84" s="155"/>
      <c r="I84" s="155"/>
      <c r="J84" s="155"/>
      <c r="K84" s="66"/>
      <c r="L84" s="66"/>
      <c r="M84"/>
      <c r="N84"/>
      <c r="O84"/>
      <c r="P84"/>
    </row>
    <row r="85" spans="2:16">
      <c r="B85" s="66" t="s">
        <v>313</v>
      </c>
      <c r="C85" s="38"/>
      <c r="D85" s="637">
        <f>D83*D75</f>
        <v>-3.8081701624835205</v>
      </c>
      <c r="E85" s="637">
        <f t="shared" ref="E85:H85" si="42">E83*E75</f>
        <v>-1.9189601843729704</v>
      </c>
      <c r="F85" s="637">
        <f t="shared" si="42"/>
        <v>-0.87730486872047209</v>
      </c>
      <c r="G85" s="637">
        <f t="shared" si="42"/>
        <v>-4.3623358655088893</v>
      </c>
      <c r="H85" s="637">
        <f t="shared" si="42"/>
        <v>-3.9995218590895192</v>
      </c>
      <c r="I85" s="46">
        <f>SUM(D85:INDEX(D85:H85,0,MATCH('RFPR cover'!$C$9,$D$6:$H$6,0)))</f>
        <v>-3.8081701624835205</v>
      </c>
      <c r="J85" s="48">
        <f>SUM(D85:H85)</f>
        <v>-14.966292940175371</v>
      </c>
      <c r="K85" s="66"/>
      <c r="L85" s="66"/>
      <c r="M85"/>
      <c r="N85"/>
      <c r="O85"/>
      <c r="P85"/>
    </row>
    <row r="86" spans="2:16">
      <c r="B86" s="66" t="s">
        <v>314</v>
      </c>
      <c r="C86" s="38"/>
      <c r="D86" s="637">
        <f>D83*(1-D75)</f>
        <v>-3.8081701624835205</v>
      </c>
      <c r="E86" s="637">
        <f t="shared" ref="E86:H86" si="43">E83*(1-E75)</f>
        <v>-1.9189601843729704</v>
      </c>
      <c r="F86" s="637">
        <f t="shared" si="43"/>
        <v>-0.87730486872047209</v>
      </c>
      <c r="G86" s="637">
        <f t="shared" si="43"/>
        <v>-4.3623358655088893</v>
      </c>
      <c r="H86" s="637">
        <f t="shared" si="43"/>
        <v>-3.9995218590895192</v>
      </c>
      <c r="I86" s="43">
        <v>0</v>
      </c>
      <c r="J86" s="45">
        <f>SUM(D86:H86)</f>
        <v>-14.966292940175371</v>
      </c>
      <c r="K86" s="66"/>
      <c r="L86" s="66"/>
      <c r="M86"/>
      <c r="N86"/>
      <c r="O86"/>
      <c r="P86"/>
    </row>
    <row r="87" spans="2:16">
      <c r="B87" s="155"/>
      <c r="C87" s="155"/>
      <c r="D87" s="155"/>
      <c r="E87" s="155"/>
      <c r="F87" s="155"/>
      <c r="G87" s="155"/>
      <c r="H87" s="155"/>
      <c r="I87" s="155"/>
      <c r="J87" s="155"/>
      <c r="K87" s="66"/>
      <c r="L87" s="66"/>
      <c r="M87"/>
      <c r="N87"/>
      <c r="O87"/>
      <c r="P87"/>
    </row>
    <row r="88" spans="2:16">
      <c r="B88" s="155" t="s">
        <v>315</v>
      </c>
      <c r="C88" s="155"/>
      <c r="D88" s="155"/>
      <c r="E88" s="155"/>
      <c r="F88" s="155"/>
      <c r="G88" s="155"/>
      <c r="H88" s="155"/>
      <c r="I88" s="155"/>
      <c r="J88" s="155"/>
      <c r="K88" s="66"/>
      <c r="L88" s="66"/>
      <c r="M88"/>
      <c r="N88"/>
      <c r="O88"/>
      <c r="P88"/>
    </row>
    <row r="89" spans="2:16">
      <c r="B89" s="66" t="s">
        <v>306</v>
      </c>
      <c r="C89" s="38" t="str">
        <f>Data!$C$9</f>
        <v>£m 18/19</v>
      </c>
      <c r="D89" s="637">
        <f>D85+D77</f>
        <v>-2.6860575445617272</v>
      </c>
      <c r="E89" s="637">
        <f t="shared" ref="E89:H89" si="44">E85+E77</f>
        <v>6.4607723317164627</v>
      </c>
      <c r="F89" s="637">
        <f t="shared" si="44"/>
        <v>6.0855797889263101</v>
      </c>
      <c r="G89" s="637">
        <f t="shared" si="44"/>
        <v>1.5229306446585795</v>
      </c>
      <c r="H89" s="637">
        <f t="shared" si="44"/>
        <v>0.7260529176522752</v>
      </c>
      <c r="I89" s="43">
        <f>SUM(D89:INDEX(D89:H89,0,MATCH('RFPR cover'!$C$9,$D$6:$H$6,0)))</f>
        <v>-2.6860575445617272</v>
      </c>
      <c r="J89" s="45">
        <f>SUM(D89:H89)</f>
        <v>12.1092781383919</v>
      </c>
      <c r="K89" s="66"/>
      <c r="L89" s="66"/>
      <c r="M89"/>
      <c r="N89"/>
      <c r="O89"/>
      <c r="P89"/>
    </row>
    <row r="90" spans="2:16">
      <c r="B90" s="66" t="s">
        <v>307</v>
      </c>
      <c r="C90" s="38" t="str">
        <f>Data!$C$9</f>
        <v>£m 18/19</v>
      </c>
      <c r="D90" s="637">
        <f>D78+D86</f>
        <v>-2.6860575445617272</v>
      </c>
      <c r="E90" s="637">
        <f t="shared" ref="E90:H90" si="45">E78+E86</f>
        <v>6.4607723317164627</v>
      </c>
      <c r="F90" s="637">
        <f t="shared" si="45"/>
        <v>6.0855797889263101</v>
      </c>
      <c r="G90" s="637">
        <f t="shared" si="45"/>
        <v>1.5229306446585795</v>
      </c>
      <c r="H90" s="637">
        <f t="shared" si="45"/>
        <v>0.7260529176522752</v>
      </c>
      <c r="I90" s="43">
        <f>SUM(D90:INDEX(D90:H90,0,MATCH('RFPR cover'!$C$9,$D$6:$H$6,0)))</f>
        <v>-2.6860575445617272</v>
      </c>
      <c r="J90" s="45">
        <f t="shared" ref="J90:J91" si="46">SUM(D90:H90)</f>
        <v>12.1092781383919</v>
      </c>
      <c r="K90" s="66"/>
      <c r="L90" s="66"/>
      <c r="M90"/>
      <c r="N90"/>
      <c r="O90"/>
      <c r="P90"/>
    </row>
    <row r="91" spans="2:16">
      <c r="B91" s="155" t="s">
        <v>316</v>
      </c>
      <c r="C91" s="77" t="str">
        <f>Data!$C$9</f>
        <v>£m 18/19</v>
      </c>
      <c r="D91" s="637">
        <f>SUM(D89:D90)</f>
        <v>-5.3721150891234544</v>
      </c>
      <c r="E91" s="637">
        <f t="shared" ref="E91:H91" si="47">SUM(E89:E90)</f>
        <v>12.921544663432925</v>
      </c>
      <c r="F91" s="637">
        <f t="shared" si="47"/>
        <v>12.17115957785262</v>
      </c>
      <c r="G91" s="637">
        <f t="shared" si="47"/>
        <v>3.045861289317159</v>
      </c>
      <c r="H91" s="637">
        <f t="shared" si="47"/>
        <v>1.4521058353045504</v>
      </c>
      <c r="I91" s="43">
        <f>SUM(D91:INDEX(D91:H91,0,MATCH('RFPR cover'!$C$9,$D$6:$H$6,0)))</f>
        <v>-5.3721150891234544</v>
      </c>
      <c r="J91" s="45">
        <f t="shared" si="46"/>
        <v>24.218556276783801</v>
      </c>
      <c r="K91"/>
      <c r="L91"/>
      <c r="M91"/>
      <c r="N91"/>
      <c r="O91"/>
      <c r="P91"/>
    </row>
    <row r="92" spans="2:16">
      <c r="K92"/>
      <c r="L92"/>
      <c r="M92"/>
      <c r="N92"/>
      <c r="O92"/>
      <c r="P92"/>
    </row>
    <row r="93" spans="2:16">
      <c r="B93" s="241" t="s">
        <v>322</v>
      </c>
      <c r="C93" s="73"/>
      <c r="D93" s="41"/>
      <c r="E93" s="41"/>
      <c r="F93" s="41"/>
      <c r="G93" s="41"/>
      <c r="H93" s="41"/>
      <c r="I93" s="41"/>
      <c r="J93" s="41"/>
      <c r="N93"/>
      <c r="O93"/>
      <c r="P93"/>
    </row>
    <row r="94" spans="2:16">
      <c r="K94"/>
      <c r="L94"/>
      <c r="M94"/>
      <c r="N94"/>
      <c r="O94"/>
      <c r="P94"/>
    </row>
    <row r="95" spans="2:16">
      <c r="B95" s="155" t="s">
        <v>323</v>
      </c>
      <c r="N95"/>
      <c r="O95"/>
      <c r="P95"/>
    </row>
    <row r="96" spans="2:16">
      <c r="B96" s="66" t="s">
        <v>324</v>
      </c>
      <c r="C96" s="38" t="str">
        <f>Data!$C$9</f>
        <v>£m 18/19</v>
      </c>
      <c r="D96" s="637">
        <f t="shared" ref="D96:H97" si="48">D36+D65+D89</f>
        <v>1.2938216893994618</v>
      </c>
      <c r="E96" s="637">
        <f t="shared" si="48"/>
        <v>1.8918116329919714</v>
      </c>
      <c r="F96" s="637">
        <f t="shared" si="48"/>
        <v>4.9429347548167577</v>
      </c>
      <c r="G96" s="637">
        <f t="shared" si="48"/>
        <v>-0.11171058113455423</v>
      </c>
      <c r="H96" s="637">
        <f t="shared" si="48"/>
        <v>0.29314039543621018</v>
      </c>
      <c r="I96" s="43">
        <f>SUM(D96:INDEX(D96:H96,0,MATCH('RFPR cover'!$C$9,$D$6:$H$6,0)))</f>
        <v>1.2938216893994618</v>
      </c>
      <c r="J96" s="45">
        <f>SUM(D96:H96)</f>
        <v>8.3099978915098482</v>
      </c>
      <c r="N96"/>
      <c r="O96" s="351"/>
      <c r="P96"/>
    </row>
    <row r="97" spans="2:16">
      <c r="B97" s="66" t="s">
        <v>307</v>
      </c>
      <c r="C97" s="38" t="str">
        <f>Data!$C$9</f>
        <v>£m 18/19</v>
      </c>
      <c r="D97" s="637">
        <f t="shared" si="48"/>
        <v>1.9646832194497925</v>
      </c>
      <c r="E97" s="637">
        <f t="shared" si="48"/>
        <v>1.7175578948736456</v>
      </c>
      <c r="F97" s="637">
        <f t="shared" si="48"/>
        <v>4.7686810166984319</v>
      </c>
      <c r="G97" s="637">
        <f t="shared" si="48"/>
        <v>-0.28596431925288046</v>
      </c>
      <c r="H97" s="637">
        <f t="shared" si="48"/>
        <v>0.1450400797408582</v>
      </c>
      <c r="I97" s="43">
        <f>SUM(D97:INDEX(D97:H97,0,MATCH('RFPR cover'!$C$9,$D$6:$H$6,0)))</f>
        <v>1.9646832194497925</v>
      </c>
      <c r="J97" s="45">
        <f t="shared" ref="J97:J98" si="49">SUM(D97:H97)</f>
        <v>8.3099978915098482</v>
      </c>
      <c r="N97"/>
      <c r="O97"/>
      <c r="P97"/>
    </row>
    <row r="98" spans="2:16">
      <c r="B98" s="155" t="s">
        <v>325</v>
      </c>
      <c r="C98" s="77" t="str">
        <f>Data!$C$9</f>
        <v>£m 18/19</v>
      </c>
      <c r="D98" s="637">
        <f>SUM(D96:D97)</f>
        <v>3.2585049088492544</v>
      </c>
      <c r="E98" s="637">
        <f t="shared" ref="E98:H98" si="50">SUM(E96:E97)</f>
        <v>3.609369527865617</v>
      </c>
      <c r="F98" s="637">
        <f t="shared" si="50"/>
        <v>9.7116157715151896</v>
      </c>
      <c r="G98" s="637">
        <f t="shared" si="50"/>
        <v>-0.39767490038743469</v>
      </c>
      <c r="H98" s="637">
        <f t="shared" si="50"/>
        <v>0.43818047517706837</v>
      </c>
      <c r="I98" s="43">
        <f>SUM(D98:INDEX(D98:H98,0,MATCH('RFPR cover'!$C$9,$D$6:$H$6,0)))</f>
        <v>3.2585049088492544</v>
      </c>
      <c r="J98" s="45">
        <f t="shared" si="49"/>
        <v>16.619995783019696</v>
      </c>
      <c r="N98"/>
      <c r="O98"/>
      <c r="P98"/>
    </row>
    <row r="99" spans="2:16">
      <c r="B99" s="155"/>
      <c r="C99" s="77"/>
      <c r="D99" s="77"/>
      <c r="E99" s="77"/>
      <c r="F99" s="77"/>
      <c r="G99" s="77"/>
      <c r="H99" s="77"/>
      <c r="I99" s="77"/>
      <c r="J99" s="77"/>
      <c r="N99"/>
      <c r="O99"/>
      <c r="P99"/>
    </row>
    <row r="100" spans="2:16">
      <c r="B100" s="512" t="s">
        <v>326</v>
      </c>
      <c r="C100" s="128"/>
      <c r="D100" s="128"/>
      <c r="E100" s="128"/>
      <c r="F100" s="128"/>
      <c r="G100" s="128"/>
      <c r="H100" s="129"/>
      <c r="I100" s="129"/>
      <c r="J100" s="129"/>
    </row>
    <row r="102" spans="2:16">
      <c r="B102" s="2"/>
    </row>
    <row r="103" spans="2:16">
      <c r="B103" s="3"/>
      <c r="D103" s="153" t="str">
        <f t="shared" ref="D103:H103" si="51">IF(D104&lt;=Reporting_Year,"Actuals","N/A")</f>
        <v>Actuals</v>
      </c>
      <c r="E103" s="154" t="str">
        <f t="shared" si="51"/>
        <v>N/A</v>
      </c>
      <c r="F103" s="154" t="str">
        <f t="shared" si="51"/>
        <v>N/A</v>
      </c>
      <c r="G103" s="154" t="str">
        <f t="shared" si="51"/>
        <v>N/A</v>
      </c>
      <c r="H103" s="154" t="str">
        <f t="shared" si="51"/>
        <v>N/A</v>
      </c>
    </row>
    <row r="104" spans="2:16">
      <c r="B104" s="2"/>
      <c r="D104" s="62">
        <f>'RFPR cover'!$C$6</f>
        <v>2022</v>
      </c>
      <c r="E104" s="63">
        <f t="shared" ref="E104:H104" si="52">D104+1</f>
        <v>2023</v>
      </c>
      <c r="F104" s="63">
        <f t="shared" si="52"/>
        <v>2024</v>
      </c>
      <c r="G104" s="63">
        <f t="shared" si="52"/>
        <v>2025</v>
      </c>
      <c r="H104" s="63">
        <f t="shared" si="52"/>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327</v>
      </c>
      <c r="C107" s="70"/>
      <c r="D107" s="5"/>
      <c r="E107" s="5"/>
      <c r="F107" s="5"/>
      <c r="G107" s="5"/>
      <c r="H107" s="5"/>
      <c r="N107"/>
    </row>
    <row r="108" spans="2:16">
      <c r="B108" s="66" t="s">
        <v>328</v>
      </c>
      <c r="C108" s="75" t="s">
        <v>230</v>
      </c>
      <c r="D108" s="204">
        <v>778</v>
      </c>
      <c r="E108" s="204"/>
      <c r="F108" s="204"/>
      <c r="G108" s="204"/>
      <c r="H108" s="204"/>
    </row>
    <row r="109" spans="2:16">
      <c r="B109" s="66" t="s">
        <v>329</v>
      </c>
      <c r="C109" s="75" t="s">
        <v>230</v>
      </c>
      <c r="D109" s="204">
        <v>3</v>
      </c>
      <c r="E109" s="206"/>
      <c r="F109" s="206"/>
      <c r="G109" s="204"/>
      <c r="H109" s="204"/>
    </row>
    <row r="110" spans="2:16" ht="37.15">
      <c r="B110" s="67" t="s">
        <v>330</v>
      </c>
      <c r="C110" s="75" t="s">
        <v>230</v>
      </c>
      <c r="D110" s="204">
        <v>-2</v>
      </c>
      <c r="E110" s="206"/>
      <c r="F110" s="206"/>
      <c r="G110" s="206"/>
      <c r="H110" s="206"/>
    </row>
    <row r="111" spans="2:16">
      <c r="B111" s="66" t="s">
        <v>331</v>
      </c>
      <c r="C111" s="75" t="s">
        <v>230</v>
      </c>
      <c r="D111" s="204">
        <v>-52.795570429999998</v>
      </c>
      <c r="E111" s="204"/>
      <c r="F111" s="204"/>
      <c r="G111" s="204"/>
      <c r="H111" s="204"/>
    </row>
    <row r="112" spans="2:16">
      <c r="B112" s="66" t="s">
        <v>332</v>
      </c>
      <c r="C112" s="75" t="s">
        <v>230</v>
      </c>
      <c r="D112" s="204">
        <v>0</v>
      </c>
      <c r="E112" s="206"/>
      <c r="F112" s="206"/>
      <c r="G112" s="206"/>
      <c r="H112" s="206"/>
      <c r="O112"/>
      <c r="P112"/>
    </row>
    <row r="113" spans="1:8">
      <c r="B113" s="66" t="s">
        <v>333</v>
      </c>
      <c r="C113" s="75" t="s">
        <v>230</v>
      </c>
      <c r="D113" s="204">
        <v>0</v>
      </c>
      <c r="E113" s="210"/>
      <c r="F113" s="210"/>
      <c r="G113" s="210"/>
      <c r="H113" s="210"/>
    </row>
    <row r="114" spans="1:8">
      <c r="A114" s="3">
        <v>1</v>
      </c>
      <c r="B114" s="376" t="s">
        <v>334</v>
      </c>
      <c r="C114" s="75" t="s">
        <v>230</v>
      </c>
      <c r="D114" s="204">
        <v>0</v>
      </c>
      <c r="E114" s="205"/>
      <c r="F114" s="205"/>
      <c r="G114" s="205"/>
      <c r="H114" s="205"/>
    </row>
    <row r="115" spans="1:8">
      <c r="A115" s="3">
        <v>2</v>
      </c>
      <c r="B115" s="376" t="s">
        <v>334</v>
      </c>
      <c r="C115" s="75" t="s">
        <v>230</v>
      </c>
      <c r="D115" s="204">
        <v>0</v>
      </c>
      <c r="E115" s="206"/>
      <c r="F115" s="206"/>
      <c r="G115" s="206"/>
      <c r="H115" s="206"/>
    </row>
    <row r="116" spans="1:8">
      <c r="A116" s="3">
        <v>3</v>
      </c>
      <c r="B116" s="376" t="s">
        <v>334</v>
      </c>
      <c r="C116" s="75" t="s">
        <v>230</v>
      </c>
      <c r="D116" s="204">
        <v>0</v>
      </c>
      <c r="E116" s="206"/>
      <c r="F116" s="206"/>
      <c r="G116" s="206"/>
      <c r="H116" s="206"/>
    </row>
    <row r="117" spans="1:8">
      <c r="B117" s="5" t="s">
        <v>335</v>
      </c>
      <c r="C117" s="75" t="s">
        <v>230</v>
      </c>
      <c r="D117" s="211">
        <f t="shared" ref="D117:H117" si="53">SUM(D108:D116)</f>
        <v>726.20442957</v>
      </c>
      <c r="E117" s="637">
        <f t="shared" si="53"/>
        <v>0</v>
      </c>
      <c r="F117" s="637">
        <f t="shared" si="53"/>
        <v>0</v>
      </c>
      <c r="G117" s="637">
        <f t="shared" si="53"/>
        <v>0</v>
      </c>
      <c r="H117" s="637">
        <f t="shared" si="53"/>
        <v>0</v>
      </c>
    </row>
    <row r="118" spans="1:8">
      <c r="B118" s="66" t="s">
        <v>336</v>
      </c>
      <c r="C118" s="75" t="s">
        <v>230</v>
      </c>
      <c r="D118" s="204">
        <v>1299</v>
      </c>
      <c r="E118" s="204"/>
      <c r="F118" s="204"/>
      <c r="G118" s="204"/>
      <c r="H118" s="204"/>
    </row>
    <row r="119" spans="1:8">
      <c r="A119" s="3">
        <v>1</v>
      </c>
      <c r="B119" s="376" t="s">
        <v>334</v>
      </c>
      <c r="C119" s="75" t="s">
        <v>230</v>
      </c>
      <c r="D119" s="204">
        <v>0</v>
      </c>
      <c r="E119" s="205"/>
      <c r="F119" s="205"/>
      <c r="G119" s="205"/>
      <c r="H119" s="205"/>
    </row>
    <row r="120" spans="1:8">
      <c r="A120" s="3">
        <v>2</v>
      </c>
      <c r="B120" s="376" t="s">
        <v>334</v>
      </c>
      <c r="C120" s="75" t="s">
        <v>230</v>
      </c>
      <c r="D120" s="204">
        <v>0</v>
      </c>
      <c r="E120" s="206"/>
      <c r="F120" s="206"/>
      <c r="G120" s="206"/>
      <c r="H120" s="206"/>
    </row>
    <row r="121" spans="1:8">
      <c r="A121" s="3">
        <v>3</v>
      </c>
      <c r="B121" s="376" t="s">
        <v>334</v>
      </c>
      <c r="C121" s="75" t="s">
        <v>230</v>
      </c>
      <c r="D121" s="204">
        <v>0</v>
      </c>
      <c r="E121" s="206"/>
      <c r="F121" s="206"/>
      <c r="G121" s="206"/>
      <c r="H121" s="206"/>
    </row>
    <row r="122" spans="1:8">
      <c r="A122" s="3"/>
      <c r="B122" s="5" t="s">
        <v>337</v>
      </c>
      <c r="C122" s="75" t="s">
        <v>230</v>
      </c>
      <c r="D122" s="637">
        <f>SUM(D118:D121)</f>
        <v>1299</v>
      </c>
      <c r="E122" s="637">
        <f t="shared" ref="E122:H122" si="54">SUM(E118:E121)</f>
        <v>0</v>
      </c>
      <c r="F122" s="637">
        <f t="shared" si="54"/>
        <v>0</v>
      </c>
      <c r="G122" s="637">
        <f t="shared" si="54"/>
        <v>0</v>
      </c>
      <c r="H122" s="637">
        <f t="shared" si="54"/>
        <v>0</v>
      </c>
    </row>
    <row r="123" spans="1:8" s="167" customFormat="1" ht="15" customHeight="1">
      <c r="B123" s="256" t="s">
        <v>338</v>
      </c>
      <c r="C123" s="372" t="s">
        <v>230</v>
      </c>
      <c r="D123" s="637">
        <f>SUM(D117,D122)</f>
        <v>2025.20442957</v>
      </c>
      <c r="E123" s="637">
        <f t="shared" ref="E123:H123" si="55">SUM(E117,E122)</f>
        <v>0</v>
      </c>
      <c r="F123" s="637">
        <f t="shared" si="55"/>
        <v>0</v>
      </c>
      <c r="G123" s="637">
        <f t="shared" si="55"/>
        <v>0</v>
      </c>
      <c r="H123" s="637">
        <f t="shared" si="55"/>
        <v>0</v>
      </c>
    </row>
    <row r="124" spans="1:8" ht="7.5" customHeight="1">
      <c r="B124" s="2"/>
      <c r="D124" s="29"/>
      <c r="E124" s="29"/>
      <c r="F124" s="29"/>
      <c r="G124" s="29"/>
      <c r="H124" s="29"/>
    </row>
    <row r="125" spans="1:8" ht="26.65" customHeight="1">
      <c r="B125" s="5" t="s">
        <v>339</v>
      </c>
      <c r="C125" s="75"/>
    </row>
    <row r="126" spans="1:8">
      <c r="B126" s="651" t="s">
        <v>340</v>
      </c>
      <c r="C126" s="75"/>
    </row>
    <row r="127" spans="1:8">
      <c r="A127" s="3">
        <v>1</v>
      </c>
      <c r="B127" s="376" t="s">
        <v>341</v>
      </c>
      <c r="C127" s="75" t="s">
        <v>230</v>
      </c>
      <c r="D127" s="204">
        <v>-10.403745859999999</v>
      </c>
      <c r="E127" s="204"/>
      <c r="F127" s="204"/>
      <c r="G127" s="204"/>
      <c r="H127" s="204"/>
    </row>
    <row r="128" spans="1:8">
      <c r="A128" s="3">
        <v>2</v>
      </c>
      <c r="B128" s="376" t="s">
        <v>342</v>
      </c>
      <c r="C128" s="75" t="s">
        <v>230</v>
      </c>
      <c r="D128" s="204">
        <v>1.79347046</v>
      </c>
      <c r="E128" s="204"/>
      <c r="F128" s="204"/>
      <c r="G128" s="204"/>
      <c r="H128" s="204"/>
    </row>
    <row r="129" spans="1:8">
      <c r="A129" s="3">
        <v>3</v>
      </c>
      <c r="B129" s="376" t="s">
        <v>343</v>
      </c>
      <c r="C129" s="75" t="s">
        <v>230</v>
      </c>
      <c r="D129" s="204">
        <v>-4.6525753400000003</v>
      </c>
      <c r="E129" s="204"/>
      <c r="F129" s="204"/>
      <c r="G129" s="204"/>
      <c r="H129" s="204"/>
    </row>
    <row r="130" spans="1:8">
      <c r="A130" s="3">
        <v>4</v>
      </c>
      <c r="B130" s="376" t="s">
        <v>344</v>
      </c>
      <c r="C130" s="75" t="s">
        <v>230</v>
      </c>
      <c r="D130" s="204">
        <v>-9.5392999500000002</v>
      </c>
      <c r="E130" s="204"/>
      <c r="F130" s="204"/>
      <c r="G130" s="204"/>
      <c r="H130" s="204"/>
    </row>
    <row r="131" spans="1:8">
      <c r="A131" s="3">
        <v>5</v>
      </c>
      <c r="B131" s="376" t="s">
        <v>345</v>
      </c>
      <c r="C131" s="75" t="s">
        <v>230</v>
      </c>
      <c r="D131" s="204">
        <v>3.2850432676048613</v>
      </c>
      <c r="E131" s="204"/>
      <c r="F131" s="204"/>
      <c r="G131" s="204"/>
      <c r="H131" s="204"/>
    </row>
    <row r="132" spans="1:8">
      <c r="A132" s="3">
        <v>6</v>
      </c>
      <c r="B132" s="376" t="s">
        <v>346</v>
      </c>
      <c r="C132" s="75" t="s">
        <v>230</v>
      </c>
      <c r="D132" s="204">
        <v>1.3708620000000005E-2</v>
      </c>
      <c r="E132" s="204"/>
      <c r="F132" s="204"/>
      <c r="G132" s="204"/>
      <c r="H132" s="204"/>
    </row>
    <row r="133" spans="1:8">
      <c r="A133" s="3">
        <v>7</v>
      </c>
      <c r="B133" s="376" t="s">
        <v>347</v>
      </c>
      <c r="C133" s="75" t="s">
        <v>230</v>
      </c>
      <c r="D133" s="204">
        <v>10.0745662</v>
      </c>
      <c r="E133" s="204"/>
      <c r="F133" s="204"/>
      <c r="G133" s="204"/>
      <c r="H133" s="204"/>
    </row>
    <row r="134" spans="1:8">
      <c r="A134" s="3">
        <v>8</v>
      </c>
      <c r="B134" s="376" t="s">
        <v>348</v>
      </c>
      <c r="C134" s="75" t="s">
        <v>230</v>
      </c>
      <c r="D134" s="204">
        <v>-8.8624058323207784</v>
      </c>
      <c r="E134" s="204"/>
      <c r="F134" s="204"/>
      <c r="G134" s="204"/>
      <c r="H134" s="204"/>
    </row>
    <row r="135" spans="1:8">
      <c r="A135" s="3">
        <v>9</v>
      </c>
      <c r="B135" s="376" t="s">
        <v>349</v>
      </c>
      <c r="C135" s="75" t="s">
        <v>230</v>
      </c>
      <c r="D135" s="204">
        <v>-7.1329575300000014</v>
      </c>
      <c r="E135" s="204"/>
      <c r="F135" s="204"/>
      <c r="G135" s="204"/>
      <c r="H135" s="204"/>
    </row>
    <row r="136" spans="1:8">
      <c r="A136" s="3">
        <v>10</v>
      </c>
      <c r="B136" s="376" t="s">
        <v>350</v>
      </c>
      <c r="C136" s="75" t="s">
        <v>230</v>
      </c>
      <c r="D136" s="204">
        <v>-3.1436647999999998</v>
      </c>
      <c r="E136" s="204"/>
      <c r="F136" s="204"/>
      <c r="G136" s="204"/>
      <c r="H136" s="204"/>
    </row>
    <row r="137" spans="1:8">
      <c r="A137" s="3">
        <v>11</v>
      </c>
      <c r="B137" s="376" t="s">
        <v>351</v>
      </c>
      <c r="C137" s="75" t="s">
        <v>230</v>
      </c>
      <c r="D137" s="204">
        <v>-1.2276182099999999</v>
      </c>
      <c r="E137" s="204"/>
      <c r="F137" s="204"/>
      <c r="G137" s="204"/>
      <c r="H137" s="204"/>
    </row>
    <row r="138" spans="1:8">
      <c r="A138" s="3">
        <v>12</v>
      </c>
      <c r="B138" s="376" t="s">
        <v>352</v>
      </c>
      <c r="C138" s="75" t="s">
        <v>230</v>
      </c>
      <c r="D138" s="204">
        <v>0.85310900000000001</v>
      </c>
      <c r="E138" s="204"/>
      <c r="F138" s="204"/>
      <c r="G138" s="204"/>
      <c r="H138" s="204"/>
    </row>
    <row r="139" spans="1:8">
      <c r="A139" s="3">
        <v>13</v>
      </c>
      <c r="B139" s="376" t="s">
        <v>353</v>
      </c>
      <c r="C139" s="75" t="s">
        <v>230</v>
      </c>
      <c r="D139" s="204">
        <v>7.8821960522478731</v>
      </c>
      <c r="E139" s="204"/>
      <c r="F139" s="204"/>
      <c r="G139" s="204"/>
      <c r="H139" s="204"/>
    </row>
    <row r="140" spans="1:8">
      <c r="A140" s="3">
        <v>14</v>
      </c>
      <c r="B140" s="376" t="s">
        <v>354</v>
      </c>
      <c r="C140" s="75" t="s">
        <v>230</v>
      </c>
      <c r="D140" s="204">
        <v>0.70757203000000002</v>
      </c>
      <c r="E140" s="204"/>
      <c r="F140" s="204"/>
      <c r="G140" s="204"/>
      <c r="H140" s="204"/>
    </row>
    <row r="141" spans="1:8">
      <c r="A141" s="3">
        <v>15</v>
      </c>
      <c r="B141" s="376" t="s">
        <v>355</v>
      </c>
      <c r="C141" s="75" t="s">
        <v>230</v>
      </c>
      <c r="D141" s="204">
        <v>-3.2457352284325197E-2</v>
      </c>
      <c r="E141" s="204"/>
      <c r="F141" s="204"/>
      <c r="G141" s="204"/>
      <c r="H141" s="204"/>
    </row>
    <row r="142" spans="1:8">
      <c r="A142" s="3">
        <v>16</v>
      </c>
      <c r="B142" s="376" t="s">
        <v>356</v>
      </c>
      <c r="C142" s="75" t="s">
        <v>230</v>
      </c>
      <c r="D142" s="204">
        <v>-1164.8027251272465</v>
      </c>
      <c r="E142" s="204"/>
      <c r="F142" s="204"/>
      <c r="G142" s="204"/>
      <c r="H142" s="204"/>
    </row>
    <row r="143" spans="1:8" ht="18.75" customHeight="1">
      <c r="A143" s="3"/>
      <c r="B143" s="2" t="s">
        <v>357</v>
      </c>
      <c r="C143" s="75" t="s">
        <v>230</v>
      </c>
      <c r="D143" s="637">
        <f>SUM(D127:D142)</f>
        <v>-1185.1877843719988</v>
      </c>
      <c r="E143" s="637">
        <f>SUM(E127:E142)</f>
        <v>0</v>
      </c>
      <c r="F143" s="637">
        <f>SUM(F127:F142)</f>
        <v>0</v>
      </c>
      <c r="G143" s="637">
        <f>SUM(G127:G142)</f>
        <v>0</v>
      </c>
      <c r="H143" s="637">
        <f>SUM(H127:H142)</f>
        <v>0</v>
      </c>
    </row>
    <row r="144" spans="1:8">
      <c r="A144" s="3"/>
      <c r="B144" s="651" t="s">
        <v>358</v>
      </c>
      <c r="C144" s="5"/>
      <c r="D144" s="5"/>
      <c r="E144" s="5"/>
      <c r="F144" s="5"/>
      <c r="G144" s="5"/>
      <c r="H144" s="5"/>
    </row>
    <row r="145" spans="1:16">
      <c r="A145" s="3">
        <v>17</v>
      </c>
      <c r="B145" s="376" t="s">
        <v>359</v>
      </c>
      <c r="C145" s="75" t="s">
        <v>230</v>
      </c>
      <c r="D145" s="204">
        <v>-2.2717923500000001</v>
      </c>
      <c r="E145" s="204"/>
      <c r="F145" s="204"/>
      <c r="G145" s="204"/>
      <c r="H145" s="204"/>
    </row>
    <row r="146" spans="1:16">
      <c r="A146" s="3">
        <v>18</v>
      </c>
      <c r="B146" s="376" t="s">
        <v>360</v>
      </c>
      <c r="C146" s="75" t="s">
        <v>230</v>
      </c>
      <c r="D146" s="204">
        <v>-56</v>
      </c>
      <c r="E146" s="204"/>
      <c r="F146" s="204"/>
      <c r="G146" s="204"/>
      <c r="H146" s="204"/>
    </row>
    <row r="147" spans="1:16">
      <c r="A147" s="3">
        <v>19</v>
      </c>
      <c r="B147" s="376" t="s">
        <v>361</v>
      </c>
      <c r="C147" s="75" t="s">
        <v>230</v>
      </c>
      <c r="D147" s="204">
        <v>-2.5877505599999999</v>
      </c>
      <c r="E147" s="204"/>
      <c r="F147" s="204"/>
      <c r="G147" s="204"/>
      <c r="H147" s="204"/>
    </row>
    <row r="148" spans="1:16">
      <c r="A148" s="3">
        <v>20</v>
      </c>
      <c r="B148" s="376" t="s">
        <v>362</v>
      </c>
      <c r="C148" s="75" t="s">
        <v>230</v>
      </c>
      <c r="D148" s="204">
        <v>-402.46512377000005</v>
      </c>
      <c r="E148" s="204"/>
      <c r="F148" s="204"/>
      <c r="G148" s="204"/>
      <c r="H148" s="204"/>
      <c r="O148"/>
      <c r="P148"/>
    </row>
    <row r="149" spans="1:16">
      <c r="A149" s="3">
        <v>21</v>
      </c>
      <c r="B149" s="376" t="s">
        <v>334</v>
      </c>
      <c r="C149" s="75" t="s">
        <v>230</v>
      </c>
      <c r="D149" s="204">
        <v>0</v>
      </c>
      <c r="E149" s="204"/>
      <c r="F149" s="204"/>
      <c r="G149" s="204"/>
      <c r="H149" s="204"/>
      <c r="O149"/>
      <c r="P149"/>
    </row>
    <row r="150" spans="1:16">
      <c r="A150" s="3">
        <v>22</v>
      </c>
      <c r="B150" s="376" t="s">
        <v>334</v>
      </c>
      <c r="C150" s="75" t="s">
        <v>230</v>
      </c>
      <c r="D150" s="204">
        <v>0</v>
      </c>
      <c r="E150" s="204"/>
      <c r="F150" s="204"/>
      <c r="G150" s="204"/>
      <c r="H150" s="204"/>
      <c r="O150"/>
      <c r="P150"/>
    </row>
    <row r="151" spans="1:16">
      <c r="A151" s="3">
        <v>23</v>
      </c>
      <c r="B151" s="376" t="s">
        <v>334</v>
      </c>
      <c r="C151" s="75" t="s">
        <v>230</v>
      </c>
      <c r="D151" s="204">
        <v>0</v>
      </c>
      <c r="E151" s="204"/>
      <c r="F151" s="204"/>
      <c r="G151" s="204"/>
      <c r="H151" s="204"/>
      <c r="O151"/>
      <c r="P151"/>
    </row>
    <row r="152" spans="1:16" ht="19.5" customHeight="1">
      <c r="A152" s="3"/>
      <c r="B152" s="2" t="s">
        <v>357</v>
      </c>
      <c r="C152" s="75" t="s">
        <v>230</v>
      </c>
      <c r="D152" s="637">
        <f>SUM(D145:D151)</f>
        <v>-463.32466668000006</v>
      </c>
      <c r="E152" s="637">
        <f t="shared" ref="E152:H152" si="56">SUM(E145:E151)</f>
        <v>0</v>
      </c>
      <c r="F152" s="637">
        <f t="shared" si="56"/>
        <v>0</v>
      </c>
      <c r="G152" s="637">
        <f t="shared" si="56"/>
        <v>0</v>
      </c>
      <c r="H152" s="637">
        <f t="shared" si="56"/>
        <v>0</v>
      </c>
      <c r="O152"/>
      <c r="P152"/>
    </row>
    <row r="153" spans="1:16" ht="17.649999999999999" customHeight="1">
      <c r="B153" s="5" t="s">
        <v>363</v>
      </c>
      <c r="C153" s="75" t="s">
        <v>230</v>
      </c>
      <c r="D153" s="637">
        <f>D143+D152</f>
        <v>-1648.5124510519988</v>
      </c>
      <c r="E153" s="637">
        <f t="shared" ref="E153:H153" si="57">E143+E152</f>
        <v>0</v>
      </c>
      <c r="F153" s="637">
        <f t="shared" si="57"/>
        <v>0</v>
      </c>
      <c r="G153" s="637">
        <f t="shared" si="57"/>
        <v>0</v>
      </c>
      <c r="H153" s="637">
        <f t="shared" si="57"/>
        <v>0</v>
      </c>
      <c r="O153"/>
      <c r="P153"/>
    </row>
    <row r="154" spans="1:16">
      <c r="B154" s="2"/>
      <c r="D154" s="29"/>
      <c r="E154" s="29"/>
      <c r="F154" s="29"/>
      <c r="G154" s="29"/>
      <c r="H154" s="29"/>
      <c r="O154"/>
      <c r="P154"/>
    </row>
    <row r="155" spans="1:16">
      <c r="B155" s="5" t="s">
        <v>364</v>
      </c>
      <c r="C155" s="75" t="s">
        <v>230</v>
      </c>
      <c r="D155" s="637">
        <f>D153+D123</f>
        <v>376.69197851800118</v>
      </c>
      <c r="E155" s="637">
        <f>E153+E123</f>
        <v>0</v>
      </c>
      <c r="F155" s="637">
        <f>F153+F123</f>
        <v>0</v>
      </c>
      <c r="G155" s="637">
        <f>G153+G123</f>
        <v>0</v>
      </c>
      <c r="H155" s="637">
        <f>H153+H123</f>
        <v>0</v>
      </c>
      <c r="O155" s="351"/>
      <c r="P155"/>
    </row>
    <row r="156" spans="1:16">
      <c r="B156" s="2" t="s">
        <v>365</v>
      </c>
      <c r="C156" s="75" t="s">
        <v>23</v>
      </c>
      <c r="D156" s="425">
        <v>347.25082748875769</v>
      </c>
      <c r="E156" s="656"/>
      <c r="F156" s="656"/>
      <c r="G156" s="656"/>
      <c r="H156" s="656"/>
      <c r="I156" s="2" t="s">
        <v>366</v>
      </c>
      <c r="O156"/>
      <c r="P156"/>
    </row>
    <row r="157" spans="1:16">
      <c r="B157" s="2" t="s">
        <v>367</v>
      </c>
      <c r="C157" s="75" t="s">
        <v>230</v>
      </c>
      <c r="D157" s="656">
        <v>0</v>
      </c>
      <c r="E157" s="656"/>
      <c r="F157" s="656"/>
      <c r="G157" s="656"/>
      <c r="H157" s="656"/>
      <c r="I157" s="2" t="s">
        <v>366</v>
      </c>
    </row>
    <row r="158" spans="1:16">
      <c r="B158" s="2" t="s">
        <v>368</v>
      </c>
      <c r="C158" s="75" t="s">
        <v>230</v>
      </c>
      <c r="D158" s="604">
        <f>IF(A2="Cadent",D157,D156*INDEX(real_to_nominal_CF,MATCH(D6,calendar_year,0)))</f>
        <v>376.69197851800101</v>
      </c>
      <c r="E158" s="604">
        <f>IF(B2="Cadent",E157,E156*INDEX(real_to_nominal_CF,MATCH(E6,calendar_year,0)))</f>
        <v>0</v>
      </c>
      <c r="F158" s="604">
        <f>IF(C2="Cadent",F157,F156*INDEX(real_to_nominal_CF,MATCH(F6,calendar_year,0)))</f>
        <v>0</v>
      </c>
      <c r="G158" s="604">
        <f>IF(D2="Cadent",G157,G156*INDEX(real_to_nominal_CF,MATCH(G6,calendar_year,0)))</f>
        <v>0</v>
      </c>
      <c r="H158" s="604">
        <f>IF(E2="Cadent",H157,H156*INDEX(real_to_nominal_CF,MATCH(H6,calendar_year,0)))</f>
        <v>0</v>
      </c>
      <c r="I158"/>
      <c r="O158"/>
      <c r="P158"/>
    </row>
    <row r="159" spans="1:16">
      <c r="B159" s="2"/>
      <c r="C159" s="69" t="s">
        <v>369</v>
      </c>
      <c r="D159" s="212" t="str">
        <f>IF(D$103="Actuals",IF(ABS(D155-D158)&lt;materiality_threshold,"OK","ERROR"),"N/A")</f>
        <v>OK</v>
      </c>
      <c r="E159" s="212" t="str">
        <f>IF(E$103="Actuals",IF(ABS(E155-E158)&lt;materiality_threshold,"OK","ERROR"),"N/A")</f>
        <v>N/A</v>
      </c>
      <c r="F159" s="212" t="str">
        <f>IF(F$103="Actuals",IF(ABS(F155-F158)&lt;materiality_threshold,"OK","ERROR"),"N/A")</f>
        <v>N/A</v>
      </c>
      <c r="G159" s="212" t="str">
        <f>IF(G$103="Actuals",IF(ABS(G155-G158)&lt;materiality_threshold,"OK","ERROR"),"N/A")</f>
        <v>N/A</v>
      </c>
      <c r="H159" s="212" t="str">
        <f>IF(H$103="Actuals",IF(ABS(H155-H158)&lt;materiality_threshold,"OK","ERROR"),"N/A")</f>
        <v>N/A</v>
      </c>
      <c r="O159"/>
      <c r="P159"/>
    </row>
    <row r="160" spans="1:16">
      <c r="B160" s="2" t="s">
        <v>157</v>
      </c>
      <c r="O160"/>
      <c r="P160"/>
    </row>
    <row r="161" spans="1:16">
      <c r="B161" s="5" t="s">
        <v>370</v>
      </c>
      <c r="C161" s="75"/>
    </row>
    <row r="162" spans="1:16">
      <c r="A162" s="3">
        <v>1</v>
      </c>
      <c r="B162" s="376" t="s">
        <v>371</v>
      </c>
      <c r="C162" s="75" t="s">
        <v>230</v>
      </c>
      <c r="D162" s="204">
        <v>14.79920598494741</v>
      </c>
      <c r="E162" s="204"/>
      <c r="F162" s="204"/>
      <c r="G162" s="204"/>
      <c r="H162" s="204"/>
    </row>
    <row r="163" spans="1:16">
      <c r="A163" s="3">
        <v>2</v>
      </c>
      <c r="B163" s="376" t="s">
        <v>372</v>
      </c>
      <c r="C163" s="75" t="s">
        <v>230</v>
      </c>
      <c r="D163" s="204">
        <v>2.6548679160000002</v>
      </c>
      <c r="E163" s="206"/>
      <c r="F163" s="206"/>
      <c r="G163" s="206"/>
      <c r="H163" s="206"/>
    </row>
    <row r="164" spans="1:16">
      <c r="A164" s="3">
        <v>3</v>
      </c>
      <c r="B164" s="376" t="s">
        <v>373</v>
      </c>
      <c r="C164" s="75" t="s">
        <v>230</v>
      </c>
      <c r="D164" s="204">
        <v>50.576025600000008</v>
      </c>
      <c r="E164" s="206"/>
      <c r="F164" s="206"/>
      <c r="G164" s="206"/>
      <c r="H164" s="206"/>
    </row>
    <row r="165" spans="1:16">
      <c r="A165" s="3">
        <v>4</v>
      </c>
      <c r="B165" s="376" t="s">
        <v>353</v>
      </c>
      <c r="C165" s="75" t="s">
        <v>230</v>
      </c>
      <c r="D165" s="204">
        <v>7.8821960522478731</v>
      </c>
      <c r="E165" s="206"/>
      <c r="F165" s="206"/>
      <c r="G165" s="206"/>
      <c r="H165" s="206"/>
    </row>
    <row r="166" spans="1:16">
      <c r="A166" s="3">
        <v>5</v>
      </c>
      <c r="B166" s="376" t="s">
        <v>374</v>
      </c>
      <c r="C166" s="75" t="s">
        <v>230</v>
      </c>
      <c r="D166" s="204">
        <v>40.064948080000001</v>
      </c>
      <c r="E166" s="206"/>
      <c r="F166" s="206"/>
      <c r="G166" s="206"/>
      <c r="H166" s="206"/>
    </row>
    <row r="167" spans="1:16">
      <c r="A167" s="3">
        <v>6</v>
      </c>
      <c r="B167" s="376" t="s">
        <v>256</v>
      </c>
      <c r="C167" s="75" t="s">
        <v>230</v>
      </c>
      <c r="D167" s="204">
        <v>3.8096813258613555</v>
      </c>
      <c r="E167" s="206"/>
      <c r="F167" s="206"/>
      <c r="G167" s="206"/>
      <c r="H167" s="206"/>
    </row>
    <row r="168" spans="1:16">
      <c r="A168" s="3">
        <v>7</v>
      </c>
      <c r="B168" s="376" t="s">
        <v>375</v>
      </c>
      <c r="C168" s="75" t="s">
        <v>230</v>
      </c>
      <c r="D168" s="204">
        <v>0.63234815318852788</v>
      </c>
      <c r="E168" s="206"/>
      <c r="F168" s="206"/>
      <c r="G168" s="206"/>
      <c r="H168" s="206"/>
    </row>
    <row r="169" spans="1:16">
      <c r="A169" s="3">
        <v>8</v>
      </c>
      <c r="B169" s="376" t="s">
        <v>376</v>
      </c>
      <c r="C169" s="75" t="s">
        <v>230</v>
      </c>
      <c r="D169" s="204">
        <v>0.47129999999999994</v>
      </c>
      <c r="E169" s="206"/>
      <c r="F169" s="206"/>
      <c r="G169" s="206"/>
      <c r="H169" s="206"/>
    </row>
    <row r="170" spans="1:16">
      <c r="A170" s="3">
        <v>9</v>
      </c>
      <c r="B170" s="376" t="s">
        <v>352</v>
      </c>
      <c r="C170" s="75" t="s">
        <v>230</v>
      </c>
      <c r="D170" s="204">
        <v>0.85310900000000001</v>
      </c>
      <c r="E170" s="206"/>
      <c r="F170" s="206"/>
      <c r="G170" s="206"/>
      <c r="H170" s="206"/>
    </row>
    <row r="171" spans="1:16">
      <c r="A171" s="3">
        <v>10</v>
      </c>
      <c r="B171" s="376" t="s">
        <v>334</v>
      </c>
      <c r="C171" s="75" t="s">
        <v>230</v>
      </c>
      <c r="D171" s="204">
        <v>0</v>
      </c>
      <c r="E171" s="206"/>
      <c r="F171" s="206"/>
      <c r="G171" s="206"/>
      <c r="H171" s="206"/>
    </row>
    <row r="172" spans="1:16">
      <c r="A172" s="3">
        <v>11</v>
      </c>
      <c r="B172" s="376" t="s">
        <v>334</v>
      </c>
      <c r="C172" s="75" t="s">
        <v>230</v>
      </c>
      <c r="D172" s="204">
        <v>0</v>
      </c>
      <c r="E172" s="206"/>
      <c r="F172" s="206"/>
      <c r="G172" s="206"/>
      <c r="H172" s="206"/>
    </row>
    <row r="173" spans="1:16">
      <c r="A173" s="3">
        <v>12</v>
      </c>
      <c r="B173" s="376" t="s">
        <v>334</v>
      </c>
      <c r="C173" s="75" t="s">
        <v>230</v>
      </c>
      <c r="D173" s="204">
        <v>0</v>
      </c>
      <c r="E173" s="206"/>
      <c r="F173" s="206"/>
      <c r="G173" s="206"/>
      <c r="H173" s="206"/>
    </row>
    <row r="174" spans="1:16">
      <c r="A174" s="3">
        <v>13</v>
      </c>
      <c r="B174" s="376" t="s">
        <v>334</v>
      </c>
      <c r="C174" s="75" t="s">
        <v>230</v>
      </c>
      <c r="D174" s="204">
        <v>0</v>
      </c>
      <c r="E174" s="206"/>
      <c r="F174" s="206"/>
      <c r="G174" s="206"/>
      <c r="H174" s="206"/>
    </row>
    <row r="175" spans="1:16">
      <c r="A175" s="3">
        <v>14</v>
      </c>
      <c r="B175" s="376" t="s">
        <v>334</v>
      </c>
      <c r="C175" s="75" t="s">
        <v>230</v>
      </c>
      <c r="D175" s="204">
        <v>0</v>
      </c>
      <c r="E175" s="206"/>
      <c r="F175" s="206"/>
      <c r="G175" s="206"/>
      <c r="H175" s="206"/>
      <c r="O175"/>
      <c r="P175"/>
    </row>
    <row r="176" spans="1:16">
      <c r="A176" s="3">
        <v>15</v>
      </c>
      <c r="B176" s="376" t="s">
        <v>334</v>
      </c>
      <c r="C176" s="75" t="s">
        <v>230</v>
      </c>
      <c r="D176" s="204">
        <v>0</v>
      </c>
      <c r="E176" s="206"/>
      <c r="F176" s="206"/>
      <c r="G176" s="206"/>
      <c r="H176" s="206"/>
      <c r="O176"/>
      <c r="P176"/>
    </row>
    <row r="177" spans="1:16">
      <c r="A177" s="3">
        <v>16</v>
      </c>
      <c r="B177" s="376" t="s">
        <v>334</v>
      </c>
      <c r="C177" s="75" t="s">
        <v>230</v>
      </c>
      <c r="D177" s="204">
        <v>0</v>
      </c>
      <c r="E177" s="206"/>
      <c r="F177" s="206"/>
      <c r="G177" s="206"/>
      <c r="H177" s="206"/>
      <c r="O177"/>
      <c r="P177"/>
    </row>
    <row r="178" spans="1:16">
      <c r="A178" s="3">
        <v>17</v>
      </c>
      <c r="B178" s="376" t="s">
        <v>334</v>
      </c>
      <c r="C178" s="75" t="s">
        <v>230</v>
      </c>
      <c r="D178" s="204">
        <v>0</v>
      </c>
      <c r="E178" s="206"/>
      <c r="F178" s="206"/>
      <c r="G178" s="206"/>
      <c r="H178" s="206"/>
      <c r="O178"/>
      <c r="P178"/>
    </row>
    <row r="179" spans="1:16">
      <c r="A179" s="3">
        <v>18</v>
      </c>
      <c r="B179" s="376" t="s">
        <v>334</v>
      </c>
      <c r="C179" s="75" t="s">
        <v>230</v>
      </c>
      <c r="D179" s="204">
        <v>0</v>
      </c>
      <c r="E179" s="206"/>
      <c r="F179" s="206"/>
      <c r="G179" s="206"/>
      <c r="H179" s="206"/>
      <c r="O179"/>
      <c r="P179"/>
    </row>
    <row r="180" spans="1:16">
      <c r="A180" s="3">
        <v>19</v>
      </c>
      <c r="B180" s="376" t="s">
        <v>334</v>
      </c>
      <c r="C180" s="75" t="s">
        <v>230</v>
      </c>
      <c r="D180" s="204">
        <v>0</v>
      </c>
      <c r="E180" s="206"/>
      <c r="F180" s="206"/>
      <c r="G180" s="206"/>
      <c r="H180" s="206"/>
      <c r="O180"/>
      <c r="P180"/>
    </row>
    <row r="181" spans="1:16">
      <c r="A181" s="3">
        <v>20</v>
      </c>
      <c r="B181" s="376" t="s">
        <v>334</v>
      </c>
      <c r="C181" s="75" t="s">
        <v>230</v>
      </c>
      <c r="D181" s="204">
        <v>0</v>
      </c>
      <c r="E181" s="206"/>
      <c r="F181" s="206"/>
      <c r="G181" s="206"/>
      <c r="H181" s="206"/>
      <c r="O181"/>
      <c r="P181"/>
    </row>
    <row r="182" spans="1:16">
      <c r="A182" s="3">
        <v>21</v>
      </c>
      <c r="B182" s="376" t="s">
        <v>334</v>
      </c>
      <c r="C182" s="75" t="s">
        <v>230</v>
      </c>
      <c r="D182" s="204">
        <v>0</v>
      </c>
      <c r="E182" s="206"/>
      <c r="F182" s="206"/>
      <c r="G182" s="206"/>
      <c r="H182" s="206"/>
      <c r="O182"/>
      <c r="P182"/>
    </row>
    <row r="183" spans="1:16">
      <c r="A183" s="3">
        <v>22</v>
      </c>
      <c r="B183" s="376" t="s">
        <v>334</v>
      </c>
      <c r="C183" s="75" t="s">
        <v>230</v>
      </c>
      <c r="D183" s="204">
        <v>0</v>
      </c>
      <c r="E183" s="206"/>
      <c r="F183" s="206"/>
      <c r="G183" s="206"/>
      <c r="H183" s="206"/>
      <c r="O183"/>
      <c r="P183"/>
    </row>
    <row r="184" spans="1:16">
      <c r="A184" s="3">
        <v>23</v>
      </c>
      <c r="B184" s="376" t="s">
        <v>334</v>
      </c>
      <c r="C184" s="75" t="s">
        <v>230</v>
      </c>
      <c r="D184" s="204">
        <v>0</v>
      </c>
      <c r="E184" s="206"/>
      <c r="F184" s="206"/>
      <c r="G184" s="206"/>
      <c r="H184" s="206"/>
      <c r="O184"/>
      <c r="P184"/>
    </row>
    <row r="185" spans="1:16">
      <c r="A185" s="3">
        <v>24</v>
      </c>
      <c r="B185" s="376" t="s">
        <v>334</v>
      </c>
      <c r="C185" s="75" t="s">
        <v>230</v>
      </c>
      <c r="D185" s="204">
        <v>0</v>
      </c>
      <c r="E185" s="206"/>
      <c r="F185" s="206"/>
      <c r="G185" s="206"/>
      <c r="H185" s="206"/>
      <c r="O185" s="351"/>
      <c r="P185"/>
    </row>
    <row r="186" spans="1:16">
      <c r="A186" s="3">
        <v>25</v>
      </c>
      <c r="B186" s="376" t="s">
        <v>334</v>
      </c>
      <c r="C186" s="75" t="s">
        <v>230</v>
      </c>
      <c r="D186" s="204">
        <v>0</v>
      </c>
      <c r="E186" s="206"/>
      <c r="F186" s="206"/>
      <c r="G186" s="206"/>
      <c r="H186" s="206"/>
      <c r="O186"/>
      <c r="P186"/>
    </row>
    <row r="187" spans="1:16">
      <c r="B187" s="5" t="s">
        <v>377</v>
      </c>
      <c r="C187" s="75" t="s">
        <v>230</v>
      </c>
      <c r="D187" s="637">
        <f>SUM(D162:D186)</f>
        <v>121.74368211224518</v>
      </c>
      <c r="E187" s="637">
        <v>0</v>
      </c>
      <c r="F187" s="637">
        <v>0</v>
      </c>
      <c r="G187" s="637">
        <v>0</v>
      </c>
      <c r="H187" s="637">
        <v>0</v>
      </c>
      <c r="O187"/>
      <c r="P187"/>
    </row>
    <row r="188" spans="1:16">
      <c r="B188" s="2"/>
      <c r="D188" s="69"/>
      <c r="E188" s="69"/>
      <c r="F188" s="69"/>
      <c r="G188" s="69"/>
      <c r="H188" s="69"/>
      <c r="I188" s="69"/>
      <c r="J188" s="69"/>
      <c r="O188"/>
      <c r="P188"/>
    </row>
    <row r="189" spans="1:16">
      <c r="B189" s="5" t="s">
        <v>378</v>
      </c>
      <c r="C189" s="75" t="s">
        <v>230</v>
      </c>
      <c r="D189" s="637">
        <f>D155-D187</f>
        <v>254.948296405756</v>
      </c>
      <c r="E189" s="637">
        <f>E155-E185</f>
        <v>0</v>
      </c>
      <c r="F189" s="637">
        <f>F155-F185</f>
        <v>0</v>
      </c>
      <c r="G189" s="637">
        <f>G155-G185</f>
        <v>0</v>
      </c>
      <c r="H189" s="637">
        <f>H155-H185</f>
        <v>0</v>
      </c>
    </row>
    <row r="190" spans="1:16">
      <c r="B190" s="5" t="s">
        <v>379</v>
      </c>
      <c r="C190" s="75" t="s">
        <v>230</v>
      </c>
      <c r="D190" s="638">
        <v>254.94829640575597</v>
      </c>
      <c r="E190" s="638">
        <v>288.935551660523</v>
      </c>
      <c r="F190" s="638">
        <v>298.31471670595147</v>
      </c>
      <c r="G190" s="638">
        <v>267.80771682200196</v>
      </c>
      <c r="H190" s="667">
        <v>264.88060792253503</v>
      </c>
      <c r="I190" s="2" t="s">
        <v>380</v>
      </c>
    </row>
    <row r="191" spans="1:16">
      <c r="B191" s="2"/>
      <c r="C191" s="69" t="s">
        <v>369</v>
      </c>
      <c r="D191" s="197" t="str">
        <f>IF(D$103="Actuals",IF(ABS(D189-('R3 - Totex - Reconciliation'!D13+'R3 - Totex - Reconciliation'!D42+D71)*INDEX(real_to_nominal_CF,MATCH(D6,Data!$E$25:$L$25,0)))&lt;materiality_threshold,"OK","Error"),"N/A")</f>
        <v>OK</v>
      </c>
      <c r="E191" s="197" t="str">
        <f>IF(E$103="Actuals",IF(ABS(E187-('R3 - Totex - Reconciliation'!E13+'R3 - Totex - Reconciliation'!E42+E71)*INDEX(real_to_nominal_CF,MATCH(E6,Data!$E$25:$L$25,0)))&lt;materiality_threshold,"OK","Error"),"N/A")</f>
        <v>N/A</v>
      </c>
      <c r="F191" s="197" t="str">
        <f>IF(F$103="Actuals",IF(ABS(F187-('R3 - Totex - Reconciliation'!F13+'R3 - Totex - Reconciliation'!F42+F71)*INDEX(real_to_nominal_CF,MATCH(F6,Data!$E$25:$L$25,0)))&lt;materiality_threshold,"OK","Error"),"N/A")</f>
        <v>N/A</v>
      </c>
      <c r="G191" s="197" t="str">
        <f>IF(G$103="Actuals",IF(ABS(G187-('R3 - Totex - Reconciliation'!G13+'R3 - Totex - Reconciliation'!G42+G71)*INDEX(real_to_nominal_CF,MATCH(G6,Data!$E$25:$L$25,0)))&lt;materiality_threshold,"OK","Error"),"N/A")</f>
        <v>N/A</v>
      </c>
      <c r="H191" s="197" t="str">
        <f>IF(H$103="Actuals",IF(ABS(H187-('R3 - Totex - Reconciliation'!H13+'R3 - Totex - Reconciliation'!H42+H71)*INDEX(real_to_nominal_CF,MATCH(H6,Data!$E$25:$L$25,0)))&lt;materiality_threshold,"OK","Error"),"N/A")</f>
        <v>N/A</v>
      </c>
    </row>
    <row r="192" spans="1:16">
      <c r="B192" s="2"/>
      <c r="C192" s="2"/>
    </row>
    <row r="193" spans="2:16">
      <c r="B193" s="351" t="s">
        <v>381</v>
      </c>
    </row>
    <row r="195" spans="2:16">
      <c r="B195" s="6" t="s">
        <v>297</v>
      </c>
      <c r="C195"/>
      <c r="D195"/>
      <c r="E195"/>
      <c r="F195"/>
    </row>
    <row r="196" spans="2:16">
      <c r="B196" s="849" t="s">
        <v>382</v>
      </c>
      <c r="C196" s="850"/>
      <c r="D196" s="850"/>
      <c r="E196" s="850"/>
      <c r="F196" s="851"/>
    </row>
    <row r="197" spans="2:16">
      <c r="B197" s="362" t="s">
        <v>383</v>
      </c>
      <c r="C197" s="363"/>
      <c r="D197" s="364"/>
      <c r="E197" s="337"/>
      <c r="F197" s="365"/>
    </row>
    <row r="198" spans="2:16">
      <c r="B198" s="362"/>
      <c r="C198" s="363"/>
      <c r="D198" s="364"/>
      <c r="E198" s="337"/>
      <c r="F198" s="365"/>
    </row>
    <row r="199" spans="2:16">
      <c r="B199" s="362"/>
      <c r="C199" s="363"/>
      <c r="D199" s="364"/>
      <c r="E199" s="337"/>
      <c r="F199" s="365"/>
    </row>
    <row r="200" spans="2:16">
      <c r="B200" s="362"/>
      <c r="C200" s="363"/>
      <c r="D200" s="364"/>
      <c r="E200" s="337"/>
      <c r="F200" s="365"/>
      <c r="O200"/>
      <c r="P200"/>
    </row>
    <row r="201" spans="2:16">
      <c r="B201" s="366"/>
      <c r="C201" s="582"/>
      <c r="D201" s="583"/>
      <c r="E201" s="584"/>
      <c r="F201" s="367"/>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83" priority="71">
      <formula>AND(D$5="Actuals",E$5="Forecast")</formula>
    </cfRule>
  </conditionalFormatting>
  <conditionalFormatting sqref="B92:C92 C40 C69 B68:C68 B41:C49 B70:C79 N68:Q68">
    <cfRule type="expression" dxfId="82" priority="67">
      <formula>$B$40="n/a"</formula>
    </cfRule>
  </conditionalFormatting>
  <conditionalFormatting sqref="D103:G104">
    <cfRule type="expression" dxfId="81" priority="63">
      <formula>AND(D$5="Actuals",E$5="N/A")</formula>
    </cfRule>
  </conditionalFormatting>
  <conditionalFormatting sqref="H5:H6">
    <cfRule type="expression" dxfId="80" priority="272">
      <formula>AND(H$5="Actuals",#REF!="Forecast")</formula>
    </cfRule>
  </conditionalFormatting>
  <conditionalFormatting sqref="H103:H104">
    <cfRule type="expression" dxfId="79" priority="289">
      <formula>AND(H$5="Actuals",#REF!="N/A")</formula>
    </cfRule>
  </conditionalFormatting>
  <conditionalFormatting sqref="D7:H7">
    <cfRule type="expression" dxfId="78" priority="56">
      <formula>AND(D$5="Actuals",E$5="Forecast")</formula>
    </cfRule>
  </conditionalFormatting>
  <conditionalFormatting sqref="D105:H105">
    <cfRule type="expression" dxfId="77" priority="55">
      <formula>AND(D$5="Actuals",E$5="Forecast")</formula>
    </cfRule>
  </conditionalFormatting>
  <conditionalFormatting sqref="D160:H162 D108:H116 D118:H121 D127:H142 D145:H151 E163:H184 D163:D186">
    <cfRule type="expression" dxfId="76" priority="53">
      <formula>D$103="N/A"</formula>
    </cfRule>
  </conditionalFormatting>
  <conditionalFormatting sqref="C23:C24">
    <cfRule type="expression" dxfId="75" priority="52">
      <formula>$B$40="n/a"</formula>
    </cfRule>
  </conditionalFormatting>
  <conditionalFormatting sqref="C52:C53">
    <cfRule type="expression" dxfId="74" priority="51">
      <formula>$B$40="n/a"</formula>
    </cfRule>
  </conditionalFormatting>
  <conditionalFormatting sqref="C25">
    <cfRule type="expression" dxfId="73" priority="50">
      <formula>$B$40="n/a"</formula>
    </cfRule>
  </conditionalFormatting>
  <conditionalFormatting sqref="C54">
    <cfRule type="expression" dxfId="72" priority="49">
      <formula>$B$40="n/a"</formula>
    </cfRule>
  </conditionalFormatting>
  <conditionalFormatting sqref="C81:C82">
    <cfRule type="expression" dxfId="71" priority="48">
      <formula>$B$40="n/a"</formula>
    </cfRule>
  </conditionalFormatting>
  <conditionalFormatting sqref="C83">
    <cfRule type="expression" dxfId="70" priority="47">
      <formula>$B$40="n/a"</formula>
    </cfRule>
  </conditionalFormatting>
  <conditionalFormatting sqref="B35">
    <cfRule type="expression" dxfId="69" priority="46">
      <formula>$B$46="n/a"</formula>
    </cfRule>
  </conditionalFormatting>
  <conditionalFormatting sqref="B64">
    <cfRule type="expression" dxfId="68" priority="45">
      <formula>$B$46="n/a"</formula>
    </cfRule>
  </conditionalFormatting>
  <conditionalFormatting sqref="B88">
    <cfRule type="expression" dxfId="67" priority="44">
      <formula>$B$46="n/a"</formula>
    </cfRule>
  </conditionalFormatting>
  <conditionalFormatting sqref="E117:H117">
    <cfRule type="expression" dxfId="66" priority="43">
      <formula>E$103="N/A"</formula>
    </cfRule>
  </conditionalFormatting>
  <conditionalFormatting sqref="D122:H123">
    <cfRule type="expression" dxfId="65" priority="25">
      <formula>D$103="N/A"</formula>
    </cfRule>
  </conditionalFormatting>
  <conditionalFormatting sqref="D153:H153">
    <cfRule type="expression" dxfId="64" priority="24">
      <formula>D$103="N/A"</formula>
    </cfRule>
  </conditionalFormatting>
  <conditionalFormatting sqref="D155:H155">
    <cfRule type="expression" dxfId="63" priority="23">
      <formula>D$103="N/A"</formula>
    </cfRule>
  </conditionalFormatting>
  <conditionalFormatting sqref="E185:H186">
    <cfRule type="expression" dxfId="62" priority="22">
      <formula>E$103="N/A"</formula>
    </cfRule>
  </conditionalFormatting>
  <conditionalFormatting sqref="D187:H187">
    <cfRule type="expression" dxfId="61" priority="21">
      <formula>D$103="N/A"</formula>
    </cfRule>
  </conditionalFormatting>
  <conditionalFormatting sqref="D157:H157 E156:H156">
    <cfRule type="expression" dxfId="60" priority="16">
      <formula>D$103="N/A"</formula>
    </cfRule>
  </conditionalFormatting>
  <conditionalFormatting sqref="D143:H143">
    <cfRule type="expression" dxfId="59" priority="11">
      <formula>D$103="N/A"</formula>
    </cfRule>
  </conditionalFormatting>
  <conditionalFormatting sqref="D152:H152">
    <cfRule type="expression" dxfId="58" priority="10">
      <formula>D$103="N/A"</formula>
    </cfRule>
  </conditionalFormatting>
  <conditionalFormatting sqref="C32:C33">
    <cfRule type="expression" dxfId="57" priority="8">
      <formula>$B$39="n/a"</formula>
    </cfRule>
  </conditionalFormatting>
  <conditionalFormatting sqref="C61:C62">
    <cfRule type="expression" dxfId="56" priority="7">
      <formula>$B$39="n/a"</formula>
    </cfRule>
  </conditionalFormatting>
  <conditionalFormatting sqref="C85:C86">
    <cfRule type="expression" dxfId="55" priority="6">
      <formula>$B$39="n/a"</formula>
    </cfRule>
  </conditionalFormatting>
  <conditionalFormatting sqref="C28:C29">
    <cfRule type="expression" dxfId="54" priority="4">
      <formula>$B$40="n/a"</formula>
    </cfRule>
  </conditionalFormatting>
  <conditionalFormatting sqref="C30">
    <cfRule type="expression" dxfId="53" priority="3">
      <formula>$B$40="n/a"</formula>
    </cfRule>
  </conditionalFormatting>
  <conditionalFormatting sqref="C57:C58">
    <cfRule type="expression" dxfId="52" priority="2">
      <formula>$B$40="n/a"</formula>
    </cfRule>
  </conditionalFormatting>
  <conditionalFormatting sqref="C59">
    <cfRule type="expression" dxfId="51" priority="1">
      <formula>$B$40="n/a"</formula>
    </cfRule>
  </conditionalFormatting>
  <pageMargins left="0.70866141732283472" right="0.70866141732283472" top="0.74803149606299213" bottom="0.74803149606299213" header="0.31496062992125984" footer="0.31496062992125984"/>
  <pageSetup paperSize="8"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zoomScaleNormal="100" workbookViewId="0">
      <pane ySplit="7" topLeftCell="A55" activePane="bottomLeft" state="frozen"/>
      <selection pane="bottomLeft" activeCell="D64" sqref="D64"/>
    </sheetView>
  </sheetViews>
  <sheetFormatPr defaultRowHeight="12.4"/>
  <cols>
    <col min="1" max="1" width="8.3515625" customWidth="1"/>
    <col min="2" max="2" width="71.3515625" bestFit="1" customWidth="1"/>
    <col min="3" max="3" width="13.3515625" style="69" customWidth="1"/>
    <col min="4" max="8" width="11.1171875" customWidth="1"/>
    <col min="9" max="9" width="12.87890625" customWidth="1"/>
    <col min="10" max="10" width="12.76171875" customWidth="1"/>
    <col min="11" max="11" width="5.76171875" bestFit="1" customWidth="1"/>
  </cols>
  <sheetData>
    <row r="1" spans="1:11" ht="20.65">
      <c r="A1" s="787" t="s">
        <v>384</v>
      </c>
      <c r="B1" s="405"/>
      <c r="C1" s="406"/>
      <c r="D1" s="407"/>
      <c r="E1" s="407"/>
      <c r="F1" s="407"/>
      <c r="G1" s="407"/>
      <c r="H1" s="407"/>
      <c r="I1" s="399"/>
      <c r="J1" s="399"/>
      <c r="K1" s="786"/>
    </row>
    <row r="2" spans="1:11" ht="20.65">
      <c r="A2" s="295" t="str">
        <f>Licensee</f>
        <v>Cadent-NW</v>
      </c>
      <c r="B2" s="299"/>
      <c r="C2" s="76"/>
      <c r="D2" s="20"/>
      <c r="E2" s="20"/>
      <c r="F2" s="20"/>
      <c r="G2" s="20"/>
      <c r="H2" s="20"/>
      <c r="I2" s="15"/>
      <c r="J2" s="15"/>
      <c r="K2" s="65"/>
    </row>
    <row r="3" spans="1:11" ht="20.65">
      <c r="A3" s="290">
        <f>Reporting_Year</f>
        <v>2022</v>
      </c>
      <c r="B3" s="16" t="str">
        <f>IF(Licensee=Data!$B$81,"not required to be completed","")</f>
        <v/>
      </c>
      <c r="C3" s="586"/>
      <c r="D3" s="587"/>
      <c r="E3" s="587"/>
      <c r="F3" s="587"/>
      <c r="G3" s="587"/>
      <c r="H3" s="587"/>
      <c r="I3" s="578"/>
      <c r="J3" s="578"/>
      <c r="K3" s="119"/>
    </row>
    <row r="4" spans="1:11" s="2" customFormat="1" ht="12.75" customHeight="1">
      <c r="B4" s="3"/>
      <c r="C4" s="69"/>
    </row>
    <row r="5" spans="1:11" s="2" customFormat="1" ht="21.75" customHeight="1">
      <c r="B5" s="3"/>
      <c r="C5" s="69"/>
      <c r="D5" s="153" t="str">
        <f t="shared" ref="D5:I5" si="0">IF(D6&lt;=Reporting_Year,"Actuals","Forecast")</f>
        <v>Actuals</v>
      </c>
      <c r="E5" s="153" t="str">
        <f t="shared" si="0"/>
        <v>Forecast</v>
      </c>
      <c r="F5" s="153" t="str">
        <f t="shared" si="0"/>
        <v>Forecast</v>
      </c>
      <c r="G5" s="153" t="str">
        <f t="shared" si="0"/>
        <v>Forecast</v>
      </c>
      <c r="H5" s="153" t="str">
        <f t="shared" si="0"/>
        <v>Forecast</v>
      </c>
      <c r="I5" s="153"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9" t="s">
        <v>385</v>
      </c>
      <c r="C8" s="73"/>
      <c r="D8" s="40"/>
      <c r="E8" s="40"/>
      <c r="F8" s="40"/>
      <c r="G8" s="40"/>
      <c r="H8" s="40"/>
      <c r="I8" s="40"/>
      <c r="J8" s="40"/>
      <c r="K8" s="40"/>
    </row>
    <row r="9" spans="1:11" s="2" customFormat="1"/>
    <row r="10" spans="1:11" s="2" customFormat="1"/>
    <row r="11" spans="1:11" s="2" customFormat="1"/>
    <row r="12" spans="1:11" s="2" customFormat="1">
      <c r="A12" s="78" t="s">
        <v>195</v>
      </c>
      <c r="B12" s="5" t="s">
        <v>386</v>
      </c>
      <c r="C12" s="38" t="str">
        <f>Data!$C$9</f>
        <v>£m 18/19</v>
      </c>
      <c r="D12" s="802">
        <v>-7.2862331602607357E-3</v>
      </c>
      <c r="E12" s="802">
        <v>-7.2862331602607357E-3</v>
      </c>
      <c r="F12" s="802">
        <v>-7.2862331602607357E-3</v>
      </c>
      <c r="G12" s="802">
        <v>-7.2862331602607357E-3</v>
      </c>
      <c r="H12" s="802">
        <v>-7.2862331602607357E-3</v>
      </c>
    </row>
    <row r="13" spans="1:11" s="2" customFormat="1" ht="19.5" customHeight="1">
      <c r="A13" s="78"/>
      <c r="B13" s="333" t="s">
        <v>387</v>
      </c>
      <c r="D13" s="106"/>
      <c r="E13" s="106"/>
      <c r="F13" s="106"/>
      <c r="G13" s="106"/>
      <c r="H13" s="106"/>
    </row>
    <row r="14" spans="1:11" s="2" customFormat="1">
      <c r="A14" s="78" t="s">
        <v>196</v>
      </c>
      <c r="B14" s="511" t="str">
        <f>Data!B124</f>
        <v>Customer Satisfaction Survey ODI</v>
      </c>
      <c r="C14" s="38" t="str">
        <f>Data!$C$9</f>
        <v>£m 18/19</v>
      </c>
      <c r="D14" s="803">
        <v>1.4915815001002395</v>
      </c>
      <c r="E14" s="803">
        <v>1.5150788725490156</v>
      </c>
      <c r="F14" s="803">
        <v>1.7836029411764698</v>
      </c>
      <c r="G14" s="803">
        <v>1.905</v>
      </c>
      <c r="H14" s="803">
        <v>1.905</v>
      </c>
    </row>
    <row r="15" spans="1:11" s="2" customFormat="1">
      <c r="A15" s="78" t="s">
        <v>197</v>
      </c>
      <c r="B15" s="511" t="str">
        <f>Data!B125</f>
        <v>Complaints metric ODI</v>
      </c>
      <c r="C15" s="38" t="str">
        <f>Data!$C$9</f>
        <v>£m 18/19</v>
      </c>
      <c r="D15" s="803">
        <v>0</v>
      </c>
      <c r="E15" s="803">
        <v>0</v>
      </c>
      <c r="F15" s="803">
        <v>0</v>
      </c>
      <c r="G15" s="803">
        <v>0</v>
      </c>
      <c r="H15" s="803">
        <v>0</v>
      </c>
    </row>
    <row r="16" spans="1:11" s="2" customFormat="1">
      <c r="A16" s="78" t="s">
        <v>198</v>
      </c>
      <c r="B16" s="511" t="str">
        <f>Data!B126</f>
        <v>Unplanned Interruption Mean Duration ODI [NGN, SGN and WWU]</v>
      </c>
      <c r="C16" s="38" t="str">
        <f>Data!$C$9</f>
        <v>£m 18/19</v>
      </c>
      <c r="D16" s="803">
        <v>0</v>
      </c>
      <c r="E16" s="803">
        <v>0</v>
      </c>
      <c r="F16" s="803">
        <v>0</v>
      </c>
      <c r="G16" s="803">
        <v>0</v>
      </c>
      <c r="H16" s="803">
        <v>0</v>
      </c>
    </row>
    <row r="17" spans="1:11" s="2" customFormat="1">
      <c r="A17" s="78" t="s">
        <v>199</v>
      </c>
      <c r="B17" s="511" t="str">
        <f>Data!B127</f>
        <v>Unplanned Interruption Mean Duration ODI [Cadent only]</v>
      </c>
      <c r="C17" s="38" t="str">
        <f>Data!$C$9</f>
        <v>£m 18/19</v>
      </c>
      <c r="D17" s="803">
        <v>0</v>
      </c>
      <c r="E17" s="803">
        <v>0</v>
      </c>
      <c r="F17" s="803">
        <v>0</v>
      </c>
      <c r="G17" s="803">
        <v>0</v>
      </c>
      <c r="H17" s="803">
        <v>0</v>
      </c>
    </row>
    <row r="18" spans="1:11" s="2" customFormat="1">
      <c r="A18" s="78" t="s">
        <v>200</v>
      </c>
      <c r="B18" s="511" t="str">
        <f>Data!B128</f>
        <v>Shrinkage Management ODI</v>
      </c>
      <c r="C18" s="38" t="str">
        <f>Data!$C$9</f>
        <v>£m 18/19</v>
      </c>
      <c r="D18" s="803">
        <v>0.47625000000000001</v>
      </c>
      <c r="E18" s="803">
        <v>0.47625000000000001</v>
      </c>
      <c r="F18" s="803">
        <v>0.47625000000000001</v>
      </c>
      <c r="G18" s="803">
        <v>0.46633505395836183</v>
      </c>
      <c r="H18" s="803">
        <v>0.43181132789161736</v>
      </c>
    </row>
    <row r="19" spans="1:11" s="2" customFormat="1">
      <c r="A19" s="78" t="s">
        <v>201</v>
      </c>
      <c r="B19" s="511" t="str">
        <f>Data!B129</f>
        <v>Collaborative streetworks ODI [Cadent Lon &amp; EoE, SGN So only]</v>
      </c>
      <c r="C19" s="38" t="str">
        <f>Data!$C$9</f>
        <v>£m 18/19</v>
      </c>
      <c r="D19" s="803">
        <v>0</v>
      </c>
      <c r="E19" s="803">
        <v>0</v>
      </c>
      <c r="F19" s="803">
        <v>0</v>
      </c>
      <c r="G19" s="803">
        <v>0</v>
      </c>
      <c r="H19" s="803">
        <v>0</v>
      </c>
    </row>
    <row r="20" spans="1:11" s="2" customFormat="1">
      <c r="B20" s="5" t="s">
        <v>388</v>
      </c>
      <c r="C20" s="77" t="str">
        <f>Data!$C$9</f>
        <v>£m 18/19</v>
      </c>
      <c r="D20" s="208">
        <f>SUM(D14:D19)</f>
        <v>1.9678315001002396</v>
      </c>
      <c r="E20" s="208">
        <f>SUM(E14:E19)</f>
        <v>1.9913288725490157</v>
      </c>
      <c r="F20" s="208">
        <f>SUM(F14:F19)</f>
        <v>2.2598529411764696</v>
      </c>
      <c r="G20" s="208">
        <f>SUM(G14:G19)</f>
        <v>2.371335053958362</v>
      </c>
      <c r="H20" s="208">
        <f>SUM(H14:H19)</f>
        <v>2.3368113278916174</v>
      </c>
    </row>
    <row r="21" spans="1:11" s="2" customFormat="1"/>
    <row r="22" spans="1:11" s="192" customFormat="1" ht="14.25" customHeight="1">
      <c r="A22" s="191"/>
    </row>
    <row r="23" spans="1:11" s="2" customFormat="1">
      <c r="A23" s="417"/>
      <c r="B23" s="418" t="s">
        <v>389</v>
      </c>
      <c r="C23" s="419"/>
      <c r="D23" s="419"/>
      <c r="E23" s="419"/>
      <c r="F23" s="419"/>
      <c r="G23" s="419"/>
      <c r="H23" s="419"/>
      <c r="I23" s="419"/>
      <c r="J23" s="419"/>
    </row>
    <row r="24" spans="1:11" s="2" customFormat="1">
      <c r="A24" s="420" t="s">
        <v>195</v>
      </c>
      <c r="B24" s="852"/>
      <c r="C24" s="852"/>
      <c r="D24" s="852"/>
      <c r="E24" s="852"/>
      <c r="F24" s="852"/>
      <c r="G24" s="852"/>
      <c r="H24" s="852"/>
      <c r="I24" s="852"/>
      <c r="J24" s="852"/>
    </row>
    <row r="25" spans="1:11" s="2" customFormat="1">
      <c r="A25" s="420" t="s">
        <v>196</v>
      </c>
      <c r="B25" s="852"/>
      <c r="C25" s="852"/>
      <c r="D25" s="852"/>
      <c r="E25" s="852"/>
      <c r="F25" s="852"/>
      <c r="G25" s="852"/>
      <c r="H25" s="852"/>
      <c r="I25" s="852"/>
      <c r="J25" s="852"/>
    </row>
    <row r="26" spans="1:11" s="2" customFormat="1">
      <c r="A26" s="420" t="s">
        <v>197</v>
      </c>
      <c r="B26" s="852"/>
      <c r="C26" s="852"/>
      <c r="D26" s="852"/>
      <c r="E26" s="852"/>
      <c r="F26" s="852"/>
      <c r="G26" s="852"/>
      <c r="H26" s="852"/>
      <c r="I26" s="852"/>
      <c r="J26" s="852"/>
    </row>
    <row r="27" spans="1:11" s="2" customFormat="1">
      <c r="A27" s="420" t="s">
        <v>198</v>
      </c>
      <c r="B27" s="852"/>
      <c r="C27" s="852"/>
      <c r="D27" s="852"/>
      <c r="E27" s="852"/>
      <c r="F27" s="852"/>
      <c r="G27" s="852"/>
      <c r="H27" s="852"/>
      <c r="I27" s="852"/>
      <c r="J27" s="852"/>
    </row>
    <row r="28" spans="1:11" s="2" customFormat="1">
      <c r="A28" s="420" t="s">
        <v>199</v>
      </c>
      <c r="B28" s="852"/>
      <c r="C28" s="852"/>
      <c r="D28" s="852"/>
      <c r="E28" s="852"/>
      <c r="F28" s="852"/>
      <c r="G28" s="852"/>
      <c r="H28" s="852"/>
      <c r="I28" s="852"/>
      <c r="J28" s="852"/>
    </row>
    <row r="29" spans="1:11" s="2" customFormat="1">
      <c r="A29" s="420" t="s">
        <v>200</v>
      </c>
      <c r="B29" s="852"/>
      <c r="C29" s="852"/>
      <c r="D29" s="852"/>
      <c r="E29" s="852"/>
      <c r="F29" s="852"/>
      <c r="G29" s="852"/>
      <c r="H29" s="852"/>
      <c r="I29" s="852"/>
      <c r="J29" s="852"/>
    </row>
    <row r="30" spans="1:11" s="2" customFormat="1">
      <c r="A30" s="420" t="s">
        <v>201</v>
      </c>
      <c r="B30" s="852"/>
      <c r="C30" s="852"/>
      <c r="D30" s="852"/>
      <c r="E30" s="852"/>
      <c r="F30" s="852"/>
      <c r="G30" s="852"/>
      <c r="H30" s="852"/>
      <c r="I30" s="852"/>
      <c r="J30" s="852"/>
    </row>
    <row r="31" spans="1:11" s="2" customFormat="1">
      <c r="A31" s="78"/>
      <c r="C31" s="38"/>
      <c r="D31" s="38"/>
      <c r="E31" s="38"/>
      <c r="F31" s="38"/>
      <c r="G31" s="38"/>
      <c r="H31" s="38"/>
      <c r="I31" s="38"/>
      <c r="J31" s="38"/>
    </row>
    <row r="32" spans="1:11" s="2" customFormat="1" ht="20.65">
      <c r="B32" s="449" t="s">
        <v>390</v>
      </c>
      <c r="C32" s="73"/>
      <c r="D32" s="40"/>
      <c r="E32" s="40"/>
      <c r="F32" s="40"/>
      <c r="G32" s="40"/>
      <c r="H32" s="40"/>
      <c r="I32" s="40"/>
      <c r="J32" s="40"/>
      <c r="K32" s="40"/>
    </row>
    <row r="33" spans="1:11" s="2" customFormat="1">
      <c r="A33" s="5"/>
      <c r="C33" s="69"/>
    </row>
    <row r="34" spans="1:11">
      <c r="B34" s="468" t="s">
        <v>391</v>
      </c>
    </row>
    <row r="35" spans="1:11">
      <c r="B35" s="5"/>
    </row>
    <row r="36" spans="1:11" s="2" customFormat="1">
      <c r="A36" s="1" t="s">
        <v>202</v>
      </c>
      <c r="B36" s="5" t="s">
        <v>115</v>
      </c>
      <c r="C36" s="70"/>
      <c r="D36" s="29"/>
      <c r="E36" s="29"/>
      <c r="F36" s="29"/>
      <c r="G36" s="29"/>
      <c r="H36" s="29"/>
    </row>
    <row r="37" spans="1:11" s="2" customFormat="1">
      <c r="B37" s="66" t="s">
        <v>392</v>
      </c>
      <c r="C37" s="38" t="str">
        <f>Data!$C$9</f>
        <v>£m 18/19</v>
      </c>
      <c r="D37" s="308">
        <v>0.43446456077808543</v>
      </c>
      <c r="E37" s="308">
        <v>1.8833250534046864</v>
      </c>
      <c r="F37" s="308">
        <v>2.185689526002208</v>
      </c>
      <c r="G37" s="308">
        <v>2.185689526002208</v>
      </c>
      <c r="H37" s="308">
        <v>2.185689526002208</v>
      </c>
      <c r="I37" s="2" t="s">
        <v>393</v>
      </c>
    </row>
    <row r="38" spans="1:11" s="2" customFormat="1">
      <c r="B38" s="66" t="s">
        <v>394</v>
      </c>
      <c r="C38" s="38" t="str">
        <f>Data!$C$9</f>
        <v>£m 18/19</v>
      </c>
      <c r="D38" s="659">
        <v>0</v>
      </c>
      <c r="E38" s="659">
        <v>0</v>
      </c>
      <c r="F38" s="659">
        <v>0</v>
      </c>
      <c r="G38" s="659">
        <v>0</v>
      </c>
      <c r="H38" s="659">
        <v>0</v>
      </c>
    </row>
    <row r="39" spans="1:11" s="2" customFormat="1">
      <c r="B39" s="66" t="s">
        <v>395</v>
      </c>
      <c r="C39" s="38" t="str">
        <f>Data!$C$9</f>
        <v>£m 18/19</v>
      </c>
      <c r="D39" s="204">
        <v>4.344645607780856E-2</v>
      </c>
      <c r="E39" s="204">
        <v>0.18833250534046853</v>
      </c>
      <c r="F39" s="204">
        <v>0.2185689526002208</v>
      </c>
      <c r="G39" s="204">
        <v>0.2185689526002208</v>
      </c>
      <c r="H39" s="204">
        <v>0.2185689526002208</v>
      </c>
    </row>
    <row r="40" spans="1:11" s="5" customFormat="1">
      <c r="B40" s="2" t="s">
        <v>396</v>
      </c>
      <c r="C40" s="38" t="str">
        <f>Data!$C$9</f>
        <v>£m 18/19</v>
      </c>
      <c r="D40" s="208">
        <f>D37-D38-D39</f>
        <v>0.39101810470027687</v>
      </c>
      <c r="E40" s="209">
        <f t="shared" ref="E40:H40" si="2">E37-E38-E39</f>
        <v>1.6949925480642178</v>
      </c>
      <c r="F40" s="209">
        <f t="shared" si="2"/>
        <v>1.9671205734019872</v>
      </c>
      <c r="G40" s="209">
        <f t="shared" si="2"/>
        <v>1.9671205734019872</v>
      </c>
      <c r="H40" s="209">
        <f t="shared" si="2"/>
        <v>1.9671205734019872</v>
      </c>
      <c r="I40" s="2"/>
      <c r="J40" s="2"/>
      <c r="K40" s="2"/>
    </row>
    <row r="41" spans="1:11" s="2" customFormat="1">
      <c r="A41" s="3"/>
      <c r="B41" s="5" t="s">
        <v>397</v>
      </c>
      <c r="C41" s="38" t="str">
        <f>Data!$C$9</f>
        <v>£m 18/19</v>
      </c>
      <c r="D41" s="213">
        <f>D38+D39</f>
        <v>4.344645607780856E-2</v>
      </c>
      <c r="E41" s="213">
        <f t="shared" ref="E41:H41" si="3">E38+E39</f>
        <v>0.18833250534046853</v>
      </c>
      <c r="F41" s="213">
        <f t="shared" si="3"/>
        <v>0.2185689526002208</v>
      </c>
      <c r="G41" s="213">
        <f t="shared" si="3"/>
        <v>0.2185689526002208</v>
      </c>
      <c r="H41" s="213">
        <f t="shared" si="3"/>
        <v>0.2185689526002208</v>
      </c>
    </row>
    <row r="42" spans="1:11" s="2" customFormat="1">
      <c r="A42" s="3"/>
      <c r="B42" s="5"/>
      <c r="C42" s="38"/>
      <c r="D42" s="416"/>
      <c r="E42" s="416"/>
      <c r="F42" s="416"/>
      <c r="G42" s="416"/>
      <c r="H42" s="416"/>
    </row>
    <row r="43" spans="1:11" s="2" customFormat="1">
      <c r="A43" s="1" t="s">
        <v>203</v>
      </c>
      <c r="B43" s="5" t="s">
        <v>116</v>
      </c>
      <c r="C43" s="38"/>
      <c r="D43" s="416"/>
      <c r="E43" s="416"/>
      <c r="F43" s="416"/>
      <c r="G43" s="416"/>
      <c r="H43" s="416"/>
    </row>
    <row r="44" spans="1:11" s="2" customFormat="1" ht="13.5">
      <c r="A44" s="3"/>
      <c r="B44" s="66" t="s">
        <v>398</v>
      </c>
      <c r="C44" s="38" t="str">
        <f>Data!$C$9</f>
        <v>£m 18/19</v>
      </c>
      <c r="D44" s="308">
        <v>0.76759491953071546</v>
      </c>
      <c r="E44" s="556"/>
      <c r="F44" s="556"/>
      <c r="G44" s="556"/>
      <c r="H44" s="556"/>
      <c r="I44" s="2" t="s">
        <v>393</v>
      </c>
    </row>
    <row r="45" spans="1:11" s="2" customFormat="1" ht="13.5">
      <c r="A45" s="3"/>
      <c r="B45" s="66" t="s">
        <v>394</v>
      </c>
      <c r="C45" s="38" t="str">
        <f>Data!$C$9</f>
        <v>£m 18/19</v>
      </c>
      <c r="D45" s="308">
        <v>0</v>
      </c>
      <c r="E45" s="556"/>
      <c r="F45" s="556"/>
      <c r="G45" s="556"/>
      <c r="H45" s="556"/>
    </row>
    <row r="46" spans="1:11" s="2" customFormat="1" ht="13.5">
      <c r="A46" s="3"/>
      <c r="B46" s="66" t="s">
        <v>395</v>
      </c>
      <c r="C46" s="38" t="str">
        <f>Data!$C$9</f>
        <v>£m 18/19</v>
      </c>
      <c r="D46" s="204">
        <v>7.6716386983830209E-2</v>
      </c>
      <c r="E46" s="556"/>
      <c r="F46" s="556"/>
      <c r="G46" s="556"/>
      <c r="H46" s="556"/>
    </row>
    <row r="47" spans="1:11" s="2" customFormat="1" ht="13.5">
      <c r="A47" s="3"/>
      <c r="B47" s="2" t="s">
        <v>399</v>
      </c>
      <c r="C47" s="38" t="str">
        <f>Data!$C$9</f>
        <v>£m 18/19</v>
      </c>
      <c r="D47" s="208">
        <f>D44-D45-D46</f>
        <v>0.69087853254688525</v>
      </c>
      <c r="E47" s="556"/>
      <c r="F47" s="556"/>
      <c r="G47" s="556"/>
      <c r="H47" s="556"/>
    </row>
    <row r="48" spans="1:11" ht="13.5">
      <c r="A48" s="91"/>
      <c r="B48" s="5" t="s">
        <v>400</v>
      </c>
      <c r="C48" s="38" t="str">
        <f>Data!$C$9</f>
        <v>£m 18/19</v>
      </c>
      <c r="D48" s="209">
        <f>D45+D46</f>
        <v>7.6716386983830209E-2</v>
      </c>
      <c r="E48" s="556"/>
      <c r="F48" s="556"/>
      <c r="G48" s="556"/>
      <c r="H48" s="556"/>
      <c r="I48" s="2"/>
    </row>
    <row r="49" spans="1:11">
      <c r="B49" s="5"/>
      <c r="C49" s="38"/>
      <c r="D49" s="38"/>
      <c r="E49" s="38"/>
      <c r="F49" s="38"/>
      <c r="G49" s="38"/>
      <c r="H49" s="38"/>
      <c r="I49" s="38"/>
    </row>
    <row r="50" spans="1:11">
      <c r="A50" s="1" t="s">
        <v>204</v>
      </c>
      <c r="B50" s="5" t="s">
        <v>117</v>
      </c>
      <c r="C50" s="38"/>
      <c r="D50" s="416"/>
      <c r="E50" s="416"/>
      <c r="F50" s="416"/>
      <c r="G50" s="416"/>
      <c r="H50" s="416"/>
      <c r="I50" s="2"/>
    </row>
    <row r="51" spans="1:11">
      <c r="A51" s="3"/>
      <c r="B51" s="66" t="s">
        <v>401</v>
      </c>
      <c r="C51" s="38" t="str">
        <f>Data!$C$9</f>
        <v>£m 18/19</v>
      </c>
      <c r="D51" s="308">
        <v>0</v>
      </c>
      <c r="E51" s="308">
        <v>0.12688864396811189</v>
      </c>
      <c r="F51" s="308">
        <v>0</v>
      </c>
      <c r="G51" s="308">
        <v>0</v>
      </c>
      <c r="H51" s="308">
        <v>0</v>
      </c>
      <c r="I51" s="2" t="s">
        <v>393</v>
      </c>
    </row>
    <row r="52" spans="1:11">
      <c r="A52" s="3"/>
      <c r="B52" s="66" t="s">
        <v>402</v>
      </c>
      <c r="C52" s="38" t="str">
        <f>Data!$C$9</f>
        <v>£m 18/19</v>
      </c>
      <c r="D52" s="308">
        <v>0</v>
      </c>
      <c r="E52" s="308">
        <v>0</v>
      </c>
      <c r="F52" s="308">
        <v>0</v>
      </c>
      <c r="G52" s="308">
        <v>0</v>
      </c>
      <c r="H52" s="308">
        <v>0</v>
      </c>
      <c r="I52" s="2"/>
    </row>
    <row r="53" spans="1:11">
      <c r="A53" s="3"/>
      <c r="B53" s="66" t="s">
        <v>395</v>
      </c>
      <c r="C53" s="38" t="str">
        <f>Data!$C$9</f>
        <v>£m 18/19</v>
      </c>
      <c r="D53" s="204">
        <v>0</v>
      </c>
      <c r="E53" s="204">
        <v>0</v>
      </c>
      <c r="F53" s="204">
        <v>0</v>
      </c>
      <c r="G53" s="204">
        <v>0</v>
      </c>
      <c r="H53" s="204">
        <v>0</v>
      </c>
      <c r="I53" s="2"/>
    </row>
    <row r="54" spans="1:11">
      <c r="A54" s="3"/>
      <c r="B54" s="2" t="s">
        <v>403</v>
      </c>
      <c r="C54" s="38" t="str">
        <f>Data!$C$9</f>
        <v>£m 18/19</v>
      </c>
      <c r="D54" s="208">
        <f>D51-D52-D53</f>
        <v>0</v>
      </c>
      <c r="E54" s="209">
        <f>E51-E52-E53</f>
        <v>0.12688864396811189</v>
      </c>
      <c r="F54" s="209">
        <f>F51-F52-F53</f>
        <v>0</v>
      </c>
      <c r="G54" s="209">
        <f>G51-G52-G53</f>
        <v>0</v>
      </c>
      <c r="H54" s="209">
        <f>H51-H52-H53</f>
        <v>0</v>
      </c>
      <c r="I54" s="2"/>
    </row>
    <row r="55" spans="1:11">
      <c r="A55" s="91"/>
      <c r="B55" s="5" t="s">
        <v>404</v>
      </c>
      <c r="C55" s="38" t="str">
        <f>Data!$C$9</f>
        <v>£m 18/19</v>
      </c>
      <c r="D55" s="209">
        <f>D52+D53</f>
        <v>0</v>
      </c>
      <c r="E55" s="209">
        <f>E52+E53</f>
        <v>0</v>
      </c>
      <c r="F55" s="209">
        <f>F52+F53</f>
        <v>0</v>
      </c>
      <c r="G55" s="209">
        <f>G52+G53</f>
        <v>0</v>
      </c>
      <c r="H55" s="209">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8" t="s">
        <v>405</v>
      </c>
      <c r="C58" s="69"/>
    </row>
    <row r="59" spans="1:11" s="2" customFormat="1" ht="15.4">
      <c r="B59" s="139" t="s">
        <v>406</v>
      </c>
      <c r="C59" s="650" t="s">
        <v>407</v>
      </c>
      <c r="D59" s="139"/>
      <c r="E59" s="139"/>
      <c r="F59" s="139"/>
      <c r="G59" s="139"/>
      <c r="H59" s="139"/>
      <c r="I59" s="139"/>
      <c r="J59" s="139"/>
      <c r="K59" s="139"/>
    </row>
    <row r="60" spans="1:11" s="2" customFormat="1">
      <c r="B60" s="513" t="s">
        <v>408</v>
      </c>
      <c r="C60" s="69"/>
    </row>
    <row r="61" spans="1:11" s="2" customFormat="1" ht="19.149999999999999" customHeight="1">
      <c r="A61" s="78"/>
      <c r="B61" s="333" t="s">
        <v>409</v>
      </c>
    </row>
    <row r="62" spans="1:11" s="2" customFormat="1" ht="14.65" customHeight="1">
      <c r="A62" s="78" t="s">
        <v>205</v>
      </c>
      <c r="B62" s="450" t="str">
        <f>Data!B187</f>
        <v/>
      </c>
      <c r="C62" s="38" t="str">
        <f>Data!$C$9</f>
        <v>£m 18/19</v>
      </c>
      <c r="D62" s="588">
        <v>0</v>
      </c>
      <c r="E62" s="588">
        <v>0</v>
      </c>
      <c r="F62" s="588">
        <v>0</v>
      </c>
      <c r="G62" s="588">
        <v>0</v>
      </c>
      <c r="H62" s="588">
        <v>0</v>
      </c>
    </row>
    <row r="63" spans="1:11" s="2" customFormat="1" ht="14.65" customHeight="1">
      <c r="A63" s="78" t="s">
        <v>206</v>
      </c>
      <c r="B63" s="450" t="str">
        <f>Data!B188</f>
        <v/>
      </c>
      <c r="C63" s="38" t="str">
        <f>Data!$C$9</f>
        <v>£m 18/19</v>
      </c>
      <c r="D63" s="588">
        <v>0</v>
      </c>
      <c r="E63" s="588">
        <v>0</v>
      </c>
      <c r="F63" s="588">
        <v>0</v>
      </c>
      <c r="G63" s="588">
        <v>0</v>
      </c>
      <c r="H63" s="588">
        <v>0</v>
      </c>
    </row>
    <row r="64" spans="1:11" s="2" customFormat="1" ht="14.65" customHeight="1">
      <c r="A64" s="78" t="s">
        <v>207</v>
      </c>
      <c r="B64" s="450" t="str">
        <f>Data!B189</f>
        <v/>
      </c>
      <c r="C64" s="38" t="str">
        <f>Data!$C$9</f>
        <v>£m 18/19</v>
      </c>
      <c r="D64" s="588">
        <v>0</v>
      </c>
      <c r="E64" s="588">
        <v>0</v>
      </c>
      <c r="F64" s="588">
        <v>0</v>
      </c>
      <c r="G64" s="588">
        <v>0</v>
      </c>
      <c r="H64" s="588">
        <v>0</v>
      </c>
    </row>
    <row r="65" spans="1:13" s="2" customFormat="1" ht="14.65" customHeight="1">
      <c r="A65" s="78" t="s">
        <v>208</v>
      </c>
      <c r="B65" s="450" t="str">
        <f>Data!B190</f>
        <v/>
      </c>
      <c r="C65" s="38" t="str">
        <f>Data!$C$9</f>
        <v>£m 18/19</v>
      </c>
      <c r="D65" s="588">
        <v>0</v>
      </c>
      <c r="E65" s="588">
        <v>0</v>
      </c>
      <c r="F65" s="588">
        <v>0</v>
      </c>
      <c r="G65" s="588">
        <v>0</v>
      </c>
      <c r="H65" s="588">
        <v>0</v>
      </c>
    </row>
    <row r="66" spans="1:13" s="2" customFormat="1" ht="14.65" customHeight="1">
      <c r="A66" s="78" t="s">
        <v>209</v>
      </c>
      <c r="B66" s="450" t="str">
        <f>Data!B191</f>
        <v/>
      </c>
      <c r="C66" s="38" t="str">
        <f>Data!$C$9</f>
        <v>£m 18/19</v>
      </c>
      <c r="D66" s="588">
        <v>0</v>
      </c>
      <c r="E66" s="588">
        <v>0</v>
      </c>
      <c r="F66" s="588">
        <v>0</v>
      </c>
      <c r="G66" s="588">
        <v>0</v>
      </c>
      <c r="H66" s="588">
        <v>0</v>
      </c>
    </row>
    <row r="67" spans="1:13" s="2" customFormat="1" ht="14.65" customHeight="1">
      <c r="B67" s="5"/>
      <c r="C67" s="77" t="str">
        <f>Data!$C$9</f>
        <v>£m 18/19</v>
      </c>
      <c r="D67" s="208">
        <f>SUM(D62:D66)</f>
        <v>0</v>
      </c>
      <c r="E67" s="208">
        <f>SUM(E62:E66)</f>
        <v>0</v>
      </c>
      <c r="F67" s="208">
        <f>SUM(F62:F66)</f>
        <v>0</v>
      </c>
      <c r="G67" s="208">
        <f>SUM(G62:G66)</f>
        <v>0</v>
      </c>
      <c r="H67" s="208">
        <f>SUM(H62:H66)</f>
        <v>0</v>
      </c>
    </row>
    <row r="68" spans="1:13" s="2" customFormat="1" ht="14.65" customHeight="1">
      <c r="B68" s="5"/>
      <c r="C68" s="77"/>
      <c r="D68" s="77"/>
      <c r="E68" s="77"/>
      <c r="F68" s="77"/>
      <c r="G68" s="77"/>
      <c r="H68" s="77"/>
      <c r="I68" s="77"/>
    </row>
    <row r="69" spans="1:13" s="192" customFormat="1" ht="14.25" customHeight="1">
      <c r="A69" s="191"/>
      <c r="M69" s="2"/>
    </row>
    <row r="70" spans="1:13" s="2" customFormat="1">
      <c r="A70" s="417"/>
      <c r="B70" s="418" t="s">
        <v>389</v>
      </c>
      <c r="C70" s="419"/>
      <c r="D70" s="419"/>
      <c r="E70" s="419"/>
      <c r="F70" s="419"/>
      <c r="G70" s="419"/>
      <c r="H70" s="419"/>
      <c r="I70" s="419"/>
      <c r="J70" s="419"/>
    </row>
    <row r="71" spans="1:13" s="2" customFormat="1">
      <c r="A71" s="420" t="s">
        <v>202</v>
      </c>
      <c r="B71" s="418"/>
      <c r="C71" s="419"/>
      <c r="D71" s="419"/>
      <c r="E71" s="419"/>
      <c r="F71" s="419"/>
      <c r="G71" s="419"/>
      <c r="H71" s="419"/>
      <c r="I71" s="419"/>
      <c r="J71" s="419"/>
    </row>
    <row r="72" spans="1:13" s="2" customFormat="1">
      <c r="A72" s="420" t="s">
        <v>203</v>
      </c>
      <c r="B72" s="418"/>
      <c r="C72" s="419"/>
      <c r="D72" s="419"/>
      <c r="E72" s="419"/>
      <c r="F72" s="419"/>
      <c r="G72" s="419"/>
      <c r="H72" s="419"/>
      <c r="I72" s="419"/>
      <c r="J72" s="419"/>
    </row>
    <row r="73" spans="1:13" s="2" customFormat="1">
      <c r="A73" s="420" t="s">
        <v>204</v>
      </c>
      <c r="B73" s="852"/>
      <c r="C73" s="852"/>
      <c r="D73" s="852"/>
      <c r="E73" s="852"/>
      <c r="F73" s="852"/>
      <c r="G73" s="852"/>
      <c r="H73" s="852"/>
      <c r="I73" s="852"/>
      <c r="J73" s="852"/>
    </row>
    <row r="74" spans="1:13" s="2" customFormat="1">
      <c r="A74" s="420" t="s">
        <v>205</v>
      </c>
      <c r="B74" s="852"/>
      <c r="C74" s="852"/>
      <c r="D74" s="852"/>
      <c r="E74" s="852"/>
      <c r="F74" s="852"/>
      <c r="G74" s="852"/>
      <c r="H74" s="852"/>
      <c r="I74" s="852"/>
      <c r="J74" s="852"/>
    </row>
    <row r="75" spans="1:13" s="2" customFormat="1">
      <c r="A75" s="420" t="s">
        <v>206</v>
      </c>
      <c r="B75" s="852"/>
      <c r="C75" s="852"/>
      <c r="D75" s="852"/>
      <c r="E75" s="852"/>
      <c r="F75" s="852"/>
      <c r="G75" s="852"/>
      <c r="H75" s="852"/>
      <c r="I75" s="852"/>
      <c r="J75" s="852"/>
    </row>
    <row r="76" spans="1:13" s="2" customFormat="1">
      <c r="A76" s="420" t="s">
        <v>207</v>
      </c>
      <c r="B76" s="852"/>
      <c r="C76" s="852"/>
      <c r="D76" s="852"/>
      <c r="E76" s="852"/>
      <c r="F76" s="852"/>
      <c r="G76" s="852"/>
      <c r="H76" s="852"/>
      <c r="I76" s="852"/>
      <c r="J76" s="852"/>
    </row>
    <row r="77" spans="1:13" s="2" customFormat="1">
      <c r="A77" s="420" t="s">
        <v>208</v>
      </c>
      <c r="B77" s="376"/>
      <c r="C77" s="376"/>
      <c r="D77" s="376"/>
      <c r="E77" s="376"/>
      <c r="F77" s="376"/>
      <c r="G77" s="376"/>
      <c r="H77" s="376"/>
      <c r="I77" s="376"/>
      <c r="J77" s="376"/>
    </row>
    <row r="78" spans="1:13" s="2" customFormat="1">
      <c r="A78" s="420" t="s">
        <v>209</v>
      </c>
      <c r="B78" s="852"/>
      <c r="C78" s="852"/>
      <c r="D78" s="852"/>
      <c r="E78" s="852"/>
      <c r="F78" s="852"/>
      <c r="G78" s="852"/>
      <c r="H78" s="852"/>
      <c r="I78" s="852"/>
      <c r="J78" s="852"/>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50" priority="33">
      <formula>AND(D$5="Actuals",E$5="Forecast")</formula>
    </cfRule>
  </conditionalFormatting>
  <conditionalFormatting sqref="H5:H6">
    <cfRule type="expression" dxfId="49" priority="237">
      <formula>AND(H$5="Actuals",#REF!="Forecast")</formula>
    </cfRule>
  </conditionalFormatting>
  <conditionalFormatting sqref="D7:H7">
    <cfRule type="expression" dxfId="48"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tabSelected="1" zoomScale="67" zoomScaleNormal="100" workbookViewId="0">
      <pane ySplit="7" topLeftCell="A57" activePane="bottomLeft" state="frozen"/>
      <selection activeCell="B1" sqref="B1"/>
      <selection pane="bottomLeft" activeCell="E81" sqref="E81"/>
    </sheetView>
  </sheetViews>
  <sheetFormatPr defaultRowHeight="12.4"/>
  <cols>
    <col min="1" max="1" width="8.3515625" customWidth="1"/>
    <col min="2" max="2" width="101.76171875" customWidth="1"/>
    <col min="3" max="3" width="14.1171875" customWidth="1"/>
    <col min="4" max="8" width="11.1171875" customWidth="1"/>
    <col min="9" max="10" width="12.87890625" customWidth="1"/>
    <col min="11" max="11" width="5" customWidth="1"/>
  </cols>
  <sheetData>
    <row r="1" spans="1:11" ht="20.65">
      <c r="A1" s="777" t="s">
        <v>177</v>
      </c>
      <c r="B1" s="397"/>
      <c r="C1" s="398"/>
      <c r="D1" s="398"/>
      <c r="E1" s="398"/>
      <c r="F1" s="398"/>
      <c r="G1" s="398"/>
      <c r="H1" s="398"/>
      <c r="I1" s="399"/>
      <c r="J1" s="399"/>
      <c r="K1" s="786"/>
    </row>
    <row r="2" spans="1:11" ht="20.65">
      <c r="A2" s="295" t="str">
        <f>Licensee</f>
        <v>Cadent-NW</v>
      </c>
      <c r="B2" s="290"/>
      <c r="C2" s="16"/>
      <c r="D2" s="16"/>
      <c r="E2" s="16"/>
      <c r="F2" s="16"/>
      <c r="G2" s="16"/>
      <c r="H2" s="16"/>
      <c r="I2" s="15"/>
      <c r="J2" s="15"/>
      <c r="K2" s="65"/>
    </row>
    <row r="3" spans="1:11" ht="20.65">
      <c r="A3" s="290">
        <f>Reporting_Year</f>
        <v>2022</v>
      </c>
      <c r="B3" s="589" t="str">
        <f>IF('RFPR cover'!C7=Data!B78,"Not required to be completed for System Operator","")</f>
        <v/>
      </c>
      <c r="C3" s="590"/>
      <c r="D3" s="577"/>
      <c r="E3" s="577"/>
      <c r="F3" s="577"/>
      <c r="G3" s="577"/>
      <c r="H3" s="577"/>
      <c r="I3" s="578"/>
      <c r="J3" s="578"/>
      <c r="K3" s="119"/>
    </row>
    <row r="4" spans="1:11" ht="12.75" customHeight="1">
      <c r="A4" s="22"/>
      <c r="B4" s="22"/>
      <c r="C4" s="22"/>
      <c r="D4" s="22"/>
      <c r="E4" s="22"/>
      <c r="F4" s="22"/>
      <c r="G4" s="22"/>
      <c r="H4" s="22"/>
      <c r="I4" s="19"/>
    </row>
    <row r="5" spans="1:11" s="2" customFormat="1">
      <c r="B5" s="3"/>
      <c r="C5" s="3"/>
      <c r="D5" s="153" t="str">
        <f t="shared" ref="D5:I5" si="0">IF(D6&lt;=Reporting_Year,"Actuals","Forecast")</f>
        <v>Actuals</v>
      </c>
      <c r="E5" s="153" t="str">
        <f t="shared" si="0"/>
        <v>Forecast</v>
      </c>
      <c r="F5" s="153" t="str">
        <f t="shared" si="0"/>
        <v>Forecast</v>
      </c>
      <c r="G5" s="153" t="str">
        <f t="shared" si="0"/>
        <v>Forecast</v>
      </c>
      <c r="H5" s="153" t="str">
        <f t="shared" si="0"/>
        <v>Forecast</v>
      </c>
      <c r="I5" s="153" t="str">
        <f t="shared" si="0"/>
        <v>Forecast</v>
      </c>
    </row>
    <row r="6" spans="1:11" s="2" customFormat="1" ht="24.75">
      <c r="D6" s="62">
        <f>'RFPR cover'!$C$6</f>
        <v>2022</v>
      </c>
      <c r="E6" s="63">
        <f>D6+1</f>
        <v>2023</v>
      </c>
      <c r="F6" s="63">
        <f t="shared" ref="F6:H6" si="1">E6+1</f>
        <v>2024</v>
      </c>
      <c r="G6" s="63">
        <f t="shared" si="1"/>
        <v>2025</v>
      </c>
      <c r="H6" s="87">
        <f t="shared" si="1"/>
        <v>2026</v>
      </c>
      <c r="I6" s="421" t="str">
        <f>"Cumulative to "&amp;'RFPR cover'!$C$9</f>
        <v>Cumulative to 2022</v>
      </c>
      <c r="J6" s="124" t="s">
        <v>191</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2" t="str">
        <f>RIIO_2_start_date+3&amp;"/"&amp;RIGHT(RIIO_2_start_date+4,2)</f>
        <v>2025/26</v>
      </c>
    </row>
    <row r="8" spans="1:11" s="2" customFormat="1"/>
    <row r="9" spans="1:11">
      <c r="B9" s="175" t="s">
        <v>730</v>
      </c>
      <c r="C9" s="75" t="s">
        <v>230</v>
      </c>
      <c r="D9" s="141">
        <v>316.35346812999995</v>
      </c>
      <c r="E9" s="152">
        <v>349.81853859483914</v>
      </c>
      <c r="F9" s="152">
        <v>223.14880333349785</v>
      </c>
      <c r="G9" s="152">
        <v>142.31765986945587</v>
      </c>
      <c r="H9" s="152">
        <v>135.82065220276215</v>
      </c>
      <c r="I9" s="2"/>
      <c r="J9" s="2"/>
    </row>
    <row r="10" spans="1:11">
      <c r="B10" s="6"/>
      <c r="C10" s="75"/>
      <c r="D10" s="105"/>
      <c r="E10" s="105"/>
      <c r="F10" s="105"/>
      <c r="G10" s="105"/>
      <c r="H10" s="105"/>
      <c r="I10" s="2"/>
      <c r="J10" s="2"/>
    </row>
    <row r="11" spans="1:11">
      <c r="B11" s="6" t="s">
        <v>410</v>
      </c>
      <c r="C11" s="8"/>
      <c r="D11" s="106"/>
      <c r="E11" s="106"/>
      <c r="F11" s="106"/>
      <c r="G11" s="106"/>
      <c r="H11" s="106"/>
      <c r="I11" s="2"/>
      <c r="J11" s="2"/>
    </row>
    <row r="12" spans="1:11">
      <c r="B12" s="146" t="s">
        <v>711</v>
      </c>
      <c r="C12" s="75" t="s">
        <v>230</v>
      </c>
      <c r="D12" s="141">
        <v>0</v>
      </c>
      <c r="E12" s="152">
        <v>0</v>
      </c>
      <c r="F12" s="152">
        <v>0</v>
      </c>
      <c r="G12" s="152">
        <v>0</v>
      </c>
      <c r="H12" s="152">
        <v>0</v>
      </c>
      <c r="I12" s="2"/>
      <c r="J12" s="2"/>
    </row>
    <row r="13" spans="1:11">
      <c r="B13" s="146" t="s">
        <v>712</v>
      </c>
      <c r="C13" s="75" t="s">
        <v>230</v>
      </c>
      <c r="D13" s="141">
        <v>13.819698439999998</v>
      </c>
      <c r="E13" s="152">
        <v>14.96322958010192</v>
      </c>
      <c r="F13" s="152">
        <v>14.905348456756219</v>
      </c>
      <c r="G13" s="152">
        <v>4.3884096321586084</v>
      </c>
      <c r="H13" s="152">
        <v>3.2317871291445783</v>
      </c>
      <c r="I13" s="2"/>
      <c r="J13" s="2"/>
    </row>
    <row r="14" spans="1:11">
      <c r="B14" s="146" t="s">
        <v>713</v>
      </c>
      <c r="C14" s="75" t="s">
        <v>230</v>
      </c>
      <c r="D14" s="141">
        <v>0</v>
      </c>
      <c r="E14" s="152">
        <v>0</v>
      </c>
      <c r="F14" s="152">
        <v>0</v>
      </c>
      <c r="G14" s="152">
        <v>0</v>
      </c>
      <c r="H14" s="152">
        <v>0</v>
      </c>
      <c r="I14" s="2"/>
      <c r="J14" s="2"/>
    </row>
    <row r="15" spans="1:11">
      <c r="B15" s="146" t="s">
        <v>714</v>
      </c>
      <c r="C15" s="75" t="s">
        <v>230</v>
      </c>
      <c r="D15" s="141">
        <v>0</v>
      </c>
      <c r="E15" s="152">
        <v>0</v>
      </c>
      <c r="F15" s="152">
        <v>0</v>
      </c>
      <c r="G15" s="152">
        <v>0</v>
      </c>
      <c r="H15" s="152">
        <v>0</v>
      </c>
      <c r="I15" s="2"/>
      <c r="J15" s="2"/>
    </row>
    <row r="16" spans="1:11">
      <c r="B16" s="146" t="s">
        <v>715</v>
      </c>
      <c r="C16" s="75" t="s">
        <v>230</v>
      </c>
      <c r="D16" s="141">
        <v>0</v>
      </c>
      <c r="E16" s="152">
        <v>0</v>
      </c>
      <c r="F16" s="152">
        <v>0</v>
      </c>
      <c r="G16" s="152">
        <v>0</v>
      </c>
      <c r="H16" s="152">
        <v>0</v>
      </c>
      <c r="I16" s="2"/>
      <c r="J16" s="2"/>
    </row>
    <row r="17" spans="2:9">
      <c r="B17" s="146" t="s">
        <v>716</v>
      </c>
      <c r="C17" s="75" t="s">
        <v>230</v>
      </c>
      <c r="D17" s="141">
        <v>9</v>
      </c>
      <c r="E17" s="152">
        <v>8.8368363520757018</v>
      </c>
      <c r="F17" s="152">
        <v>8.7918003117010972</v>
      </c>
      <c r="G17" s="152">
        <v>8.7367111929130274</v>
      </c>
      <c r="H17" s="152">
        <v>8.7081470177787939</v>
      </c>
      <c r="I17" s="2"/>
    </row>
    <row r="18" spans="2:9">
      <c r="B18" s="146" t="s">
        <v>717</v>
      </c>
      <c r="C18" s="75" t="s">
        <v>230</v>
      </c>
      <c r="D18" s="141">
        <v>-4.5332836099999936</v>
      </c>
      <c r="E18" s="152">
        <v>-4.8526937819064493</v>
      </c>
      <c r="F18" s="152">
        <v>-5.0141185718352901</v>
      </c>
      <c r="G18" s="152">
        <v>-4.714381550817734</v>
      </c>
      <c r="H18" s="152">
        <v>-3.9335758278285597</v>
      </c>
      <c r="I18" s="2"/>
    </row>
    <row r="19" spans="2:9" ht="12.75" customHeight="1">
      <c r="B19" s="146" t="s">
        <v>718</v>
      </c>
      <c r="C19" s="75" t="s">
        <v>230</v>
      </c>
      <c r="D19" s="141">
        <v>-0.2824158799999999</v>
      </c>
      <c r="E19" s="152">
        <v>-0.6590467065819986</v>
      </c>
      <c r="F19" s="152">
        <v>-0.65904689418199869</v>
      </c>
      <c r="G19" s="152">
        <v>-0.65904689418199869</v>
      </c>
      <c r="H19" s="152">
        <v>-0.33074689418199871</v>
      </c>
      <c r="I19" s="2"/>
    </row>
    <row r="20" spans="2:9">
      <c r="B20" s="146" t="s">
        <v>719</v>
      </c>
      <c r="C20" s="75" t="s">
        <v>230</v>
      </c>
      <c r="D20" s="141">
        <v>0</v>
      </c>
      <c r="E20" s="152">
        <v>0</v>
      </c>
      <c r="F20" s="152">
        <v>0</v>
      </c>
      <c r="G20" s="152">
        <v>0</v>
      </c>
      <c r="H20" s="152">
        <v>0</v>
      </c>
      <c r="I20" s="2"/>
    </row>
    <row r="21" spans="2:9">
      <c r="B21" s="146" t="s">
        <v>720</v>
      </c>
      <c r="C21" s="75" t="s">
        <v>230</v>
      </c>
      <c r="D21" s="141">
        <v>-0.28329284999999998</v>
      </c>
      <c r="E21" s="152">
        <v>-0.3</v>
      </c>
      <c r="F21" s="152">
        <v>-0.3</v>
      </c>
      <c r="G21" s="152">
        <v>-0.3</v>
      </c>
      <c r="H21" s="152">
        <v>-0.3</v>
      </c>
      <c r="I21" s="2"/>
    </row>
    <row r="22" spans="2:9">
      <c r="B22" s="146" t="s">
        <v>721</v>
      </c>
      <c r="C22" s="75" t="s">
        <v>230</v>
      </c>
      <c r="D22" s="141">
        <v>-2.0715935500000002</v>
      </c>
      <c r="E22" s="152">
        <v>-1.5596520808686549</v>
      </c>
      <c r="F22" s="152">
        <v>-1.5596518008686546</v>
      </c>
      <c r="G22" s="152">
        <v>-1.5596520808686549</v>
      </c>
      <c r="H22" s="152">
        <v>-1.5596520808686549</v>
      </c>
      <c r="I22" s="2"/>
    </row>
    <row r="23" spans="2:9">
      <c r="B23" s="146" t="s">
        <v>722</v>
      </c>
      <c r="C23" s="75" t="s">
        <v>230</v>
      </c>
      <c r="D23" s="141">
        <v>-77.819520879999999</v>
      </c>
      <c r="E23" s="152">
        <v>0</v>
      </c>
      <c r="F23" s="152">
        <v>0</v>
      </c>
      <c r="G23" s="152">
        <v>0</v>
      </c>
      <c r="H23" s="152">
        <v>0</v>
      </c>
      <c r="I23" s="2"/>
    </row>
    <row r="24" spans="2:9">
      <c r="B24" s="146" t="s">
        <v>723</v>
      </c>
      <c r="C24" s="75" t="s">
        <v>230</v>
      </c>
      <c r="D24" s="141">
        <v>0</v>
      </c>
      <c r="E24" s="152">
        <v>0</v>
      </c>
      <c r="F24" s="152">
        <v>0</v>
      </c>
      <c r="G24" s="152">
        <v>0</v>
      </c>
      <c r="H24" s="152">
        <v>0</v>
      </c>
      <c r="I24" s="2"/>
    </row>
    <row r="25" spans="2:9">
      <c r="B25" s="146" t="s">
        <v>724</v>
      </c>
      <c r="C25" s="75" t="s">
        <v>230</v>
      </c>
      <c r="D25" s="141">
        <v>76.301751127434784</v>
      </c>
      <c r="E25" s="152">
        <v>68.25365874256029</v>
      </c>
      <c r="F25" s="152">
        <v>54.487363216055257</v>
      </c>
      <c r="G25" s="152">
        <v>44.605492299657257</v>
      </c>
      <c r="H25" s="152">
        <v>43.356358075206941</v>
      </c>
      <c r="I25" s="2"/>
    </row>
    <row r="26" spans="2:9">
      <c r="B26" s="146" t="s">
        <v>725</v>
      </c>
      <c r="C26" s="75" t="s">
        <v>230</v>
      </c>
      <c r="D26" s="141">
        <v>-252.10165209133083</v>
      </c>
      <c r="E26" s="152">
        <v>-331.03586688611614</v>
      </c>
      <c r="F26" s="152">
        <v>-223.99349971417729</v>
      </c>
      <c r="G26" s="152">
        <v>-147.15655489181904</v>
      </c>
      <c r="H26" s="152">
        <v>-141.42276825589252</v>
      </c>
      <c r="I26" s="2"/>
    </row>
    <row r="27" spans="2:9">
      <c r="B27" s="146" t="s">
        <v>726</v>
      </c>
      <c r="C27" s="75" t="s">
        <v>230</v>
      </c>
      <c r="D27" s="141">
        <v>0</v>
      </c>
      <c r="E27" s="152">
        <v>0</v>
      </c>
      <c r="F27" s="152">
        <v>0</v>
      </c>
      <c r="G27" s="152">
        <v>0</v>
      </c>
      <c r="H27" s="152">
        <v>0</v>
      </c>
      <c r="I27" s="2"/>
    </row>
    <row r="28" spans="2:9">
      <c r="B28" s="146" t="s">
        <v>726</v>
      </c>
      <c r="C28" s="75" t="s">
        <v>230</v>
      </c>
      <c r="D28" s="141">
        <v>0</v>
      </c>
      <c r="E28" s="152">
        <v>0</v>
      </c>
      <c r="F28" s="152">
        <v>0</v>
      </c>
      <c r="G28" s="152">
        <v>0</v>
      </c>
      <c r="H28" s="152">
        <v>0</v>
      </c>
      <c r="I28" s="2"/>
    </row>
    <row r="29" spans="2:9">
      <c r="B29" s="377" t="s">
        <v>290</v>
      </c>
      <c r="C29" s="75" t="s">
        <v>230</v>
      </c>
      <c r="D29" s="71">
        <f>SUM(D9,D12:D28)</f>
        <v>78.383158836103917</v>
      </c>
      <c r="E29" s="72">
        <f t="shared" ref="E29:H29" si="2">SUM(E9,E12:E28)</f>
        <v>103.4650038141038</v>
      </c>
      <c r="F29" s="72">
        <f t="shared" si="2"/>
        <v>69.806998336947174</v>
      </c>
      <c r="G29" s="72">
        <f t="shared" si="2"/>
        <v>45.658637576497313</v>
      </c>
      <c r="H29" s="72">
        <f t="shared" si="2"/>
        <v>43.570201366120727</v>
      </c>
      <c r="I29" s="2"/>
    </row>
    <row r="30" spans="2:9" ht="13.5">
      <c r="B30" s="147" t="s">
        <v>411</v>
      </c>
      <c r="C30" s="75" t="s">
        <v>230</v>
      </c>
      <c r="D30" s="556"/>
      <c r="E30" s="203">
        <v>0.60739294427355062</v>
      </c>
      <c r="F30" s="203">
        <v>3.7493279999999998</v>
      </c>
      <c r="G30" s="203">
        <v>5.5416384620498027</v>
      </c>
      <c r="H30" s="203">
        <v>9.1515462117732316</v>
      </c>
      <c r="I30" s="2"/>
    </row>
    <row r="31" spans="2:9">
      <c r="B31" s="377" t="s">
        <v>412</v>
      </c>
      <c r="C31" s="75" t="s">
        <v>230</v>
      </c>
      <c r="D31" s="71">
        <f>SUM(D29:D30)</f>
        <v>78.383158836103917</v>
      </c>
      <c r="E31" s="72">
        <f t="shared" ref="E31:H31" si="3">SUM(E29:E30)</f>
        <v>104.07239675837735</v>
      </c>
      <c r="F31" s="72">
        <f t="shared" si="3"/>
        <v>73.55632633694718</v>
      </c>
      <c r="G31" s="72">
        <f t="shared" si="3"/>
        <v>51.200276038547116</v>
      </c>
      <c r="H31" s="72">
        <f t="shared" si="3"/>
        <v>52.721747577893957</v>
      </c>
      <c r="I31" s="2"/>
    </row>
    <row r="32" spans="2:9">
      <c r="B32" s="88" t="s">
        <v>413</v>
      </c>
      <c r="C32" s="75" t="s">
        <v>230</v>
      </c>
      <c r="D32" s="203">
        <v>78.383158836103917</v>
      </c>
      <c r="E32" s="203">
        <v>104.07239675837735</v>
      </c>
      <c r="F32" s="203">
        <v>73.55632633694718</v>
      </c>
      <c r="G32" s="203">
        <v>51.200276038547116</v>
      </c>
      <c r="H32" s="203">
        <v>52.721747577893957</v>
      </c>
      <c r="I32" s="2"/>
    </row>
    <row r="33" spans="2:11">
      <c r="B33" s="88" t="s">
        <v>414</v>
      </c>
      <c r="C33" s="75" t="s">
        <v>230</v>
      </c>
      <c r="D33" s="203">
        <v>0</v>
      </c>
      <c r="E33" s="203">
        <v>0</v>
      </c>
      <c r="F33" s="203">
        <v>0</v>
      </c>
      <c r="G33" s="203">
        <v>0</v>
      </c>
      <c r="H33" s="203">
        <v>0</v>
      </c>
      <c r="I33" s="2"/>
    </row>
    <row r="34" spans="2:11">
      <c r="B34" s="88"/>
      <c r="D34" s="103"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12"/>
      <c r="E35" s="12"/>
      <c r="F35" s="12"/>
      <c r="G35" s="12"/>
      <c r="H35" s="12"/>
      <c r="I35" s="2"/>
    </row>
    <row r="36" spans="2:11">
      <c r="B36" s="88" t="s">
        <v>415</v>
      </c>
      <c r="C36" s="75" t="s">
        <v>230</v>
      </c>
      <c r="D36" s="203">
        <v>142.33550731</v>
      </c>
      <c r="E36" s="203">
        <v>230.41611053432803</v>
      </c>
      <c r="F36" s="203">
        <v>103.66260741758725</v>
      </c>
      <c r="G36" s="203">
        <v>49.016580479587539</v>
      </c>
      <c r="H36" s="203">
        <v>56.678255914292322</v>
      </c>
      <c r="I36" s="2"/>
    </row>
    <row r="37" spans="2:11">
      <c r="D37" s="12"/>
      <c r="E37" s="12"/>
      <c r="F37" s="12"/>
      <c r="G37" s="12"/>
      <c r="H37" s="12"/>
      <c r="I37" s="2"/>
    </row>
    <row r="38" spans="2:11">
      <c r="B38" s="88" t="s">
        <v>416</v>
      </c>
      <c r="C38" s="75" t="s">
        <v>230</v>
      </c>
      <c r="D38" s="283">
        <v>72.774553473967359</v>
      </c>
      <c r="E38" s="283">
        <v>137.82582453998648</v>
      </c>
      <c r="F38" s="283">
        <v>62.518764136573878</v>
      </c>
      <c r="G38" s="283">
        <v>31.682717743330308</v>
      </c>
      <c r="H38" s="283">
        <v>35.540858234612458</v>
      </c>
      <c r="I38" s="2"/>
      <c r="K38" s="130"/>
    </row>
    <row r="39" spans="2:11">
      <c r="B39" s="88"/>
      <c r="C39" s="75"/>
      <c r="D39" s="253"/>
      <c r="E39" s="253"/>
      <c r="F39" s="253"/>
      <c r="G39" s="253"/>
      <c r="H39" s="253"/>
      <c r="I39" s="2"/>
      <c r="K39" s="130"/>
    </row>
    <row r="40" spans="2:11">
      <c r="B40" s="88" t="s">
        <v>417</v>
      </c>
      <c r="C40" s="75" t="s">
        <v>230</v>
      </c>
      <c r="D40" s="50">
        <f>D31-D38</f>
        <v>5.6086053621365579</v>
      </c>
      <c r="E40" s="50">
        <f t="shared" ref="E40:H40" si="4">E31-E38</f>
        <v>-33.753427781609133</v>
      </c>
      <c r="F40" s="50">
        <f t="shared" si="4"/>
        <v>11.037562200373301</v>
      </c>
      <c r="G40" s="50">
        <f t="shared" si="4"/>
        <v>19.517558295216809</v>
      </c>
      <c r="H40" s="50">
        <f t="shared" si="4"/>
        <v>17.1808893432815</v>
      </c>
    </row>
    <row r="41" spans="2:11">
      <c r="B41" s="88"/>
      <c r="C41" s="75"/>
      <c r="D41" s="75"/>
      <c r="E41" s="75"/>
      <c r="F41" s="75"/>
      <c r="G41" s="75"/>
      <c r="H41" s="75"/>
      <c r="I41" s="75"/>
      <c r="K41" s="130"/>
    </row>
    <row r="42" spans="2:11">
      <c r="B42" s="270" t="s">
        <v>418</v>
      </c>
      <c r="C42" s="75" t="s">
        <v>419</v>
      </c>
      <c r="D42" s="178">
        <f t="shared" ref="D42:H42" si="5">INDEX(real_to_nominal_CF,MATCH(D$6,calendar_year,0))</f>
        <v>1.0847835302284383</v>
      </c>
      <c r="E42" s="178">
        <f t="shared" si="5"/>
        <v>1.1682111694202062</v>
      </c>
      <c r="F42" s="178">
        <f t="shared" si="5"/>
        <v>1.2070548174037865</v>
      </c>
      <c r="G42" s="178">
        <f t="shared" si="5"/>
        <v>1.2275072378847331</v>
      </c>
      <c r="H42" s="178">
        <f t="shared" si="5"/>
        <v>1.2509585044470788</v>
      </c>
      <c r="I42" s="75"/>
      <c r="K42" s="130"/>
    </row>
    <row r="43" spans="2:11">
      <c r="I43" s="38"/>
      <c r="J43" s="38"/>
      <c r="K43" s="38"/>
    </row>
    <row r="44" spans="2:11">
      <c r="B44" s="243" t="s">
        <v>420</v>
      </c>
      <c r="C44" s="77" t="str">
        <f>Data!$C$9</f>
        <v>£m 18/19</v>
      </c>
      <c r="D44" s="71">
        <f t="shared" ref="D44:H44" si="6">D40/D42</f>
        <v>5.1702530558843147</v>
      </c>
      <c r="E44" s="72">
        <f t="shared" si="6"/>
        <v>-28.893258911709658</v>
      </c>
      <c r="F44" s="72">
        <f t="shared" si="6"/>
        <v>9.1442095596897754</v>
      </c>
      <c r="G44" s="72">
        <f t="shared" si="6"/>
        <v>15.900157402615307</v>
      </c>
      <c r="H44" s="72">
        <f t="shared" si="6"/>
        <v>13.734180056496294</v>
      </c>
      <c r="I44" s="224">
        <f>SUM(D44:INDEX(D44:H44,0,MATCH('RFPR cover'!$C$9,$D$6:$H$6,0)))</f>
        <v>5.1702530558843147</v>
      </c>
      <c r="J44" s="225">
        <f>SUM(D44:H44)</f>
        <v>15.055541162976034</v>
      </c>
    </row>
    <row r="45" spans="2:11">
      <c r="B45" s="88"/>
      <c r="C45" s="38"/>
      <c r="D45" s="251"/>
      <c r="E45" s="251"/>
      <c r="F45" s="251"/>
      <c r="G45" s="251"/>
      <c r="H45" s="251"/>
      <c r="I45" s="257"/>
      <c r="J45" s="257"/>
    </row>
    <row r="46" spans="2:11">
      <c r="B46" s="243" t="s">
        <v>421</v>
      </c>
      <c r="C46" s="75"/>
      <c r="D46" s="251"/>
      <c r="E46" s="251"/>
      <c r="F46" s="251"/>
      <c r="G46" s="251"/>
      <c r="H46" s="251"/>
      <c r="I46" s="257"/>
      <c r="J46" s="257"/>
    </row>
    <row r="47" spans="2:11">
      <c r="B47" s="146" t="s">
        <v>727</v>
      </c>
      <c r="C47" s="75" t="s">
        <v>230</v>
      </c>
      <c r="D47" s="282">
        <v>4.5332836099999936</v>
      </c>
      <c r="E47" s="282">
        <v>4.8526937819064493</v>
      </c>
      <c r="F47" s="282">
        <v>5.0141185718352901</v>
      </c>
      <c r="G47" s="282">
        <v>4.714381550817734</v>
      </c>
      <c r="H47" s="282">
        <v>3.9335758278285597</v>
      </c>
      <c r="I47" s="224">
        <f>SUM(D47:INDEX(D47:H47,0,MATCH('RFPR cover'!$C$9,$D$6:$H$6,0)))</f>
        <v>4.5332836099999936</v>
      </c>
      <c r="J47" s="224">
        <f t="shared" ref="J47:J54" si="7">SUM(D47:H47)</f>
        <v>23.048053342388027</v>
      </c>
    </row>
    <row r="48" spans="2:11" ht="13.5">
      <c r="B48" s="146" t="s">
        <v>422</v>
      </c>
      <c r="C48" s="75" t="s">
        <v>230</v>
      </c>
      <c r="D48" s="556"/>
      <c r="E48" s="203">
        <v>6.9284243492842438E-3</v>
      </c>
      <c r="F48" s="203">
        <v>4.2768E-2</v>
      </c>
      <c r="G48" s="203">
        <v>6.7419879452054798E-2</v>
      </c>
      <c r="H48" s="203">
        <v>9.1854185418541831E-2</v>
      </c>
      <c r="I48" s="224">
        <f>SUM(D48:INDEX(D48:H48,0,MATCH('RFPR cover'!$C$9,$D$6:$H$6,0)))</f>
        <v>0</v>
      </c>
      <c r="J48" s="224">
        <f t="shared" si="7"/>
        <v>0.20897048921988087</v>
      </c>
    </row>
    <row r="49" spans="1:11">
      <c r="B49" s="146" t="s">
        <v>728</v>
      </c>
      <c r="C49" s="75" t="s">
        <v>230</v>
      </c>
      <c r="D49" s="282">
        <v>0</v>
      </c>
      <c r="E49" s="282">
        <v>0</v>
      </c>
      <c r="F49" s="282">
        <v>0</v>
      </c>
      <c r="G49" s="282">
        <v>0</v>
      </c>
      <c r="H49" s="282">
        <v>0</v>
      </c>
      <c r="I49" s="224">
        <f>SUM(D49:INDEX(D49:H49,0,MATCH('RFPR cover'!$C$9,$D$6:$H$6,0)))</f>
        <v>0</v>
      </c>
      <c r="J49" s="224">
        <f t="shared" si="7"/>
        <v>0</v>
      </c>
    </row>
    <row r="50" spans="1:11">
      <c r="B50" s="146" t="s">
        <v>729</v>
      </c>
      <c r="C50" s="75" t="s">
        <v>230</v>
      </c>
      <c r="D50" s="282">
        <v>0</v>
      </c>
      <c r="E50" s="282">
        <v>0</v>
      </c>
      <c r="F50" s="282">
        <v>0</v>
      </c>
      <c r="G50" s="282">
        <v>0</v>
      </c>
      <c r="H50" s="282">
        <v>0</v>
      </c>
      <c r="I50" s="224">
        <f>SUM(D50:INDEX(D50:H50,0,MATCH('RFPR cover'!$C$9,$D$6:$H$6,0)))</f>
        <v>0</v>
      </c>
      <c r="J50" s="224">
        <f t="shared" si="7"/>
        <v>0</v>
      </c>
    </row>
    <row r="51" spans="1:11">
      <c r="B51" s="664" t="s">
        <v>726</v>
      </c>
      <c r="C51" s="75" t="s">
        <v>230</v>
      </c>
      <c r="D51" s="282">
        <v>0</v>
      </c>
      <c r="E51" s="282">
        <v>0</v>
      </c>
      <c r="F51" s="282">
        <v>0</v>
      </c>
      <c r="G51" s="282">
        <v>0</v>
      </c>
      <c r="H51" s="282">
        <v>0</v>
      </c>
      <c r="I51" s="224">
        <f>SUM(D51:INDEX(D51:H51,0,MATCH('RFPR cover'!$C$9,$D$6:$H$6,0)))</f>
        <v>0</v>
      </c>
      <c r="J51" s="224">
        <f t="shared" si="7"/>
        <v>0</v>
      </c>
    </row>
    <row r="52" spans="1:11">
      <c r="B52" s="664" t="s">
        <v>726</v>
      </c>
      <c r="C52" s="75" t="s">
        <v>230</v>
      </c>
      <c r="D52" s="282">
        <v>0</v>
      </c>
      <c r="E52" s="282">
        <v>0</v>
      </c>
      <c r="F52" s="282">
        <v>0</v>
      </c>
      <c r="G52" s="282">
        <v>0</v>
      </c>
      <c r="H52" s="282">
        <v>0</v>
      </c>
      <c r="I52" s="224">
        <f>SUM(D52:INDEX(D52:H52,0,MATCH('RFPR cover'!$C$9,$D$6:$H$6,0)))</f>
        <v>0</v>
      </c>
      <c r="J52" s="224">
        <f t="shared" si="7"/>
        <v>0</v>
      </c>
    </row>
    <row r="53" spans="1:11">
      <c r="B53" s="664" t="s">
        <v>726</v>
      </c>
      <c r="C53" s="75" t="s">
        <v>230</v>
      </c>
      <c r="D53" s="282">
        <v>0</v>
      </c>
      <c r="E53" s="282">
        <v>0</v>
      </c>
      <c r="F53" s="282">
        <v>0</v>
      </c>
      <c r="G53" s="282">
        <v>0</v>
      </c>
      <c r="H53" s="282">
        <v>0</v>
      </c>
      <c r="I53" s="224">
        <f>SUM(D53:INDEX(D53:H53,0,MATCH('RFPR cover'!$C$9,$D$6:$H$6,0)))</f>
        <v>0</v>
      </c>
      <c r="J53" s="224">
        <f t="shared" si="7"/>
        <v>0</v>
      </c>
    </row>
    <row r="54" spans="1:11">
      <c r="B54" s="664" t="s">
        <v>726</v>
      </c>
      <c r="C54" s="75" t="s">
        <v>230</v>
      </c>
      <c r="D54" s="282">
        <v>0</v>
      </c>
      <c r="E54" s="282">
        <v>0</v>
      </c>
      <c r="F54" s="282">
        <v>0</v>
      </c>
      <c r="G54" s="282">
        <v>0</v>
      </c>
      <c r="H54" s="282">
        <v>0</v>
      </c>
      <c r="I54" s="224">
        <f>SUM(D54:INDEX(D54:H54,0,MATCH('RFPR cover'!$C$9,$D$6:$H$6,0)))</f>
        <v>0</v>
      </c>
      <c r="J54" s="224">
        <f t="shared" si="7"/>
        <v>0</v>
      </c>
    </row>
    <row r="55" spans="1:11" s="25" customFormat="1">
      <c r="B55" s="273"/>
      <c r="C55" s="274"/>
      <c r="D55" s="591"/>
      <c r="E55" s="591"/>
      <c r="F55" s="591"/>
      <c r="G55" s="591"/>
      <c r="H55" s="591"/>
      <c r="I55" s="592"/>
      <c r="J55" s="592"/>
    </row>
    <row r="56" spans="1:11">
      <c r="B56" s="272" t="s">
        <v>423</v>
      </c>
      <c r="C56" s="109" t="s">
        <v>230</v>
      </c>
      <c r="D56" s="71">
        <f>SUM(D47:D54)</f>
        <v>4.5332836099999936</v>
      </c>
      <c r="E56" s="71">
        <f t="shared" ref="E56:H56" si="8">SUM(E47:E54)</f>
        <v>4.8596222062557333</v>
      </c>
      <c r="F56" s="71">
        <f t="shared" si="8"/>
        <v>5.0568865718352898</v>
      </c>
      <c r="G56" s="71">
        <f t="shared" si="8"/>
        <v>4.7818014302697884</v>
      </c>
      <c r="H56" s="71">
        <f t="shared" si="8"/>
        <v>4.0254300132471013</v>
      </c>
      <c r="I56" s="224">
        <f>SUM(D56:INDEX(D56:H56,0,MATCH('RFPR cover'!$C$9,$D$6:$H$6,0)))</f>
        <v>4.5332836099999936</v>
      </c>
      <c r="J56" s="225">
        <f>SUM(D56:H56)</f>
        <v>23.257023831607903</v>
      </c>
    </row>
    <row r="57" spans="1:11">
      <c r="B57" s="272" t="s">
        <v>423</v>
      </c>
      <c r="C57" s="77" t="str">
        <f>Data!$C$9</f>
        <v>£m 18/19</v>
      </c>
      <c r="D57" s="71">
        <f>D56/D42</f>
        <v>4.1789753288799982</v>
      </c>
      <c r="E57" s="71">
        <f t="shared" ref="E57:H57" si="9">E56/E42</f>
        <v>4.1598833613854316</v>
      </c>
      <c r="F57" s="71">
        <f t="shared" si="9"/>
        <v>4.1894423508552636</v>
      </c>
      <c r="G57" s="71">
        <f t="shared" si="9"/>
        <v>3.8955382768332116</v>
      </c>
      <c r="H57" s="71">
        <f t="shared" si="9"/>
        <v>3.2178765314252638</v>
      </c>
      <c r="I57" s="224">
        <f>SUM(D57:INDEX(D57:H57,0,MATCH('RFPR cover'!$C$9,$D$6:$H$6,0)))</f>
        <v>4.1789753288799982</v>
      </c>
      <c r="J57" s="225">
        <f>SUM(D57:H57)</f>
        <v>19.641715849379167</v>
      </c>
    </row>
    <row r="58" spans="1:11">
      <c r="B58" s="88"/>
      <c r="C58" s="38"/>
      <c r="D58" s="251"/>
      <c r="E58" s="251"/>
      <c r="F58" s="251"/>
      <c r="G58" s="251"/>
      <c r="H58" s="251"/>
      <c r="I58" s="257"/>
      <c r="J58" s="257"/>
    </row>
    <row r="59" spans="1:11" s="2" customFormat="1">
      <c r="A59" s="1"/>
    </row>
    <row r="60" spans="1:11" s="2" customFormat="1">
      <c r="A60" s="1"/>
      <c r="B60" s="258" t="s">
        <v>424</v>
      </c>
      <c r="C60" s="40"/>
      <c r="D60" s="40"/>
      <c r="E60" s="40"/>
      <c r="F60" s="40"/>
      <c r="G60" s="40"/>
      <c r="H60" s="40"/>
      <c r="I60" s="40"/>
      <c r="J60" s="40"/>
      <c r="K60" s="40"/>
    </row>
    <row r="61" spans="1:11" s="2" customFormat="1">
      <c r="A61" s="1"/>
      <c r="B61" s="145" t="s">
        <v>425</v>
      </c>
      <c r="C61" s="631"/>
      <c r="D61" s="631"/>
      <c r="E61" s="631"/>
      <c r="F61" s="631"/>
      <c r="G61" s="631"/>
      <c r="H61" s="631"/>
      <c r="I61" s="631"/>
      <c r="J61" s="631"/>
      <c r="K61" s="631"/>
    </row>
    <row r="62" spans="1:11" s="2" customFormat="1">
      <c r="A62" s="1"/>
    </row>
    <row r="63" spans="1:11">
      <c r="B63" s="88" t="s">
        <v>24</v>
      </c>
      <c r="C63" s="38" t="s">
        <v>194</v>
      </c>
      <c r="D63" s="284">
        <f>Data!$C$8</f>
        <v>0.6</v>
      </c>
      <c r="E63" s="285">
        <f>Data!$C$8</f>
        <v>0.6</v>
      </c>
      <c r="F63" s="285">
        <f>Data!$C$8</f>
        <v>0.6</v>
      </c>
      <c r="G63" s="285">
        <f>Data!$C$8</f>
        <v>0.6</v>
      </c>
      <c r="H63" s="285">
        <f>Data!$C$8</f>
        <v>0.6</v>
      </c>
      <c r="I63" s="2"/>
      <c r="K63" s="130"/>
    </row>
    <row r="64" spans="1:11">
      <c r="B64" s="88" t="s">
        <v>426</v>
      </c>
      <c r="C64" s="38" t="s">
        <v>194</v>
      </c>
      <c r="D64" s="285">
        <f>'R6 - Net Debt'!D65</f>
        <v>0.57153912568649412</v>
      </c>
      <c r="E64" s="285">
        <f>'R6 - Net Debt'!E65</f>
        <v>0.62631033358018595</v>
      </c>
      <c r="F64" s="285">
        <f>'R6 - Net Debt'!F65</f>
        <v>0.63444826374598939</v>
      </c>
      <c r="G64" s="285">
        <f>'R6 - Net Debt'!G65</f>
        <v>0.61605700341622494</v>
      </c>
      <c r="H64" s="285">
        <f>'R6 - Net Debt'!H65</f>
        <v>0.60229618595557288</v>
      </c>
      <c r="I64" s="2" t="s">
        <v>427</v>
      </c>
      <c r="K64" s="130"/>
    </row>
    <row r="65" spans="2:12">
      <c r="B65" s="88"/>
      <c r="C65" s="38"/>
      <c r="D65" s="38"/>
      <c r="E65" s="38"/>
      <c r="F65" s="38"/>
      <c r="G65" s="38"/>
      <c r="H65" s="38"/>
      <c r="I65" s="2"/>
      <c r="K65" s="130"/>
    </row>
    <row r="66" spans="2:12">
      <c r="B66" s="88" t="s">
        <v>420</v>
      </c>
      <c r="C66" s="75" t="s">
        <v>230</v>
      </c>
      <c r="D66" s="46">
        <f t="shared" ref="D66:H66" si="10">D40</f>
        <v>5.6086053621365579</v>
      </c>
      <c r="E66" s="47">
        <f t="shared" si="10"/>
        <v>-33.753427781609133</v>
      </c>
      <c r="F66" s="47">
        <f t="shared" si="10"/>
        <v>11.037562200373301</v>
      </c>
      <c r="G66" s="47">
        <f t="shared" si="10"/>
        <v>19.517558295216809</v>
      </c>
      <c r="H66" s="47">
        <f t="shared" si="10"/>
        <v>17.1808893432815</v>
      </c>
    </row>
    <row r="67" spans="2:12">
      <c r="B67" s="88" t="s">
        <v>428</v>
      </c>
      <c r="C67" s="75" t="s">
        <v>230</v>
      </c>
      <c r="D67" s="46">
        <f>((D63-D64)/D64)*D66</f>
        <v>0.27929113705748815</v>
      </c>
      <c r="E67" s="46">
        <f t="shared" ref="E67:H67" si="11">((E63-E64)/E64)*E66</f>
        <v>1.4179295738781788</v>
      </c>
      <c r="F67" s="46">
        <f t="shared" si="11"/>
        <v>-0.59930001470293459</v>
      </c>
      <c r="G67" s="46">
        <f t="shared" si="11"/>
        <v>-0.5087086072957584</v>
      </c>
      <c r="H67" s="46">
        <f t="shared" si="11"/>
        <v>-6.5500193649250749E-2</v>
      </c>
      <c r="K67" s="130"/>
    </row>
    <row r="68" spans="2:12">
      <c r="B68" s="88" t="s">
        <v>429</v>
      </c>
      <c r="C68" s="75" t="s">
        <v>230</v>
      </c>
      <c r="D68" s="50">
        <f>SUM(D66:D67)</f>
        <v>5.8878964991940457</v>
      </c>
      <c r="E68" s="51">
        <f t="shared" ref="E68:H68" si="12">SUM(E66:E67)</f>
        <v>-32.335498207730957</v>
      </c>
      <c r="F68" s="51">
        <f t="shared" si="12"/>
        <v>10.438262185670366</v>
      </c>
      <c r="G68" s="51">
        <f t="shared" si="12"/>
        <v>19.00884968792105</v>
      </c>
      <c r="H68" s="51">
        <f t="shared" si="12"/>
        <v>17.11538914963225</v>
      </c>
    </row>
    <row r="69" spans="2:12">
      <c r="B69" s="88"/>
      <c r="C69" s="75"/>
      <c r="D69" s="75"/>
      <c r="E69" s="75"/>
      <c r="F69" s="75"/>
      <c r="G69" s="75"/>
      <c r="H69" s="75"/>
      <c r="I69" s="75"/>
      <c r="J69" s="75"/>
      <c r="K69" s="75"/>
      <c r="L69" s="75"/>
    </row>
    <row r="70" spans="2:12">
      <c r="B70" s="243" t="s">
        <v>429</v>
      </c>
      <c r="C70" s="77" t="str">
        <f>Data!$C$9</f>
        <v>£m 18/19</v>
      </c>
      <c r="D70" s="71">
        <f t="shared" ref="D70:H70" si="13">D68/D42</f>
        <v>5.4277156088036733</v>
      </c>
      <c r="E70" s="72">
        <f t="shared" si="13"/>
        <v>-27.679497555034814</v>
      </c>
      <c r="F70" s="72">
        <f t="shared" si="13"/>
        <v>8.6477117983105956</v>
      </c>
      <c r="G70" s="72">
        <f t="shared" si="13"/>
        <v>15.485733282255433</v>
      </c>
      <c r="H70" s="72">
        <f t="shared" si="13"/>
        <v>13.68182005141507</v>
      </c>
      <c r="I70" s="224">
        <f>SUM(D70:INDEX(D70:H70,0,MATCH('RFPR cover'!$C$9,$D$6:$H$6,0)))</f>
        <v>5.4277156088036733</v>
      </c>
      <c r="J70" s="225">
        <f>SUM(D70:H70)</f>
        <v>15.563483185749957</v>
      </c>
    </row>
    <row r="71" spans="2:12">
      <c r="B71" s="88" t="s">
        <v>430</v>
      </c>
      <c r="C71" s="38" t="str">
        <f>Data!$C$9</f>
        <v>£m 18/19</v>
      </c>
      <c r="D71" s="46">
        <f>D57*((D63-D64)/D64)+D57</f>
        <v>4.3870753280736423</v>
      </c>
      <c r="E71" s="46">
        <f t="shared" ref="E71:H71" si="14">E57*((E63-E64)/E64)+E57</f>
        <v>3.9851330610557572</v>
      </c>
      <c r="F71" s="46">
        <f t="shared" si="14"/>
        <v>3.9619706667201799</v>
      </c>
      <c r="G71" s="46">
        <f t="shared" si="14"/>
        <v>3.794004374820438</v>
      </c>
      <c r="H71" s="46">
        <f t="shared" si="14"/>
        <v>3.2056087418052721</v>
      </c>
      <c r="I71" s="222">
        <f>SUM(D71:INDEX(D71:H71,0,MATCH('RFPR cover'!$C$9,$D$6:$H$6,0)))</f>
        <v>4.3870753280736423</v>
      </c>
      <c r="J71" s="223">
        <f>SUM(D71:H71)</f>
        <v>19.333792172475288</v>
      </c>
      <c r="K71" s="38"/>
    </row>
    <row r="73" spans="2:12">
      <c r="B73" s="254" t="s">
        <v>431</v>
      </c>
      <c r="C73" s="255"/>
      <c r="D73" s="255"/>
      <c r="E73" s="255"/>
      <c r="F73" s="255"/>
      <c r="G73" s="255"/>
      <c r="H73" s="255"/>
      <c r="I73" s="255"/>
      <c r="J73" s="255"/>
      <c r="K73" s="255"/>
      <c r="L73" s="38"/>
    </row>
    <row r="74" spans="2:12">
      <c r="B74" s="256"/>
      <c r="C74" s="38"/>
      <c r="D74" s="38"/>
      <c r="E74" s="38"/>
      <c r="F74" s="38"/>
      <c r="G74" s="38"/>
      <c r="H74" s="38"/>
      <c r="I74" s="38"/>
      <c r="J74" s="38"/>
      <c r="K74" s="38"/>
      <c r="L74" s="38"/>
    </row>
    <row r="75" spans="2:12">
      <c r="B75" s="145" t="s">
        <v>432</v>
      </c>
      <c r="C75" s="144"/>
      <c r="D75" s="144"/>
      <c r="E75" s="144"/>
      <c r="F75" s="144"/>
      <c r="G75" s="144"/>
      <c r="H75" s="144"/>
      <c r="I75" s="144"/>
      <c r="J75" s="144"/>
      <c r="K75" s="144"/>
      <c r="L75" s="38"/>
    </row>
    <row r="76" spans="2:12">
      <c r="B76" s="148"/>
      <c r="C76" s="148"/>
      <c r="D76" s="148"/>
      <c r="E76" s="148"/>
      <c r="F76" s="148"/>
      <c r="G76" s="148"/>
      <c r="H76" s="148"/>
      <c r="I76" s="148"/>
      <c r="J76" s="148"/>
      <c r="K76" s="148"/>
      <c r="L76" s="38"/>
    </row>
    <row r="77" spans="2:12">
      <c r="B77" s="88" t="s">
        <v>433</v>
      </c>
      <c r="C77" s="38" t="str">
        <f>Data!$C$9</f>
        <v>£m 18/19</v>
      </c>
      <c r="D77" s="638">
        <v>28.192075052518938</v>
      </c>
      <c r="E77" s="638">
        <v>26.51714309568591</v>
      </c>
      <c r="F77" s="638">
        <v>25.776754113070435</v>
      </c>
      <c r="G77" s="638">
        <v>25.193256006230712</v>
      </c>
      <c r="H77" s="638">
        <v>24.745038005829162</v>
      </c>
      <c r="I77" s="148"/>
      <c r="J77" s="289"/>
      <c r="L77" s="38"/>
    </row>
    <row r="78" spans="2:12">
      <c r="B78" s="88"/>
      <c r="C78" s="38"/>
      <c r="D78" s="259"/>
      <c r="E78" s="259"/>
      <c r="F78" s="259"/>
      <c r="G78" s="259"/>
      <c r="H78" s="259"/>
      <c r="I78" s="148"/>
      <c r="J78" s="257"/>
      <c r="L78" s="38"/>
    </row>
    <row r="79" spans="2:12">
      <c r="B79" s="88"/>
      <c r="C79" s="38"/>
      <c r="D79" s="259"/>
      <c r="E79" s="260"/>
      <c r="F79" s="260"/>
      <c r="G79" s="260"/>
      <c r="H79" s="260"/>
      <c r="I79" s="257"/>
      <c r="J79" s="257"/>
      <c r="L79" s="38"/>
    </row>
    <row r="80" spans="2:12">
      <c r="B80" s="261" t="s">
        <v>434</v>
      </c>
      <c r="C80" s="255"/>
      <c r="D80" s="255"/>
      <c r="E80" s="255"/>
      <c r="F80" s="255"/>
      <c r="G80" s="255"/>
      <c r="H80" s="255"/>
      <c r="I80" s="255"/>
      <c r="J80" s="255"/>
      <c r="K80" s="255"/>
    </row>
    <row r="81" spans="2:11">
      <c r="B81" s="88"/>
      <c r="C81" s="38"/>
      <c r="D81" s="38"/>
      <c r="E81" s="38"/>
      <c r="F81" s="38"/>
      <c r="G81" s="38"/>
      <c r="H81" s="38"/>
      <c r="I81" s="38"/>
      <c r="J81" s="38"/>
      <c r="K81" s="38"/>
    </row>
    <row r="82" spans="2:11">
      <c r="B82" s="8" t="s">
        <v>435</v>
      </c>
      <c r="C82" s="38"/>
      <c r="D82" s="38"/>
      <c r="E82" s="38"/>
      <c r="F82" s="38"/>
      <c r="G82" s="38"/>
      <c r="H82" s="38"/>
      <c r="I82" s="38"/>
      <c r="J82" s="38"/>
      <c r="K82" s="38"/>
    </row>
    <row r="83" spans="2:11">
      <c r="B83" s="88" t="s">
        <v>436</v>
      </c>
      <c r="C83" s="38" t="str">
        <f>Data!$C$9</f>
        <v>£m 18/19</v>
      </c>
      <c r="D83" s="71">
        <f>D77-D44-D57</f>
        <v>18.842846667754621</v>
      </c>
      <c r="E83" s="71">
        <f>E77-E44-E57</f>
        <v>51.250518646010136</v>
      </c>
      <c r="F83" s="71">
        <f>F77-F44-F57</f>
        <v>12.443102202525399</v>
      </c>
      <c r="G83" s="71">
        <f>G77-G44-G57</f>
        <v>5.3975603267821937</v>
      </c>
      <c r="H83" s="71">
        <f>H77-H44-H57</f>
        <v>7.7929814179076047</v>
      </c>
      <c r="I83" s="224">
        <f>SUM(D83:INDEX(D83:H83,0,MATCH('RFPR cover'!$C$9,$D$6:$H$6,0)))</f>
        <v>18.842846667754621</v>
      </c>
      <c r="J83" s="225">
        <f>SUM(D83:H83)</f>
        <v>95.727009260979969</v>
      </c>
      <c r="K83" s="38"/>
    </row>
    <row r="84" spans="2:11">
      <c r="B84" s="88"/>
      <c r="K84" s="38"/>
    </row>
    <row r="85" spans="2:11">
      <c r="B85" s="88" t="s">
        <v>437</v>
      </c>
      <c r="C85" s="38" t="str">
        <f>Data!$C$9</f>
        <v>£m 18/19</v>
      </c>
      <c r="D85" s="71">
        <f>D77-D70-D71</f>
        <v>18.377284115641622</v>
      </c>
      <c r="E85" s="882">
        <f>E77-E70-E71</f>
        <v>50.211507589664969</v>
      </c>
      <c r="F85" s="882">
        <f>F77-F70-F71</f>
        <v>13.167071648039659</v>
      </c>
      <c r="G85" s="882">
        <f>G77-G70-G71</f>
        <v>5.9135183491548409</v>
      </c>
      <c r="H85" s="882">
        <f>H77-H70-H71</f>
        <v>7.8576092126088204</v>
      </c>
      <c r="I85" s="224">
        <f>SUM(D85:INDEX(D85:H85,0,MATCH('RFPR cover'!$C$9,$D$6:$H$6,0)))</f>
        <v>18.377284115641622</v>
      </c>
      <c r="J85" s="225">
        <f>SUM(D85:H85)</f>
        <v>95.52699091510992</v>
      </c>
      <c r="K85" s="38"/>
    </row>
    <row r="86" spans="2:11">
      <c r="B86" s="88"/>
      <c r="E86" s="96"/>
      <c r="F86" s="96"/>
      <c r="G86" s="96"/>
      <c r="H86" s="96"/>
      <c r="K86" s="38"/>
    </row>
    <row r="87" spans="2:11">
      <c r="B87" s="88" t="s">
        <v>438</v>
      </c>
      <c r="C87" s="38" t="str">
        <f>Data!$C$9</f>
        <v>£m 18/19</v>
      </c>
      <c r="D87" s="71">
        <f>D83-D85</f>
        <v>0.46556255211299913</v>
      </c>
      <c r="E87" s="71">
        <f t="shared" ref="E87:H87" si="15">E83-E85</f>
        <v>1.0390110563451671</v>
      </c>
      <c r="F87" s="71">
        <f t="shared" si="15"/>
        <v>-0.72396944551426046</v>
      </c>
      <c r="G87" s="71">
        <f t="shared" si="15"/>
        <v>-0.51595802237264721</v>
      </c>
      <c r="H87" s="71">
        <f t="shared" si="15"/>
        <v>-6.4627794701215713E-2</v>
      </c>
      <c r="I87" s="224">
        <f>SUM(D87:INDEX(D87:H87,0,MATCH('RFPR cover'!$C$9,$D$6:$H$6,0)))</f>
        <v>0.46556255211299913</v>
      </c>
      <c r="J87" s="225">
        <f>SUM(D87:H87)</f>
        <v>0.20001834587004286</v>
      </c>
      <c r="K87" s="38"/>
    </row>
    <row r="88" spans="2:11">
      <c r="K88" s="38"/>
    </row>
    <row r="89" spans="2:11">
      <c r="K89" s="38"/>
    </row>
    <row r="90" spans="2:11">
      <c r="K90" s="38"/>
    </row>
    <row r="91" spans="2:11">
      <c r="K91" s="38"/>
    </row>
  </sheetData>
  <conditionalFormatting sqref="D48">
    <cfRule type="expression" dxfId="47" priority="4">
      <formula>C$12="N/A"</formula>
    </cfRule>
  </conditionalFormatting>
  <conditionalFormatting sqref="D48">
    <cfRule type="expression" dxfId="46" priority="3">
      <formula>D$5="Forecast"</formula>
    </cfRule>
  </conditionalFormatting>
  <conditionalFormatting sqref="D30">
    <cfRule type="expression" dxfId="45" priority="2">
      <formula>C$12="N/A"</formula>
    </cfRule>
  </conditionalFormatting>
  <conditionalFormatting sqref="D30">
    <cfRule type="expression" dxfId="44" priority="1">
      <formula>D$5="Forecast"</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CC285FE4-1466-4BF7-8FA9-67F63A3D57B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7fb15b9-fcbf-48f2-8000-3febecb0ac87"/>
    <ds:schemaRef ds:uri="http://purl.org/dc/elements/1.1/"/>
    <ds:schemaRef ds:uri="77030300-7095-45eb-b01e-00dcc83af8c6"/>
    <ds:schemaRef ds:uri="http://www.w3.org/XML/1998/namespace"/>
    <ds:schemaRef ds:uri="http://purl.org/dc/dcmitype/"/>
  </ds:schemaRefs>
</ds:datastoreItem>
</file>

<file path=customXml/itemProps2.xml><?xml version="1.0" encoding="utf-8"?>
<ds:datastoreItem xmlns:ds="http://schemas.openxmlformats.org/officeDocument/2006/customXml" ds:itemID="{BC4BFC9F-1441-4101-AD9A-FA52A3CAC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8114B6-BDD8-4CB5-AA20-4A909702B5CF}">
  <ds:schemaRefs>
    <ds:schemaRef ds:uri="http://schemas.microsoft.com/DataMashup"/>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5.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2022-08-31T13:49:51Z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ies>
</file>