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ustomProperty20.bin" ContentType="application/vnd.openxmlformats-officedocument.spreadsheetml.customProperty"/>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cadentgasltd.sharepoint.com/sites/RIIO-GD2/RFPR/FY 2324/Final Submission to Ofgem/Tables/Version 2 with late Debt Adj/Without Economic Debt/Links Removed/Website Version/"/>
    </mc:Choice>
  </mc:AlternateContent>
  <xr:revisionPtr revIDLastSave="1169" documentId="101_{BE0A8716-2033-4865-BDDA-E9C49A7FD5F0}" xr6:coauthVersionLast="47" xr6:coauthVersionMax="47" xr10:uidLastSave="{414E4CD2-0C82-42F6-9F0B-989443681697}"/>
  <bookViews>
    <workbookView xWindow="-110" yWindow="-110" windowWidth="19420" windowHeight="10420" tabRatio="842" firstSheet="1" activeTab="1" xr2:uid="{37A5C833-B79A-4C85-B2C6-63A9D5B4A359}"/>
  </bookViews>
  <sheets>
    <sheet name="RFPR cover" sheetId="13" r:id="rId1"/>
    <sheet name="Data" sheetId="28" r:id="rId2"/>
    <sheet name="Content &amp; Version Control" sheetId="21" r:id="rId3"/>
    <sheet name="Change log" sheetId="14" r:id="rId4"/>
    <sheet name="R1 - RoRE" sheetId="1" r:id="rId5"/>
    <sheet name="R3 - Totex - Reconciliation" sheetId="2" r:id="rId6"/>
    <sheet name="R2 - Rec to Revenue and Profit" sheetId="4"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1 - Universal Data" sheetId="43" r:id="rId19"/>
    <sheet name="I2 - Monthly Inflation" sheetId="44" r:id="rId20"/>
  </sheets>
  <definedNames>
    <definedName name="________hom1" localSheetId="18" hidden="1">{#N/A,#N/A,FALSE,"Assessment";#N/A,#N/A,FALSE,"Staffing";#N/A,#N/A,FALSE,"Hires";#N/A,#N/A,FALSE,"Assumptions"}</definedName>
    <definedName name="________hom1" hidden="1">{#N/A,#N/A,FALSE,"Assessment";#N/A,#N/A,FALSE,"Staffing";#N/A,#N/A,FALSE,"Hires";#N/A,#N/A,FALSE,"Assumptions"}</definedName>
    <definedName name="________k1" localSheetId="18" hidden="1">{#N/A,#N/A,FALSE,"Assessment";#N/A,#N/A,FALSE,"Staffing";#N/A,#N/A,FALSE,"Hires";#N/A,#N/A,FALSE,"Assumptions"}</definedName>
    <definedName name="________k1" hidden="1">{#N/A,#N/A,FALSE,"Assessment";#N/A,#N/A,FALSE,"Staffing";#N/A,#N/A,FALSE,"Hires";#N/A,#N/A,FALSE,"Assumptions"}</definedName>
    <definedName name="________kk1" localSheetId="18" hidden="1">{#N/A,#N/A,FALSE,"Assessment";#N/A,#N/A,FALSE,"Staffing";#N/A,#N/A,FALSE,"Hires";#N/A,#N/A,FALSE,"Assumptions"}</definedName>
    <definedName name="________kk1" hidden="1">{#N/A,#N/A,FALSE,"Assessment";#N/A,#N/A,FALSE,"Staffing";#N/A,#N/A,FALSE,"Hires";#N/A,#N/A,FALSE,"Assumptions"}</definedName>
    <definedName name="________KKK1" localSheetId="18" hidden="1">{#N/A,#N/A,FALSE,"Assessment";#N/A,#N/A,FALSE,"Staffing";#N/A,#N/A,FALSE,"Hires";#N/A,#N/A,FALSE,"Assumptions"}</definedName>
    <definedName name="________KKK1" hidden="1">{#N/A,#N/A,FALSE,"Assessment";#N/A,#N/A,FALSE,"Staffing";#N/A,#N/A,FALSE,"Hires";#N/A,#N/A,FALSE,"Assumptions"}</definedName>
    <definedName name="________w2" localSheetId="18"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8"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8" hidden="1">{"holdco",#N/A,FALSE,"Summary Financials";"holdco",#N/A,FALSE,"Summary Financials"}</definedName>
    <definedName name="________wr9" hidden="1">{"holdco",#N/A,FALSE,"Summary Financials";"holdco",#N/A,FALSE,"Summary Financials"}</definedName>
    <definedName name="________wrn1" localSheetId="18" hidden="1">{"holdco",#N/A,FALSE,"Summary Financials";"holdco",#N/A,FALSE,"Summary Financials"}</definedName>
    <definedName name="________wrn1" hidden="1">{"holdco",#N/A,FALSE,"Summary Financials";"holdco",#N/A,FALSE,"Summary Financials"}</definedName>
    <definedName name="________wrn2" localSheetId="18" hidden="1">{"holdco",#N/A,FALSE,"Summary Financials";"holdco",#N/A,FALSE,"Summary Financials"}</definedName>
    <definedName name="________wrn2" hidden="1">{"holdco",#N/A,FALSE,"Summary Financials";"holdco",#N/A,FALSE,"Summary Financials"}</definedName>
    <definedName name="________wrn3" localSheetId="18" hidden="1">{"holdco",#N/A,FALSE,"Summary Financials";"holdco",#N/A,FALSE,"Summary Financials"}</definedName>
    <definedName name="________wrn3" hidden="1">{"holdco",#N/A,FALSE,"Summary Financials";"holdco",#N/A,FALSE,"Summary Financials"}</definedName>
    <definedName name="________wrn7" localSheetId="18"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8" hidden="1">{"holdco",#N/A,FALSE,"Summary Financials";"holdco",#N/A,FALSE,"Summary Financials"}</definedName>
    <definedName name="________wrn8" hidden="1">{"holdco",#N/A,FALSE,"Summary Financials";"holdco",#N/A,FALSE,"Summary Financials"}</definedName>
    <definedName name="_______bb2" localSheetId="18" hidden="1">{#N/A,#N/A,FALSE,"PRJCTED MNTHLY QTY's"}</definedName>
    <definedName name="_______bb2" hidden="1">{#N/A,#N/A,FALSE,"PRJCTED MNTHLY QTY's"}</definedName>
    <definedName name="_______Lee5" localSheetId="18" hidden="1">{#VALUE!,#N/A,FALSE,0}</definedName>
    <definedName name="_______Lee5" hidden="1">{#VALUE!,#N/A,FALSE,0}</definedName>
    <definedName name="______hom1" localSheetId="18" hidden="1">{#N/A,#N/A,FALSE,"Assessment";#N/A,#N/A,FALSE,"Staffing";#N/A,#N/A,FALSE,"Hires";#N/A,#N/A,FALSE,"Assumptions"}</definedName>
    <definedName name="______hom1" hidden="1">{#N/A,#N/A,FALSE,"Assessment";#N/A,#N/A,FALSE,"Staffing";#N/A,#N/A,FALSE,"Hires";#N/A,#N/A,FALSE,"Assumptions"}</definedName>
    <definedName name="______k1" localSheetId="18" hidden="1">{#N/A,#N/A,FALSE,"Assessment";#N/A,#N/A,FALSE,"Staffing";#N/A,#N/A,FALSE,"Hires";#N/A,#N/A,FALSE,"Assumptions"}</definedName>
    <definedName name="______k1" hidden="1">{#N/A,#N/A,FALSE,"Assessment";#N/A,#N/A,FALSE,"Staffing";#N/A,#N/A,FALSE,"Hires";#N/A,#N/A,FALSE,"Assumptions"}</definedName>
    <definedName name="______kk1" localSheetId="18" hidden="1">{#N/A,#N/A,FALSE,"Assessment";#N/A,#N/A,FALSE,"Staffing";#N/A,#N/A,FALSE,"Hires";#N/A,#N/A,FALSE,"Assumptions"}</definedName>
    <definedName name="______kk1" hidden="1">{#N/A,#N/A,FALSE,"Assessment";#N/A,#N/A,FALSE,"Staffing";#N/A,#N/A,FALSE,"Hires";#N/A,#N/A,FALSE,"Assumptions"}</definedName>
    <definedName name="______KKK1" localSheetId="18" hidden="1">{#N/A,#N/A,FALSE,"Assessment";#N/A,#N/A,FALSE,"Staffing";#N/A,#N/A,FALSE,"Hires";#N/A,#N/A,FALSE,"Assumptions"}</definedName>
    <definedName name="______KKK1" hidden="1">{#N/A,#N/A,FALSE,"Assessment";#N/A,#N/A,FALSE,"Staffing";#N/A,#N/A,FALSE,"Hires";#N/A,#N/A,FALSE,"Assumptions"}</definedName>
    <definedName name="______w2" localSheetId="18"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8"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8" hidden="1">{"holdco",#N/A,FALSE,"Summary Financials";"holdco",#N/A,FALSE,"Summary Financials"}</definedName>
    <definedName name="______wr9" hidden="1">{"holdco",#N/A,FALSE,"Summary Financials";"holdco",#N/A,FALSE,"Summary Financials"}</definedName>
    <definedName name="______wrn1" localSheetId="18" hidden="1">{"holdco",#N/A,FALSE,"Summary Financials";"holdco",#N/A,FALSE,"Summary Financials"}</definedName>
    <definedName name="______wrn1" hidden="1">{"holdco",#N/A,FALSE,"Summary Financials";"holdco",#N/A,FALSE,"Summary Financials"}</definedName>
    <definedName name="______wrn2" localSheetId="18" hidden="1">{"holdco",#N/A,FALSE,"Summary Financials";"holdco",#N/A,FALSE,"Summary Financials"}</definedName>
    <definedName name="______wrn2" hidden="1">{"holdco",#N/A,FALSE,"Summary Financials";"holdco",#N/A,FALSE,"Summary Financials"}</definedName>
    <definedName name="______wrn3" localSheetId="18" hidden="1">{"holdco",#N/A,FALSE,"Summary Financials";"holdco",#N/A,FALSE,"Summary Financials"}</definedName>
    <definedName name="______wrn3" hidden="1">{"holdco",#N/A,FALSE,"Summary Financials";"holdco",#N/A,FALSE,"Summary Financials"}</definedName>
    <definedName name="______wrn7" localSheetId="18"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8" hidden="1">{"holdco",#N/A,FALSE,"Summary Financials";"holdco",#N/A,FALSE,"Summary Financials"}</definedName>
    <definedName name="______wrn8" hidden="1">{"holdco",#N/A,FALSE,"Summary Financials";"holdco",#N/A,FALSE,"Summary Financials"}</definedName>
    <definedName name="_____KKK1" localSheetId="18" hidden="1">{#N/A,#N/A,FALSE,"Assessment";#N/A,#N/A,FALSE,"Staffing";#N/A,#N/A,FALSE,"Hires";#N/A,#N/A,FALSE,"Assumptions"}</definedName>
    <definedName name="_____KKK1" hidden="1">{#N/A,#N/A,FALSE,"Assessment";#N/A,#N/A,FALSE,"Staffing";#N/A,#N/A,FALSE,"Hires";#N/A,#N/A,FALSE,"Assumptions"}</definedName>
    <definedName name="_____wrn1" localSheetId="18" hidden="1">{"holdco",#N/A,FALSE,"Summary Financials";"holdco",#N/A,FALSE,"Summary Financials"}</definedName>
    <definedName name="_____wrn1" hidden="1">{"holdco",#N/A,FALSE,"Summary Financials";"holdco",#N/A,FALSE,"Summary Financials"}</definedName>
    <definedName name="_____wrn2" localSheetId="18" hidden="1">{"holdco",#N/A,FALSE,"Summary Financials";"holdco",#N/A,FALSE,"Summary Financials"}</definedName>
    <definedName name="_____wrn2" hidden="1">{"holdco",#N/A,FALSE,"Summary Financials";"holdco",#N/A,FALSE,"Summary Financials"}</definedName>
    <definedName name="_____wrn3" localSheetId="18" hidden="1">{"holdco",#N/A,FALSE,"Summary Financials";"holdco",#N/A,FALSE,"Summary Financials"}</definedName>
    <definedName name="_____wrn3" hidden="1">{"holdco",#N/A,FALSE,"Summary Financials";"holdco",#N/A,FALSE,"Summary Financials"}</definedName>
    <definedName name="_____wrn7" localSheetId="18"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8" hidden="1">{"holdco",#N/A,FALSE,"Summary Financials";"holdco",#N/A,FALSE,"Summary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localSheetId="18"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8" hidden="1">{#N/A,#N/A,FALSE,"Assessment";#N/A,#N/A,FALSE,"Staffing";#N/A,#N/A,FALSE,"Hires";#N/A,#N/A,FALSE,"Assumptions"}</definedName>
    <definedName name="__kk1" hidden="1">{#N/A,#N/A,FALSE,"Assessment";#N/A,#N/A,FALSE,"Staffing";#N/A,#N/A,FALSE,"Hires";#N/A,#N/A,FALSE,"Assumptions"}</definedName>
    <definedName name="__KKK1" localSheetId="18" hidden="1">{#N/A,#N/A,FALSE,"Assessment";#N/A,#N/A,FALSE,"Staffing";#N/A,#N/A,FALSE,"Hires";#N/A,#N/A,FALSE,"Assumptions"}</definedName>
    <definedName name="__KKK1" hidden="1">{#N/A,#N/A,FALSE,"Assessment";#N/A,#N/A,FALSE,"Staffing";#N/A,#N/A,FALSE,"Hires";#N/A,#N/A,FALSE,"Assumptions"}</definedName>
    <definedName name="__wrn1" localSheetId="18" hidden="1">{"holdco",#N/A,FALSE,"Summary Financials";"holdco",#N/A,FALSE,"Summary Financials"}</definedName>
    <definedName name="__wrn1" hidden="1">{"holdco",#N/A,FALSE,"Summary Financials";"holdco",#N/A,FALSE,"Summary Financials"}</definedName>
    <definedName name="__wrn2" localSheetId="18" hidden="1">{"holdco",#N/A,FALSE,"Summary Financials";"holdco",#N/A,FALSE,"Summary Financials"}</definedName>
    <definedName name="__wrn2" hidden="1">{"holdco",#N/A,FALSE,"Summary Financials";"holdco",#N/A,FALSE,"Summary Financials"}</definedName>
    <definedName name="__wrn3" localSheetId="18" hidden="1">{"holdco",#N/A,FALSE,"Summary Financials";"holdco",#N/A,FALSE,"Summary Financials"}</definedName>
    <definedName name="__wrn3" hidden="1">{"holdco",#N/A,FALSE,"Summary Financials";"holdco",#N/A,FALSE,"Summary Financials"}</definedName>
    <definedName name="__wrn7" localSheetId="18"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8" hidden="1">{"holdco",#N/A,FALSE,"Summary Financials";"holdco",#N/A,FALSE,"Summary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8" hidden="1">#REF!</definedName>
    <definedName name="_example" hidden="1">#REF!</definedName>
    <definedName name="_Fill" localSheetId="18" hidden="1">#REF!</definedName>
    <definedName name="_Fill" hidden="1">#REF!</definedName>
    <definedName name="_xlnm._FilterDatabase" localSheetId="14" hidden="1">'R8a - Tax Reconciliation'!$A$9:$M$109</definedName>
    <definedName name="_Key1" localSheetId="18" hidden="1">#REF!</definedName>
    <definedName name="_Key1" hidden="1">#REF!</definedName>
    <definedName name="_Key2" localSheetId="18" hidden="1">#REF!</definedName>
    <definedName name="_Key2" hidden="1">#REF!</definedName>
    <definedName name="_Order1" hidden="1">255</definedName>
    <definedName name="_Order2" hidden="1">0</definedName>
    <definedName name="_Sort" localSheetId="18" hidden="1">#REF!</definedName>
    <definedName name="_Sort" hidden="1">#REF!</definedName>
    <definedName name="a" localSheetId="18"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8" hidden="1">#REF!</definedName>
    <definedName name="ACwvu.CapersView." hidden="1">#REF!</definedName>
    <definedName name="ACwvu.Japan_Capers_Ed_Pub." localSheetId="18" hidden="1">#REF!</definedName>
    <definedName name="ACwvu.Japan_Capers_Ed_Pub." hidden="1">#REF!</definedName>
    <definedName name="ACwvu.KJP_CC." localSheetId="18" hidden="1">#REF!</definedName>
    <definedName name="ACwvu.KJP_CC." hidden="1">#REF!</definedName>
    <definedName name="Adjusted_regulated_tax_liability">'R8 - Tax'!$E$44:$I$44</definedName>
    <definedName name="Adjusted_regulated_tax_liability__Reporting_Year">'R8 - Tax'!$E$44:$I$44</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localSheetId="18" hidden="1">{"staff",#N/A,FALSE,"Current Month"}</definedName>
    <definedName name="b" hidden="1">{"staff",#N/A,FALSE,"Current Month"}</definedName>
    <definedName name="bb" localSheetId="18" hidden="1">{#N/A,#N/A,FALSE,"PRJCTED MNTHLY QTY's"}</definedName>
    <definedName name="bb" hidden="1">{#N/A,#N/A,FALSE,"PRJCTED MNTHLY QTY's"}</definedName>
    <definedName name="bbbb" localSheetId="18" hidden="1">{#N/A,#N/A,FALSE,"PRJCTED QTRLY QTY's"}</definedName>
    <definedName name="bbbb" hidden="1">{#N/A,#N/A,FALSE,"PRJCTED QTRLY QTY's"}</definedName>
    <definedName name="bbbbbb" localSheetId="18" hidden="1">{#N/A,#N/A,FALSE,"PRJCTED QTRLY QTY's"}</definedName>
    <definedName name="bbbbbb" hidden="1">{#N/A,#N/A,FALSE,"PRJCTED QTRLY QTY's"}</definedName>
    <definedName name="BExEZ4HBCC06708765M8A06KCR7P" hidden="1">#N/A</definedName>
    <definedName name="BLPH1" hidden="1">#REF!</definedName>
    <definedName name="BLPH10" localSheetId="18" hidden="1">#REF!</definedName>
    <definedName name="BLPH10" hidden="1">#REF!</definedName>
    <definedName name="BLPH100" localSheetId="18" hidden="1">#REF!</definedName>
    <definedName name="BLPH100" hidden="1">#REF!</definedName>
    <definedName name="BLPH101" localSheetId="18"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8" hidden="1">#REF!</definedName>
    <definedName name="BLPH2" hidden="1">#REF!</definedName>
    <definedName name="BLPH20" localSheetId="18" hidden="1">#REF!</definedName>
    <definedName name="BLPH20" hidden="1">#REF!</definedName>
    <definedName name="BLPH200" localSheetId="18" hidden="1">#REF!</definedName>
    <definedName name="BLPH200" hidden="1">#REF!</definedName>
    <definedName name="BLPH201" localSheetId="18"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localSheetId="18" hidden="1">#REF!</definedName>
    <definedName name="BLPH210" hidden="1">#REF!</definedName>
    <definedName name="BLPH211" localSheetId="18" hidden="1">#REF!</definedName>
    <definedName name="BLPH211" hidden="1">#REF!</definedName>
    <definedName name="BLPH212" localSheetId="18"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localSheetId="18" hidden="1">#REF!</definedName>
    <definedName name="BLPH220" hidden="1">#REF!</definedName>
    <definedName name="BLPH221" localSheetId="18" hidden="1">#REF!</definedName>
    <definedName name="BLPH221" hidden="1">#REF!</definedName>
    <definedName name="BLPH222" localSheetId="18"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localSheetId="18" hidden="1">#REF!</definedName>
    <definedName name="BLPH230" hidden="1">#REF!</definedName>
    <definedName name="BLPH231" localSheetId="18" hidden="1">#REF!</definedName>
    <definedName name="BLPH231" hidden="1">#REF!</definedName>
    <definedName name="BLPH232" localSheetId="18"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localSheetId="18" hidden="1">#REF!</definedName>
    <definedName name="BLPH240" hidden="1">#REF!</definedName>
    <definedName name="BLPH241" localSheetId="18" hidden="1">#REF!</definedName>
    <definedName name="BLPH241" hidden="1">#REF!</definedName>
    <definedName name="BLPH242" localSheetId="18"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localSheetId="18" hidden="1">#REF!</definedName>
    <definedName name="BLPH250" hidden="1">#REF!</definedName>
    <definedName name="BLPH251" localSheetId="18" hidden="1">#REF!</definedName>
    <definedName name="BLPH251" hidden="1">#REF!</definedName>
    <definedName name="BLPH252" localSheetId="18"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localSheetId="18" hidden="1">#REF!</definedName>
    <definedName name="BLPH260" hidden="1">#REF!</definedName>
    <definedName name="BLPH261" localSheetId="18" hidden="1">#REF!</definedName>
    <definedName name="BLPH261" hidden="1">#REF!</definedName>
    <definedName name="BLPH262" localSheetId="18"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localSheetId="18" hidden="1">#REF!</definedName>
    <definedName name="BLPH270" hidden="1">#REF!</definedName>
    <definedName name="BLPH271" localSheetId="18" hidden="1">#REF!</definedName>
    <definedName name="BLPH271" hidden="1">#REF!</definedName>
    <definedName name="BLPH272" localSheetId="18"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localSheetId="18" hidden="1">#REF!</definedName>
    <definedName name="BLPH280" hidden="1">#REF!</definedName>
    <definedName name="BLPH281" localSheetId="18" hidden="1">#REF!</definedName>
    <definedName name="BLPH281" hidden="1">#REF!</definedName>
    <definedName name="BLPH282" localSheetId="18"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localSheetId="18" hidden="1">#REF!</definedName>
    <definedName name="BLPH290" hidden="1">#REF!</definedName>
    <definedName name="BLPH291" localSheetId="18" hidden="1">#REF!</definedName>
    <definedName name="BLPH291" hidden="1">#REF!</definedName>
    <definedName name="BLPH292" localSheetId="18"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8" hidden="1">#REF!</definedName>
    <definedName name="BLPH3" hidden="1">#REF!</definedName>
    <definedName name="BLPH30" hidden="1">#REF!</definedName>
    <definedName name="BLPH300" localSheetId="18" hidden="1">#REF!</definedName>
    <definedName name="BLPH300" hidden="1">#REF!</definedName>
    <definedName name="BLPH301" localSheetId="18" hidden="1">#REF!</definedName>
    <definedName name="BLPH301" hidden="1">#REF!</definedName>
    <definedName name="BLPH302" localSheetId="18"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localSheetId="18" hidden="1">#REF!</definedName>
    <definedName name="BLPH310" hidden="1">#REF!</definedName>
    <definedName name="BLPH311" localSheetId="18" hidden="1">#REF!</definedName>
    <definedName name="BLPH311" hidden="1">#REF!</definedName>
    <definedName name="BLPH312" localSheetId="18"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localSheetId="18" hidden="1">#REF!</definedName>
    <definedName name="BLPH320" hidden="1">#REF!</definedName>
    <definedName name="BLPH321" localSheetId="18" hidden="1">#REF!</definedName>
    <definedName name="BLPH321" hidden="1">#REF!</definedName>
    <definedName name="BLPH322" localSheetId="18"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localSheetId="18" hidden="1">#REF!</definedName>
    <definedName name="BLPH330" hidden="1">#REF!</definedName>
    <definedName name="BLPH331" localSheetId="18" hidden="1">#REF!</definedName>
    <definedName name="BLPH331" hidden="1">#REF!</definedName>
    <definedName name="BLPH332" localSheetId="18"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localSheetId="18" hidden="1">#REF!</definedName>
    <definedName name="BLPH340" hidden="1">#REF!</definedName>
    <definedName name="BLPH341" localSheetId="18" hidden="1">#REF!</definedName>
    <definedName name="BLPH341" hidden="1">#REF!</definedName>
    <definedName name="BLPH342" localSheetId="18"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localSheetId="18" hidden="1">#REF!</definedName>
    <definedName name="BLPH350" hidden="1">#REF!</definedName>
    <definedName name="BLPH351" localSheetId="18" hidden="1">#REF!</definedName>
    <definedName name="BLPH351" hidden="1">#REF!</definedName>
    <definedName name="BLPH352" localSheetId="18"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8" hidden="1">#REF!</definedName>
    <definedName name="BLPH4" hidden="1">#REF!</definedName>
    <definedName name="BLPH40" localSheetId="18" hidden="1">#REF!</definedName>
    <definedName name="BLPH40" hidden="1">#REF!</definedName>
    <definedName name="BLPH41" localSheetId="18"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8" hidden="1">#REF!</definedName>
    <definedName name="BLPH5" hidden="1">#REF!</definedName>
    <definedName name="BLPH50" localSheetId="18" hidden="1">#REF!</definedName>
    <definedName name="BLPH50" hidden="1">#REF!</definedName>
    <definedName name="BLPH51" localSheetId="18" hidden="1">#REF!</definedName>
    <definedName name="BLPH51" hidden="1">#REF!</definedName>
    <definedName name="BLPH52" localSheetId="18"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Data!$F$33:$L$33</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Data!$F$36:$L$36</definedName>
    <definedName name="Corporate_Tax" localSheetId="14">#REF!</definedName>
    <definedName name="Corporate_Tax">Data!$C$13:$N$13</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localSheetId="18" hidden="1">#REF!</definedName>
    <definedName name="Cwvu.CapersView." hidden="1">#REF!</definedName>
    <definedName name="Cwvu.Japan_Capers_Ed_Pub." localSheetId="18"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localSheetId="18" hidden="1">{"'PRODUCTIONCOST SHEET'!$B$3:$G$48"}</definedName>
    <definedName name="f" hidden="1">{"'PRODUCTIONCOST SHEET'!$B$3:$G$48"}</definedName>
    <definedName name="ff" localSheetId="18" hidden="1">{#N/A,#N/A,FALSE,"PRJCTED MNTHLY QTY's"}</definedName>
    <definedName name="ff" hidden="1">{#N/A,#N/A,FALSE,"PRJCTED MNTHLY QTY's"}</definedName>
    <definedName name="fffff" localSheetId="18"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localSheetId="18" hidden="1">{#N/A,#N/A,FALSE,"DI 2 YEAR MASTER SCHEDULE"}</definedName>
    <definedName name="gjk" hidden="1">{#N/A,#N/A,FALSE,"DI 2 YEAR MASTER SCHEDULE"}</definedName>
    <definedName name="GPIRt">#REF!</definedName>
    <definedName name="GRIRt">#REF!</definedName>
    <definedName name="GTA">#REF!</definedName>
    <definedName name="GTAA">#REF!</definedName>
    <definedName name="gwge" localSheetId="18" hidden="1">#REF!</definedName>
    <definedName name="gwge" hidden="1">#REF!</definedName>
    <definedName name="HB">#REF!</definedName>
    <definedName name="hh"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8"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localSheetId="18" hidden="1">{"staff",#N/A,FALSE,"Current Month"}</definedName>
    <definedName name="khkjk" hidden="1">{"staff",#N/A,FALSE,"Current Month"}</definedName>
    <definedName name="l" localSheetId="18" hidden="1">{#N/A,#N/A,FALSE,"DI 2 YEAR MASTER SCHEDULE"}</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localSheetId="18" hidden="1">{#N/A,#N/A,FALSE,"DI 2 YEAR MASTER SCHEDULE"}</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localSheetId="18" hidden="1">{#N/A,#N/A,FALSE,"PRJCTED QTRLY $'s"}</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localSheetId="18" hidden="1">{"staff",#N/A,FALSE,"Current Month"}</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6">'R2 - Rec to Revenue and Profit'!$A$1:$J$63</definedName>
    <definedName name="_xlnm.Print_Area" localSheetId="5">'R3 - Totex - Reconciliation'!$A$1:$J$106</definedName>
    <definedName name="_xlnm.Print_Area" localSheetId="7">'R4 - Incentives and Other Rev'!$A$1:$I$36</definedName>
    <definedName name="_xlnm.Print_Area" localSheetId="8">'R5 - Financing'!$A$1:$I$83</definedName>
    <definedName name="_xlnm.Print_Area" localSheetId="9">'R5a - Financing input'!$A$4:$AK$229</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Tax'!$A$1:$J$52</definedName>
    <definedName name="_xlnm.Print_Area" localSheetId="14">'R8a - Tax Reconciliation'!$A$1:$L$109</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localSheetId="18" hidden="1">{#N/A,#N/A,FALSE,"PRJCTED MNTHLY QTY's"}</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Data!$F$34:$L$34</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localSheetId="18" hidden="1">#REF!</definedName>
    <definedName name="Rwvu.CapersView." hidden="1">#REF!</definedName>
    <definedName name="Rwvu.Japan_Capers_Ed_Pub." localSheetId="18" hidden="1">#REF!</definedName>
    <definedName name="Rwvu.Japan_Capers_Ed_Pub." hidden="1">#REF!</definedName>
    <definedName name="Rwvu.KJP_CC." localSheetId="18"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localSheetId="18" hidden="1">#REF!</definedName>
    <definedName name="Swvu.CapersView." hidden="1">#REF!</definedName>
    <definedName name="Swvu.Japan_Capers_Ed_Pub." localSheetId="18" hidden="1">#REF!</definedName>
    <definedName name="Swvu.Japan_Capers_Ed_Pub." hidden="1">#REF!</definedName>
    <definedName name="Swvu.KJP_CC." localSheetId="18"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localSheetId="18" hidden="1">{#VALUE!,#N/A,FALSE,0}</definedName>
    <definedName name="u" hidden="1">{#VALUE!,#N/A,FALSE,0}</definedName>
    <definedName name="UAG" localSheetId="18" hidden="1">{#N/A,#N/A,FALSE,"DI 2 YEAR MASTER SCHEDULE"}</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{"Japan_Capers_Ed_Pub",#N/A,FALSE,"DI 2 YEAR MASTER SCHEDULE"}</definedName>
    <definedName name="v" hidden="1">{"Japan_Capers_Ed_Pub",#N/A,FALSE,"DI 2 YEAR MASTER SCHEDULE"}</definedName>
    <definedName name="Version__Number">'RFPR cover'!$C$10</definedName>
    <definedName name="wrn.CapersPlotter." localSheetId="18" hidden="1">{#N/A,#N/A,FALSE,"DI 2 YEAR MASTER SCHEDULE"}</definedName>
    <definedName name="wrn.CapersPlotter." hidden="1">{#N/A,#N/A,FALSE,"DI 2 YEAR MASTER SCHEDULE"}</definedName>
    <definedName name="wrn.Edutainment._.Priority._.List." localSheetId="18" hidden="1">{#N/A,#N/A,FALSE,"DI 2 YEAR MASTER SCHEDULE"}</definedName>
    <definedName name="wrn.Edutainment._.Priority._.List." hidden="1">{#N/A,#N/A,FALSE,"DI 2 YEAR MASTER SCHEDULE"}</definedName>
    <definedName name="wrn.Japan_Capers_Ed._.Pub." localSheetId="18" hidden="1">{"Japan_Capers_Ed_Pub",#N/A,FALSE,"DI 2 YEAR MASTER SCHEDULE"}</definedName>
    <definedName name="wrn.Japan_Capers_Ed._.Pub." hidden="1">{"Japan_Capers_Ed_Pub",#N/A,FALSE,"DI 2 YEAR MASTER SCHEDULE"}</definedName>
    <definedName name="wrn.Mat." localSheetId="18" hidden="1">{"staff",#N/A,FALSE,"Current Month"}</definedName>
    <definedName name="wrn.Mat." hidden="1">{"staff",#N/A,FALSE,"Current Month"}</definedName>
    <definedName name="wrn.Priority._.list." localSheetId="18" hidden="1">{#N/A,#N/A,FALSE,"DI 2 YEAR MASTER SCHEDULE"}</definedName>
    <definedName name="wrn.Priority._.list." hidden="1">{#N/A,#N/A,FALSE,"DI 2 YEAR MASTER SCHEDULE"}</definedName>
    <definedName name="wrn.Prjcted._.Mnthly._.Qtys." localSheetId="18" hidden="1">{#N/A,#N/A,FALSE,"PRJCTED MNTHLY QTY's"}</definedName>
    <definedName name="wrn.Prjcted._.Mnthly._.Qtys." hidden="1">{#N/A,#N/A,FALSE,"PRJCTED MNTHLY QTY's"}</definedName>
    <definedName name="wrn.Prjcted._.Qtrly._.Dollars." localSheetId="18" hidden="1">{#N/A,#N/A,FALSE,"PRJCTED QTRLY $'s"}</definedName>
    <definedName name="wrn.Prjcted._.Qtrly._.Dollars." hidden="1">{#N/A,#N/A,FALSE,"PRJCTED QTRLY $'s"}</definedName>
    <definedName name="wrn.Prjcted._.Qtrly._.Qtys." localSheetId="18"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8"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8"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8" hidden="1">{#N/A,#N/A,FALSE,"DI 2 YEAR MASTER SCHEDULE"}</definedName>
    <definedName name="x" hidden="1">{#N/A,#N/A,FALSE,"DI 2 YEAR MASTER SCHEDULE"}</definedName>
    <definedName name="y" localSheetId="18"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Data!$F$36:$L$36</definedName>
    <definedName name="YEFactor_change" localSheetId="14">#REF!</definedName>
    <definedName name="YEFactor_change">Data!$F$35:$L$35</definedName>
    <definedName name="z" localSheetId="18" hidden="1">{#N/A,#N/A,FALSE,"DI 2 YEAR MASTER SCHEDULE"}</definedName>
    <definedName name="z" hidden="1">{#N/A,#N/A,FALSE,"DI 2 YEAR MASTER SCHEDULE"}</definedName>
    <definedName name="Z_9A428CE1_B4D9_11D0_A8AA_0000C071AEE7_.wvu.Cols" hidden="1">#REF!,#REF!</definedName>
    <definedName name="Z_9A428CE1_B4D9_11D0_A8AA_0000C071AEE7_.wvu.PrintArea" localSheetId="18"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4" i="2" l="1"/>
  <c r="D169" i="2"/>
  <c r="E169" i="2"/>
  <c r="F157" i="2"/>
  <c r="F169" i="2"/>
  <c r="D157" i="2"/>
  <c r="E157" i="2"/>
  <c r="G15" i="4" l="1"/>
  <c r="G19" i="4" s="1"/>
  <c r="G21" i="4" s="1"/>
  <c r="E15" i="4"/>
  <c r="E19" i="4" s="1"/>
  <c r="E21" i="4" s="1"/>
  <c r="F15" i="4"/>
  <c r="F19" i="4" s="1"/>
  <c r="F21" i="4" s="1"/>
  <c r="E122" i="2" l="1"/>
  <c r="F12" i="19" l="1"/>
  <c r="H66" i="19" l="1"/>
  <c r="G66" i="19"/>
  <c r="F66" i="19"/>
  <c r="E73" i="1" l="1"/>
  <c r="F73" i="1"/>
  <c r="G73" i="1"/>
  <c r="H73" i="1"/>
  <c r="D73" i="1"/>
  <c r="H19" i="4"/>
  <c r="I19" i="4"/>
  <c r="C9" i="28" l="1"/>
  <c r="G134" i="28"/>
  <c r="G136" i="28"/>
  <c r="M29" i="28" l="1"/>
  <c r="N29" i="28" s="1"/>
  <c r="M28" i="28"/>
  <c r="N28" i="28" s="1"/>
  <c r="N25" i="28"/>
  <c r="M25" i="28"/>
  <c r="L25" i="28"/>
  <c r="K25" i="28"/>
  <c r="J25" i="28"/>
  <c r="I25" i="28"/>
  <c r="H25" i="28"/>
  <c r="G25" i="28"/>
  <c r="F25" i="28"/>
  <c r="E25" i="28"/>
  <c r="D25" i="28"/>
  <c r="C2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15" i="28"/>
  <c r="B6" i="35"/>
  <c r="C6" i="13" l="1" a="1"/>
  <c r="C6" i="13" s="1"/>
  <c r="J19" i="5"/>
  <c r="J20" i="5"/>
  <c r="H22" i="35" l="1"/>
  <c r="J67" i="5" l="1"/>
  <c r="J68" i="5"/>
  <c r="J69" i="5"/>
  <c r="J70" i="5"/>
  <c r="J66" i="5"/>
  <c r="J56" i="5"/>
  <c r="J57" i="5"/>
  <c r="J55" i="5"/>
  <c r="J42" i="5"/>
  <c r="J43" i="5"/>
  <c r="J41" i="5"/>
  <c r="J21" i="5"/>
  <c r="J18" i="5"/>
  <c r="J17" i="5"/>
  <c r="J16" i="5"/>
  <c r="J15" i="5"/>
  <c r="J14" i="5"/>
  <c r="N349" i="28" l="1"/>
  <c r="O349" i="28" s="1"/>
  <c r="P349" i="28" s="1"/>
  <c r="Q349" i="28" s="1"/>
  <c r="R349" i="28" s="1"/>
  <c r="S349" i="28" s="1"/>
  <c r="D339" i="28" l="1"/>
  <c r="E339" i="28"/>
  <c r="F339" i="28"/>
  <c r="G339" i="28"/>
  <c r="C339" i="28"/>
  <c r="N314" i="28" l="1"/>
  <c r="O314" i="28" s="1"/>
  <c r="P314" i="28" s="1"/>
  <c r="Q314" i="28" s="1"/>
  <c r="R314" i="28" s="1"/>
  <c r="S314" i="28" s="1"/>
  <c r="D314" i="28" l="1"/>
  <c r="E314" i="28" s="1"/>
  <c r="F314" i="28" s="1"/>
  <c r="G314" i="28" s="1"/>
  <c r="H314" i="28" s="1"/>
  <c r="I314" i="28" s="1"/>
  <c r="A3" i="29"/>
  <c r="D23" i="11"/>
  <c r="E80" i="1" l="1"/>
  <c r="F84" i="4"/>
  <c r="G84" i="4"/>
  <c r="H84" i="4"/>
  <c r="I84" i="4"/>
  <c r="E84" i="4"/>
  <c r="E129" i="2" l="1"/>
  <c r="F129" i="2"/>
  <c r="G129" i="2"/>
  <c r="H129" i="2"/>
  <c r="E69" i="4" l="1"/>
  <c r="F69" i="4"/>
  <c r="E68" i="4"/>
  <c r="D129" i="2" l="1"/>
  <c r="G157" i="2"/>
  <c r="H157" i="2"/>
  <c r="H278" i="44" l="1"/>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M5" i="43"/>
  <c r="N5" i="43" s="1"/>
  <c r="O5" i="43" s="1"/>
  <c r="P5" i="43" s="1"/>
  <c r="Q5" i="43" s="1"/>
  <c r="R5" i="43" s="1"/>
  <c r="S5" i="43" s="1"/>
  <c r="T5" i="43" s="1"/>
  <c r="U5" i="43" s="1"/>
  <c r="V5" i="43" s="1"/>
  <c r="A2" i="43"/>
  <c r="A1" i="43"/>
  <c r="E6" i="44" l="1"/>
  <c r="B6" i="44"/>
  <c r="F6" i="44"/>
  <c r="A7" i="44"/>
  <c r="E7" i="44" l="1"/>
  <c r="A8" i="44"/>
  <c r="F7" i="44"/>
  <c r="B7" i="44"/>
  <c r="E8" i="44"/>
  <c r="F8" i="44"/>
  <c r="B8" i="44"/>
  <c r="A9" i="44"/>
  <c r="F9" i="44" l="1"/>
  <c r="B9" i="44"/>
  <c r="A10" i="44"/>
  <c r="E9" i="44"/>
  <c r="E10" i="44" l="1"/>
  <c r="F10" i="44"/>
  <c r="B10" i="44"/>
  <c r="A11" i="44"/>
  <c r="F11" i="44" l="1"/>
  <c r="E11" i="44"/>
  <c r="B11" i="44"/>
  <c r="A12" i="44"/>
  <c r="A13" i="44" l="1"/>
  <c r="F12" i="44"/>
  <c r="E12" i="44"/>
  <c r="B12" i="44"/>
  <c r="A14" i="44" l="1"/>
  <c r="F13" i="44"/>
  <c r="E13" i="44"/>
  <c r="B13" i="44"/>
  <c r="E14" i="44" l="1"/>
  <c r="B14" i="44"/>
  <c r="A15" i="44"/>
  <c r="F14" i="44"/>
  <c r="B15" i="44" l="1"/>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F213" i="44" l="1"/>
  <c r="A214" i="44"/>
  <c r="E213" i="44"/>
  <c r="B213" i="44"/>
  <c r="E214" i="44" l="1"/>
  <c r="F214" i="44"/>
  <c r="A215" i="44"/>
  <c r="B214" i="44"/>
  <c r="A216" i="44" l="1"/>
  <c r="E215" i="44"/>
  <c r="F215" i="44"/>
  <c r="B215" i="44"/>
  <c r="A217" i="44" l="1"/>
  <c r="B216" i="44"/>
  <c r="F216" i="44"/>
  <c r="E216" i="44"/>
  <c r="B217" i="44" l="1"/>
  <c r="A218" i="44"/>
  <c r="F217" i="44"/>
  <c r="E217" i="44"/>
  <c r="E218" i="44" l="1"/>
  <c r="B218" i="44"/>
  <c r="F218" i="44"/>
  <c r="A219" i="44"/>
  <c r="F219" i="44" l="1"/>
  <c r="B219" i="44"/>
  <c r="A220" i="44"/>
  <c r="E219" i="44"/>
  <c r="E220" i="44" l="1"/>
  <c r="A221" i="44"/>
  <c r="F220" i="44"/>
  <c r="B220" i="44"/>
  <c r="F221" i="44" l="1"/>
  <c r="E221" i="44"/>
  <c r="B221" i="44"/>
  <c r="A222" i="44"/>
  <c r="E222" i="44" l="1"/>
  <c r="A223" i="44"/>
  <c r="F222" i="44"/>
  <c r="B222" i="44"/>
  <c r="A224" i="44" l="1"/>
  <c r="F223" i="44"/>
  <c r="E223" i="44"/>
  <c r="B223" i="44"/>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E273" i="44" l="1"/>
  <c r="F273" i="44"/>
  <c r="B273" i="44"/>
  <c r="A274" i="44"/>
  <c r="E274" i="44" l="1"/>
  <c r="F274" i="44"/>
  <c r="A275" i="44"/>
  <c r="B274" i="44"/>
  <c r="E275" i="44" l="1"/>
  <c r="F275" i="44"/>
  <c r="B275" i="44"/>
  <c r="A276" i="44"/>
  <c r="F276" i="44" l="1"/>
  <c r="E276" i="44"/>
  <c r="B276" i="44"/>
  <c r="A277" i="44"/>
  <c r="E277" i="44" l="1"/>
  <c r="F277" i="44"/>
  <c r="A278" i="44"/>
  <c r="B277" i="44"/>
  <c r="E278" i="44" l="1"/>
  <c r="F278" i="44"/>
  <c r="B278" i="44"/>
  <c r="A279" i="44"/>
  <c r="E279" i="44" l="1"/>
  <c r="F279" i="44"/>
  <c r="A280" i="44"/>
  <c r="B279" i="44"/>
  <c r="H279" i="44"/>
  <c r="G279" i="44"/>
  <c r="F280" i="44" l="1"/>
  <c r="E280" i="44"/>
  <c r="G280" i="44"/>
  <c r="A281" i="44"/>
  <c r="H280" i="44"/>
  <c r="B280" i="44"/>
  <c r="E281" i="44" l="1"/>
  <c r="F281" i="44"/>
  <c r="B281" i="44"/>
  <c r="A282" i="44"/>
  <c r="G281" i="44"/>
  <c r="H281" i="44"/>
  <c r="E282" i="44" l="1"/>
  <c r="F282" i="44"/>
  <c r="G282" i="44"/>
  <c r="B282" i="44"/>
  <c r="H282" i="44"/>
  <c r="A283" i="44"/>
  <c r="E283" i="44" l="1"/>
  <c r="F283" i="44"/>
  <c r="H283" i="44"/>
  <c r="B283" i="44"/>
  <c r="G283" i="44"/>
  <c r="A284" i="44"/>
  <c r="F284" i="44" l="1"/>
  <c r="E284" i="44"/>
  <c r="G284" i="44"/>
  <c r="B284" i="44"/>
  <c r="A285" i="44"/>
  <c r="H284" i="44"/>
  <c r="E285" i="44" l="1"/>
  <c r="F285" i="44"/>
  <c r="H285" i="44"/>
  <c r="B285" i="44"/>
  <c r="G285" i="44"/>
  <c r="A286" i="44"/>
  <c r="E286" i="44" l="1"/>
  <c r="F286" i="44"/>
  <c r="G286" i="44"/>
  <c r="A287" i="44"/>
  <c r="H286" i="44"/>
  <c r="B286" i="44"/>
  <c r="E287" i="44" l="1"/>
  <c r="F287" i="44"/>
  <c r="A288" i="44"/>
  <c r="G287" i="44"/>
  <c r="B287" i="44"/>
  <c r="H287" i="44"/>
  <c r="F288" i="44" l="1"/>
  <c r="E288" i="44"/>
  <c r="G288" i="44"/>
  <c r="H288" i="44"/>
  <c r="A289" i="44"/>
  <c r="B288" i="44"/>
  <c r="E289" i="44" l="1"/>
  <c r="F289" i="44"/>
  <c r="B289" i="44"/>
  <c r="A290" i="44"/>
  <c r="H289" i="44"/>
  <c r="G289" i="44"/>
  <c r="E290" i="44" l="1"/>
  <c r="F290" i="44"/>
  <c r="G290" i="44"/>
  <c r="H290" i="44"/>
  <c r="B290" i="44"/>
  <c r="A291" i="44"/>
  <c r="E291" i="44" l="1"/>
  <c r="F291" i="44"/>
  <c r="H291" i="44"/>
  <c r="B291" i="44"/>
  <c r="G291" i="44"/>
  <c r="A292" i="44"/>
  <c r="F292" i="44" l="1"/>
  <c r="E292" i="44"/>
  <c r="G292" i="44"/>
  <c r="A293" i="44"/>
  <c r="H292" i="44"/>
  <c r="B292" i="44"/>
  <c r="E293" i="44" l="1"/>
  <c r="F293" i="44"/>
  <c r="B293" i="44"/>
  <c r="H293" i="44"/>
  <c r="G293" i="44"/>
  <c r="A294" i="44"/>
  <c r="E294" i="44" l="1"/>
  <c r="G294" i="44" s="1"/>
  <c r="F294" i="44"/>
  <c r="H294" i="44" s="1"/>
  <c r="B294" i="44"/>
  <c r="A295" i="44"/>
  <c r="E295" i="44" l="1"/>
  <c r="G295" i="44" s="1"/>
  <c r="F295" i="44"/>
  <c r="H295" i="44" s="1"/>
  <c r="A296" i="44"/>
  <c r="B295" i="44"/>
  <c r="F296" i="44" l="1"/>
  <c r="H296" i="44" s="1"/>
  <c r="E296" i="44"/>
  <c r="G296" i="44" s="1"/>
  <c r="A297" i="44"/>
  <c r="B296" i="44"/>
  <c r="E297" i="44" l="1"/>
  <c r="G297" i="44" s="1"/>
  <c r="F297" i="44"/>
  <c r="H297" i="44" s="1"/>
  <c r="B297" i="44"/>
  <c r="A298" i="44"/>
  <c r="E298" i="44" l="1"/>
  <c r="G298" i="44" s="1"/>
  <c r="F298" i="44"/>
  <c r="H298" i="44" s="1"/>
  <c r="A299" i="44"/>
  <c r="B298" i="44"/>
  <c r="E299" i="44" l="1"/>
  <c r="G299" i="44" s="1"/>
  <c r="F299" i="44"/>
  <c r="H299" i="44" s="1"/>
  <c r="A300" i="44"/>
  <c r="B299" i="44"/>
  <c r="F300" i="44" l="1"/>
  <c r="H300" i="44" s="1"/>
  <c r="E300" i="44"/>
  <c r="G300" i="44" s="1"/>
  <c r="A301" i="44"/>
  <c r="B300" i="44"/>
  <c r="E301" i="44" l="1"/>
  <c r="G301" i="44" s="1"/>
  <c r="F301" i="44"/>
  <c r="H301" i="44" s="1"/>
  <c r="B301" i="44"/>
  <c r="A302" i="44"/>
  <c r="E302" i="44" l="1"/>
  <c r="G302" i="44" s="1"/>
  <c r="F302" i="44"/>
  <c r="H302" i="44" s="1"/>
  <c r="A303" i="44"/>
  <c r="B302" i="44"/>
  <c r="E303" i="44" l="1"/>
  <c r="G303" i="44" s="1"/>
  <c r="F303" i="44"/>
  <c r="H303" i="44" s="1"/>
  <c r="A304" i="44"/>
  <c r="B303" i="44"/>
  <c r="F304" i="44" l="1"/>
  <c r="H304" i="44" s="1"/>
  <c r="E304" i="44"/>
  <c r="G304" i="44" s="1"/>
  <c r="A305" i="44"/>
  <c r="B304" i="44"/>
  <c r="E305" i="44" l="1"/>
  <c r="G305" i="44" s="1"/>
  <c r="F305" i="44"/>
  <c r="H305" i="44" s="1"/>
  <c r="B305" i="44"/>
  <c r="A306" i="44"/>
  <c r="E306" i="44" l="1"/>
  <c r="G306" i="44" s="1"/>
  <c r="F306" i="44"/>
  <c r="H306" i="44" s="1"/>
  <c r="B306" i="44"/>
  <c r="A307" i="44"/>
  <c r="E307" i="44" l="1"/>
  <c r="G307" i="44" s="1"/>
  <c r="F307" i="44"/>
  <c r="H307" i="44" s="1"/>
  <c r="A308" i="44"/>
  <c r="B307" i="44"/>
  <c r="F308" i="44" l="1"/>
  <c r="H308" i="44" s="1"/>
  <c r="E308" i="44"/>
  <c r="G308" i="44" s="1"/>
  <c r="A309" i="44"/>
  <c r="B308" i="44"/>
  <c r="E309" i="44" l="1"/>
  <c r="G309" i="44" s="1"/>
  <c r="F309" i="44"/>
  <c r="H309" i="44" s="1"/>
  <c r="B309" i="44"/>
  <c r="A310" i="44"/>
  <c r="E310" i="44" l="1"/>
  <c r="G310" i="44" s="1"/>
  <c r="F310" i="44"/>
  <c r="H310" i="44" s="1"/>
  <c r="B310" i="44"/>
  <c r="A311" i="44"/>
  <c r="E311" i="44" l="1"/>
  <c r="G311" i="44" s="1"/>
  <c r="F311" i="44"/>
  <c r="H311" i="44" s="1"/>
  <c r="B311" i="44"/>
  <c r="A312" i="44"/>
  <c r="F312" i="44" l="1"/>
  <c r="E312" i="44"/>
  <c r="G312" i="44" s="1"/>
  <c r="H312" i="44"/>
  <c r="B312" i="44"/>
  <c r="A313" i="44"/>
  <c r="E313" i="44" l="1"/>
  <c r="F313" i="44"/>
  <c r="H313" i="44"/>
  <c r="B313" i="44"/>
  <c r="A314" i="44"/>
  <c r="G313" i="44"/>
  <c r="E314" i="44" l="1"/>
  <c r="G314" i="44" s="1"/>
  <c r="F314" i="44"/>
  <c r="H314" i="44" s="1"/>
  <c r="B314" i="44"/>
  <c r="A315" i="44"/>
  <c r="E315" i="44" l="1"/>
  <c r="G315" i="44" s="1"/>
  <c r="F315" i="44"/>
  <c r="H315" i="44" s="1"/>
  <c r="A316" i="44"/>
  <c r="B315" i="44"/>
  <c r="F316" i="44" l="1"/>
  <c r="H316" i="44" s="1"/>
  <c r="E316" i="44"/>
  <c r="G316" i="44" s="1"/>
  <c r="A317" i="44"/>
  <c r="B316" i="44"/>
  <c r="E317" i="44" l="1"/>
  <c r="G317" i="44" s="1"/>
  <c r="F317" i="44"/>
  <c r="H317" i="44" s="1"/>
  <c r="A318" i="44"/>
  <c r="B317" i="44"/>
  <c r="E318" i="44" l="1"/>
  <c r="G318" i="44" s="1"/>
  <c r="F318" i="44"/>
  <c r="H318" i="44" s="1"/>
  <c r="B318" i="44"/>
  <c r="A319" i="44"/>
  <c r="E319" i="44" l="1"/>
  <c r="G319" i="44" s="1"/>
  <c r="F319" i="44"/>
  <c r="H319" i="44" s="1"/>
  <c r="B319" i="44"/>
  <c r="A320" i="44"/>
  <c r="F320" i="44" l="1"/>
  <c r="H320" i="44" s="1"/>
  <c r="E320" i="44"/>
  <c r="G320" i="44" s="1"/>
  <c r="B320" i="44"/>
  <c r="A321" i="44"/>
  <c r="E321" i="44" l="1"/>
  <c r="G321" i="44" s="1"/>
  <c r="F321" i="44"/>
  <c r="H321" i="44" s="1"/>
  <c r="A322" i="44"/>
  <c r="B321" i="44"/>
  <c r="E322" i="44" l="1"/>
  <c r="G322" i="44" s="1"/>
  <c r="F322" i="44"/>
  <c r="H322" i="44" s="1"/>
  <c r="A323" i="44"/>
  <c r="B322" i="44"/>
  <c r="F323" i="44" l="1"/>
  <c r="H323" i="44" s="1"/>
  <c r="E323" i="44"/>
  <c r="G323" i="44" s="1"/>
  <c r="B323" i="44"/>
  <c r="A324" i="44"/>
  <c r="F324" i="44" l="1"/>
  <c r="H324" i="44" s="1"/>
  <c r="E324" i="44"/>
  <c r="G324" i="44" s="1"/>
  <c r="A325" i="44"/>
  <c r="B324" i="44"/>
  <c r="E325" i="44" l="1"/>
  <c r="G325" i="44" s="1"/>
  <c r="F325" i="44"/>
  <c r="H325" i="44" s="1"/>
  <c r="A326" i="44"/>
  <c r="B325" i="44"/>
  <c r="E326" i="44" l="1"/>
  <c r="G326" i="44" s="1"/>
  <c r="F326" i="44"/>
  <c r="H326" i="44" s="1"/>
  <c r="B326" i="44"/>
  <c r="A327" i="44"/>
  <c r="E327" i="44" l="1"/>
  <c r="G327" i="44" s="1"/>
  <c r="F327" i="44"/>
  <c r="H327" i="44" s="1"/>
  <c r="B327" i="44"/>
  <c r="A328" i="44"/>
  <c r="F328" i="44" l="1"/>
  <c r="H328" i="44" s="1"/>
  <c r="E328" i="44"/>
  <c r="G328" i="44" s="1"/>
  <c r="A329" i="44"/>
  <c r="B328" i="44"/>
  <c r="E329" i="44" l="1"/>
  <c r="G329" i="44" s="1"/>
  <c r="F329" i="44"/>
  <c r="H329" i="44" s="1"/>
  <c r="B329" i="44"/>
  <c r="A330" i="44"/>
  <c r="E330" i="44" l="1"/>
  <c r="G330" i="44" s="1"/>
  <c r="F330" i="44"/>
  <c r="H330" i="44" s="1"/>
  <c r="B330" i="44"/>
  <c r="A331" i="44"/>
  <c r="F331" i="44" l="1"/>
  <c r="H331" i="44" s="1"/>
  <c r="E331" i="44"/>
  <c r="G331" i="44" s="1"/>
  <c r="B331" i="44"/>
  <c r="A332" i="44"/>
  <c r="F332" i="44" l="1"/>
  <c r="H332" i="44" s="1"/>
  <c r="E332" i="44"/>
  <c r="G332" i="44" s="1"/>
  <c r="A333" i="44"/>
  <c r="B332" i="44"/>
  <c r="E333" i="44" l="1"/>
  <c r="G333" i="44" s="1"/>
  <c r="F333" i="44"/>
  <c r="H333" i="44" s="1"/>
  <c r="A334" i="44"/>
  <c r="B333" i="44"/>
  <c r="E334" i="44" l="1"/>
  <c r="G334" i="44" s="1"/>
  <c r="F334" i="44"/>
  <c r="H334" i="44" s="1"/>
  <c r="B334" i="44"/>
  <c r="A335" i="44"/>
  <c r="E335" i="44" l="1"/>
  <c r="G335" i="44" s="1"/>
  <c r="F335" i="44"/>
  <c r="H335" i="44" s="1"/>
  <c r="B335" i="44"/>
  <c r="A336" i="44"/>
  <c r="F336" i="44" l="1"/>
  <c r="H336" i="44" s="1"/>
  <c r="E336" i="44"/>
  <c r="G336" i="44" s="1"/>
  <c r="B336" i="44"/>
  <c r="A337" i="44"/>
  <c r="E337" i="44" l="1"/>
  <c r="G337" i="44" s="1"/>
  <c r="F337" i="44"/>
  <c r="H337" i="44" s="1"/>
  <c r="B337" i="44"/>
  <c r="A338" i="44"/>
  <c r="E338" i="44" l="1"/>
  <c r="G338" i="44" s="1"/>
  <c r="F338" i="44"/>
  <c r="H338" i="44" s="1"/>
  <c r="A339" i="44"/>
  <c r="B338" i="44"/>
  <c r="E339" i="44" l="1"/>
  <c r="G339" i="44" s="1"/>
  <c r="F339" i="44"/>
  <c r="H339" i="44" s="1"/>
  <c r="A340" i="44"/>
  <c r="B339" i="44"/>
  <c r="F340" i="44" l="1"/>
  <c r="H340" i="44" s="1"/>
  <c r="E340" i="44"/>
  <c r="G340" i="44" s="1"/>
  <c r="A341" i="44"/>
  <c r="B340" i="44"/>
  <c r="E341" i="44" l="1"/>
  <c r="G341" i="44" s="1"/>
  <c r="F341" i="44"/>
  <c r="H341" i="44" s="1"/>
  <c r="A342" i="44"/>
  <c r="B341" i="44"/>
  <c r="E342" i="44" l="1"/>
  <c r="G342" i="44" s="1"/>
  <c r="F342" i="44"/>
  <c r="H342" i="44" s="1"/>
  <c r="B342" i="44"/>
  <c r="A343" i="44"/>
  <c r="F343" i="44" l="1"/>
  <c r="H343" i="44" s="1"/>
  <c r="E343" i="44"/>
  <c r="G343" i="44" s="1"/>
  <c r="B343" i="44"/>
  <c r="A344" i="44"/>
  <c r="F344" i="44" l="1"/>
  <c r="H344" i="44" s="1"/>
  <c r="E344" i="44"/>
  <c r="G344" i="44" s="1"/>
  <c r="A345" i="44"/>
  <c r="B344" i="44"/>
  <c r="E345" i="44" l="1"/>
  <c r="G345" i="44" s="1"/>
  <c r="F345" i="44"/>
  <c r="H345" i="44" s="1"/>
  <c r="A346" i="44"/>
  <c r="B345" i="44"/>
  <c r="E346" i="44" l="1"/>
  <c r="G346" i="44" s="1"/>
  <c r="F346" i="44"/>
  <c r="H346" i="44" s="1"/>
  <c r="B346" i="44"/>
  <c r="A347" i="44"/>
  <c r="E347" i="44" l="1"/>
  <c r="G347" i="44" s="1"/>
  <c r="F347" i="44"/>
  <c r="H347" i="44" s="1"/>
  <c r="A348" i="44"/>
  <c r="B347" i="44"/>
  <c r="F348" i="44" l="1"/>
  <c r="H348" i="44" s="1"/>
  <c r="E348" i="44"/>
  <c r="G348" i="44" s="1"/>
  <c r="A349" i="44"/>
  <c r="B348" i="44"/>
  <c r="E349" i="44" l="1"/>
  <c r="G349" i="44" s="1"/>
  <c r="F349" i="44"/>
  <c r="H349" i="44" s="1"/>
  <c r="A350" i="44"/>
  <c r="B349" i="44"/>
  <c r="E350" i="44" l="1"/>
  <c r="G350" i="44" s="1"/>
  <c r="F350" i="44"/>
  <c r="H350" i="44" s="1"/>
  <c r="B350" i="44"/>
  <c r="A351" i="44"/>
  <c r="F351" i="44" l="1"/>
  <c r="H351" i="44" s="1"/>
  <c r="E351" i="44"/>
  <c r="G351" i="44" s="1"/>
  <c r="B351" i="44"/>
  <c r="A352" i="44"/>
  <c r="F352" i="44" l="1"/>
  <c r="H352" i="44" s="1"/>
  <c r="E352" i="44"/>
  <c r="G352" i="44" s="1"/>
  <c r="B352" i="44"/>
  <c r="A353" i="44"/>
  <c r="F353" i="44" l="1"/>
  <c r="H353" i="44" s="1"/>
  <c r="E353" i="44"/>
  <c r="G353" i="44" s="1"/>
  <c r="A354" i="44"/>
  <c r="B353" i="44"/>
  <c r="E354" i="44" l="1"/>
  <c r="G354" i="44" s="1"/>
  <c r="F354" i="44"/>
  <c r="H354" i="44" s="1"/>
  <c r="B354" i="44"/>
  <c r="A355" i="44"/>
  <c r="E355" i="44" l="1"/>
  <c r="G355" i="44" s="1"/>
  <c r="F355" i="44"/>
  <c r="H355" i="44" s="1"/>
  <c r="B355" i="44"/>
  <c r="A356" i="44"/>
  <c r="F356" i="44" l="1"/>
  <c r="H356" i="44" s="1"/>
  <c r="E356" i="44"/>
  <c r="G356" i="44" s="1"/>
  <c r="A357" i="44"/>
  <c r="B356" i="44"/>
  <c r="E357" i="44" l="1"/>
  <c r="G357" i="44" s="1"/>
  <c r="F357" i="44"/>
  <c r="H357" i="44" s="1"/>
  <c r="A358" i="44"/>
  <c r="B357" i="44"/>
  <c r="E358" i="44" l="1"/>
  <c r="G358" i="44" s="1"/>
  <c r="F358" i="44"/>
  <c r="H358" i="44" s="1"/>
  <c r="B358" i="44"/>
  <c r="A359" i="44"/>
  <c r="E359" i="44" l="1"/>
  <c r="G359" i="44" s="1"/>
  <c r="F359" i="44"/>
  <c r="H359" i="44" s="1"/>
  <c r="B359" i="44"/>
  <c r="A360" i="44"/>
  <c r="F360" i="44" l="1"/>
  <c r="H360" i="44" s="1"/>
  <c r="E360" i="44"/>
  <c r="G360" i="44" s="1"/>
  <c r="B360" i="44"/>
  <c r="A361" i="44"/>
  <c r="F361" i="44" l="1"/>
  <c r="H361" i="44" s="1"/>
  <c r="E361" i="44"/>
  <c r="G361" i="44" s="1"/>
  <c r="B361" i="44"/>
  <c r="A362" i="44"/>
  <c r="E362" i="44" l="1"/>
  <c r="G362" i="44" s="1"/>
  <c r="F362" i="44"/>
  <c r="H362" i="44" s="1"/>
  <c r="B362" i="44"/>
  <c r="A363" i="44"/>
  <c r="F363" i="44" l="1"/>
  <c r="H363" i="44" s="1"/>
  <c r="E363" i="44"/>
  <c r="G363" i="44" s="1"/>
  <c r="B363" i="44"/>
  <c r="A364" i="44"/>
  <c r="F364" i="44" l="1"/>
  <c r="E364" i="44"/>
  <c r="A365" i="44"/>
  <c r="G364" i="44"/>
  <c r="B364" i="44"/>
  <c r="H364" i="44"/>
  <c r="F365" i="44" l="1"/>
  <c r="H365" i="44" s="1"/>
  <c r="E365" i="44"/>
  <c r="G365" i="44" s="1"/>
  <c r="A366" i="44"/>
  <c r="B365" i="44"/>
  <c r="E366" i="44" l="1"/>
  <c r="G366" i="44" s="1"/>
  <c r="F366" i="44"/>
  <c r="H366" i="44" s="1"/>
  <c r="B366" i="44"/>
  <c r="A367" i="44"/>
  <c r="E367" i="44" l="1"/>
  <c r="F367" i="44"/>
  <c r="H367" i="44" s="1"/>
  <c r="G367" i="44"/>
  <c r="B367" i="44"/>
  <c r="A368" i="44"/>
  <c r="F368" i="44" l="1"/>
  <c r="E368" i="44"/>
  <c r="G368" i="44" s="1"/>
  <c r="H368" i="44"/>
  <c r="A369" i="44"/>
  <c r="B368" i="44"/>
  <c r="F369" i="44" l="1"/>
  <c r="H369" i="44" s="1"/>
  <c r="E369" i="44"/>
  <c r="G369" i="44" s="1"/>
  <c r="B369" i="44"/>
  <c r="A370" i="44"/>
  <c r="E370" i="44" l="1"/>
  <c r="G370" i="44" s="1"/>
  <c r="F370" i="44"/>
  <c r="H370" i="44" s="1"/>
  <c r="A371" i="44"/>
  <c r="B370" i="44"/>
  <c r="F371" i="44" l="1"/>
  <c r="H371" i="44" s="1"/>
  <c r="E371" i="44"/>
  <c r="G371" i="44" s="1"/>
  <c r="A372" i="44"/>
  <c r="B371" i="44"/>
  <c r="F372" i="44" l="1"/>
  <c r="H372" i="44" s="1"/>
  <c r="E372" i="44"/>
  <c r="G372" i="44" s="1"/>
  <c r="A373" i="44"/>
  <c r="B372" i="44"/>
  <c r="F373" i="44" l="1"/>
  <c r="H373" i="44" s="1"/>
  <c r="E373" i="44"/>
  <c r="G373" i="44" s="1"/>
  <c r="A374" i="44"/>
  <c r="B373" i="44"/>
  <c r="E374" i="44" l="1"/>
  <c r="G374" i="44" s="1"/>
  <c r="F374" i="44"/>
  <c r="H374" i="44" s="1"/>
  <c r="B374" i="44"/>
  <c r="A375" i="44"/>
  <c r="F375" i="44" l="1"/>
  <c r="H375" i="44" s="1"/>
  <c r="E375" i="44"/>
  <c r="G375" i="44" s="1"/>
  <c r="B375" i="44"/>
  <c r="A376" i="44"/>
  <c r="F376" i="44" l="1"/>
  <c r="H376" i="44" s="1"/>
  <c r="E376" i="44"/>
  <c r="G376" i="44" s="1"/>
  <c r="A377" i="44"/>
  <c r="B376" i="44"/>
  <c r="E377" i="44" l="1"/>
  <c r="G377" i="44" s="1"/>
  <c r="F377" i="44"/>
  <c r="H377" i="44" s="1"/>
  <c r="A378" i="44"/>
  <c r="B377" i="44"/>
  <c r="E378" i="44" l="1"/>
  <c r="G378" i="44" s="1"/>
  <c r="F378" i="44"/>
  <c r="H378" i="44" s="1"/>
  <c r="A379" i="44"/>
  <c r="B378" i="44"/>
  <c r="E379" i="44" l="1"/>
  <c r="G379" i="44" s="1"/>
  <c r="F379" i="44"/>
  <c r="H379" i="44" s="1"/>
  <c r="A380" i="44"/>
  <c r="B379" i="44"/>
  <c r="F380" i="44" l="1"/>
  <c r="H380" i="44" s="1"/>
  <c r="E380" i="44"/>
  <c r="G380" i="44" s="1"/>
  <c r="A381" i="44"/>
  <c r="B380" i="44"/>
  <c r="F381" i="44" l="1"/>
  <c r="H381" i="44" s="1"/>
  <c r="E381" i="44"/>
  <c r="G381" i="44" s="1"/>
  <c r="A382" i="44"/>
  <c r="B381" i="44"/>
  <c r="E382" i="44" l="1"/>
  <c r="G382" i="44" s="1"/>
  <c r="F382" i="44"/>
  <c r="H382" i="44" s="1"/>
  <c r="B382" i="44"/>
  <c r="A383" i="44"/>
  <c r="E383" i="44" l="1"/>
  <c r="G383" i="44" s="1"/>
  <c r="F383" i="44"/>
  <c r="H383" i="44" s="1"/>
  <c r="B383" i="44"/>
  <c r="A384" i="44"/>
  <c r="F384" i="44" l="1"/>
  <c r="H384" i="44" s="1"/>
  <c r="E384" i="44"/>
  <c r="G384" i="44" s="1"/>
  <c r="A385" i="44"/>
  <c r="B384" i="44"/>
  <c r="F385" i="44" l="1"/>
  <c r="H385" i="44" s="1"/>
  <c r="E385" i="44"/>
  <c r="G385" i="44" s="1"/>
  <c r="A386" i="44"/>
  <c r="B385" i="44"/>
  <c r="E386" i="44" l="1"/>
  <c r="G386" i="44" s="1"/>
  <c r="F386" i="44"/>
  <c r="H386" i="44" s="1"/>
  <c r="B386" i="44"/>
  <c r="A387" i="44"/>
  <c r="E387" i="44" l="1"/>
  <c r="G387" i="44" s="1"/>
  <c r="F387" i="44"/>
  <c r="H387" i="44" s="1"/>
  <c r="B387" i="44"/>
  <c r="A388" i="44"/>
  <c r="F388" i="44" l="1"/>
  <c r="H388" i="44" s="1"/>
  <c r="E388" i="44"/>
  <c r="G388" i="44" s="1"/>
  <c r="A389" i="44"/>
  <c r="B388" i="44"/>
  <c r="F389" i="44" l="1"/>
  <c r="H389" i="44" s="1"/>
  <c r="E389" i="44"/>
  <c r="G389" i="44" s="1"/>
  <c r="A390" i="44"/>
  <c r="B389" i="44"/>
  <c r="E390" i="44" l="1"/>
  <c r="F390" i="44"/>
  <c r="B390" i="44"/>
  <c r="G390" i="44"/>
  <c r="A391" i="44"/>
  <c r="H390" i="44"/>
  <c r="F391" i="44" l="1"/>
  <c r="H391" i="44" s="1"/>
  <c r="E391" i="44"/>
  <c r="G391" i="44" s="1"/>
  <c r="B391" i="44"/>
  <c r="A392" i="44"/>
  <c r="F392" i="44" l="1"/>
  <c r="H392" i="44" s="1"/>
  <c r="E392" i="44"/>
  <c r="G392" i="44" s="1"/>
  <c r="B392" i="44"/>
  <c r="A393" i="44"/>
  <c r="F393" i="44" l="1"/>
  <c r="H393" i="44" s="1"/>
  <c r="E393" i="44"/>
  <c r="G393" i="44" s="1"/>
  <c r="B393" i="44"/>
  <c r="A394" i="44"/>
  <c r="E394" i="44" l="1"/>
  <c r="G394" i="44" s="1"/>
  <c r="F394" i="44"/>
  <c r="H394" i="44" s="1"/>
  <c r="A395" i="44"/>
  <c r="B394" i="44"/>
  <c r="E395" i="44" l="1"/>
  <c r="G395" i="44" s="1"/>
  <c r="F395" i="44"/>
  <c r="H395" i="44" s="1"/>
  <c r="B395" i="44"/>
  <c r="A396" i="44"/>
  <c r="F396" i="44" l="1"/>
  <c r="H396" i="44" s="1"/>
  <c r="E396" i="44"/>
  <c r="G396" i="44" s="1"/>
  <c r="A397" i="44"/>
  <c r="B396" i="44"/>
  <c r="E397" i="44" l="1"/>
  <c r="G397" i="44" s="1"/>
  <c r="F397" i="44"/>
  <c r="H397" i="44" s="1"/>
  <c r="A398" i="44"/>
  <c r="B397" i="44"/>
  <c r="E398" i="44" l="1"/>
  <c r="G398" i="44" s="1"/>
  <c r="F398" i="44"/>
  <c r="H398" i="44" s="1"/>
  <c r="B398" i="44"/>
  <c r="A399" i="44"/>
  <c r="E399" i="44" l="1"/>
  <c r="G399" i="44" s="1"/>
  <c r="F399" i="44"/>
  <c r="H399" i="44" s="1"/>
  <c r="B399" i="44"/>
  <c r="A400" i="44"/>
  <c r="F400" i="44" l="1"/>
  <c r="H400" i="44" s="1"/>
  <c r="E400" i="44"/>
  <c r="G400" i="44" s="1"/>
  <c r="A401" i="44"/>
  <c r="B400" i="44"/>
  <c r="F401" i="44" l="1"/>
  <c r="H401" i="44" s="1"/>
  <c r="E401" i="44"/>
  <c r="G401" i="44" s="1"/>
  <c r="B401" i="44"/>
  <c r="A402" i="44"/>
  <c r="E402" i="44" l="1"/>
  <c r="G402" i="44" s="1"/>
  <c r="F402" i="44"/>
  <c r="H402" i="44" s="1"/>
  <c r="A403" i="44"/>
  <c r="B402" i="44"/>
  <c r="F403" i="44" l="1"/>
  <c r="H403" i="44" s="1"/>
  <c r="E403" i="44"/>
  <c r="G403" i="44" s="1"/>
  <c r="A404" i="44"/>
  <c r="B403" i="44"/>
  <c r="F404" i="44" l="1"/>
  <c r="H404" i="44" s="1"/>
  <c r="E404" i="44"/>
  <c r="G404" i="44" s="1"/>
  <c r="A405" i="44"/>
  <c r="B404" i="44"/>
  <c r="F405" i="44" l="1"/>
  <c r="H405" i="44" s="1"/>
  <c r="E405" i="44"/>
  <c r="G405" i="44" s="1"/>
  <c r="A406" i="44"/>
  <c r="B405" i="44"/>
  <c r="E406" i="44" l="1"/>
  <c r="G406" i="44" s="1"/>
  <c r="F406" i="44"/>
  <c r="H406" i="44" s="1"/>
  <c r="B406" i="44"/>
  <c r="A407" i="44"/>
  <c r="E407" i="44" l="1"/>
  <c r="G407" i="44" s="1"/>
  <c r="F407" i="44"/>
  <c r="H407" i="44" s="1"/>
  <c r="B407" i="44"/>
  <c r="A408" i="44"/>
  <c r="F408" i="44" l="1"/>
  <c r="H408" i="44" s="1"/>
  <c r="E408" i="44"/>
  <c r="G408" i="44" s="1"/>
  <c r="A409" i="44"/>
  <c r="B408" i="44"/>
  <c r="F409" i="44" l="1"/>
  <c r="H409" i="44" s="1"/>
  <c r="E409" i="44"/>
  <c r="G409" i="44" s="1"/>
  <c r="A410" i="44"/>
  <c r="B409" i="44"/>
  <c r="E410" i="44" l="1"/>
  <c r="G410" i="44" s="1"/>
  <c r="F410" i="44"/>
  <c r="H410" i="44" s="1"/>
  <c r="A411" i="44"/>
  <c r="B410" i="44"/>
  <c r="E411" i="44" l="1"/>
  <c r="G411" i="44" s="1"/>
  <c r="F411" i="44"/>
  <c r="H411" i="44" s="1"/>
  <c r="A412" i="44"/>
  <c r="B411" i="44"/>
  <c r="F412" i="44" l="1"/>
  <c r="H412" i="44" s="1"/>
  <c r="E412" i="44"/>
  <c r="G412" i="44" s="1"/>
  <c r="A413" i="44"/>
  <c r="B412" i="44"/>
  <c r="F413" i="44" l="1"/>
  <c r="H413" i="44" s="1"/>
  <c r="E413" i="44"/>
  <c r="G413" i="44" s="1"/>
  <c r="B413" i="44"/>
  <c r="J24" i="2" l="1"/>
  <c r="J25" i="2"/>
  <c r="J26" i="2"/>
  <c r="J27" i="2"/>
  <c r="J28" i="2"/>
  <c r="E204" i="2" l="1"/>
  <c r="F204" i="2"/>
  <c r="G204" i="2"/>
  <c r="H204" i="2"/>
  <c r="E22" i="35" l="1"/>
  <c r="B11" i="35"/>
  <c r="J97" i="35" l="1"/>
  <c r="J98" i="35"/>
  <c r="J99" i="35"/>
  <c r="J100" i="35"/>
  <c r="J101" i="35"/>
  <c r="J74" i="35"/>
  <c r="J75" i="35"/>
  <c r="J76" i="35"/>
  <c r="J77" i="35"/>
  <c r="K77" i="35" s="1"/>
  <c r="J78" i="35"/>
  <c r="K78" i="35" s="1"/>
  <c r="J79" i="35"/>
  <c r="K79" i="35" s="1"/>
  <c r="J80" i="35"/>
  <c r="K80" i="35" s="1"/>
  <c r="J81" i="35"/>
  <c r="J82" i="35"/>
  <c r="J83" i="35"/>
  <c r="J84" i="35"/>
  <c r="J85" i="35"/>
  <c r="J86" i="35"/>
  <c r="J87" i="35"/>
  <c r="J88" i="35"/>
  <c r="J67" i="35"/>
  <c r="J72" i="35"/>
  <c r="J66" i="35"/>
  <c r="J65" i="35"/>
  <c r="J64" i="35"/>
  <c r="J63" i="35"/>
  <c r="J62" i="35"/>
  <c r="J61" i="35"/>
  <c r="J60" i="35"/>
  <c r="J59" i="35"/>
  <c r="J58" i="35"/>
  <c r="J57" i="35"/>
  <c r="J56" i="35"/>
  <c r="J54" i="35"/>
  <c r="J53" i="35"/>
  <c r="J52" i="35"/>
  <c r="J51" i="35"/>
  <c r="J50" i="35"/>
  <c r="J73" i="35"/>
  <c r="J55" i="35"/>
  <c r="J96" i="35"/>
  <c r="J49" i="35"/>
  <c r="E31" i="35"/>
  <c r="E44" i="35" l="1"/>
  <c r="E91" i="35" l="1"/>
  <c r="E103" i="35" s="1"/>
  <c r="E105" i="35" l="1"/>
  <c r="D58" i="5" l="1"/>
  <c r="B3" i="35" l="1"/>
  <c r="E6" i="29" l="1"/>
  <c r="E5" i="29" s="1"/>
  <c r="E7" i="29"/>
  <c r="G26" i="10"/>
  <c r="J26" i="10"/>
  <c r="I26" i="10"/>
  <c r="H26" i="10"/>
  <c r="F26" i="10"/>
  <c r="F203" i="28"/>
  <c r="F202" i="28"/>
  <c r="F87" i="28"/>
  <c r="H64" i="2"/>
  <c r="G64" i="2"/>
  <c r="F64" i="2"/>
  <c r="E64" i="2"/>
  <c r="D64" i="2"/>
  <c r="J63" i="2"/>
  <c r="J62" i="2"/>
  <c r="H35" i="2"/>
  <c r="G35" i="2"/>
  <c r="F35" i="2"/>
  <c r="E35" i="2"/>
  <c r="D35" i="2"/>
  <c r="J34" i="2"/>
  <c r="J33" i="2"/>
  <c r="D59" i="5"/>
  <c r="F102" i="4"/>
  <c r="G102" i="4"/>
  <c r="H102" i="4"/>
  <c r="I102" i="4"/>
  <c r="E102" i="4"/>
  <c r="D7" i="2"/>
  <c r="J64" i="2" l="1"/>
  <c r="J35" i="2"/>
  <c r="B5" i="35"/>
  <c r="E54" i="11" l="1"/>
  <c r="F54" i="11"/>
  <c r="G54" i="11"/>
  <c r="H54" i="11"/>
  <c r="D54" i="11"/>
  <c r="F33" i="28" l="1"/>
  <c r="E59" i="5"/>
  <c r="F59" i="5"/>
  <c r="G59" i="5"/>
  <c r="H59" i="5"/>
  <c r="D52" i="5"/>
  <c r="E45" i="5"/>
  <c r="F45" i="5"/>
  <c r="G45" i="5"/>
  <c r="H45" i="5"/>
  <c r="D45" i="5"/>
  <c r="J45" i="5" l="1"/>
  <c r="J59" i="5"/>
  <c r="E32" i="28"/>
  <c r="B76" i="1" l="1"/>
  <c r="B49" i="1" s="1"/>
  <c r="H58" i="5"/>
  <c r="G58" i="5"/>
  <c r="F58" i="5"/>
  <c r="E58" i="5"/>
  <c r="J58" i="5" l="1"/>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D69" i="1" l="1"/>
  <c r="E69" i="1"/>
  <c r="F69" i="1"/>
  <c r="G69" i="1"/>
  <c r="H69" i="1"/>
  <c r="D70" i="1"/>
  <c r="E70" i="1"/>
  <c r="F70" i="1"/>
  <c r="G70" i="1"/>
  <c r="H70" i="1"/>
  <c r="D71" i="1"/>
  <c r="E71" i="1"/>
  <c r="F71" i="1"/>
  <c r="G71" i="1"/>
  <c r="H71" i="1"/>
  <c r="D72" i="1"/>
  <c r="E72" i="1"/>
  <c r="F72" i="1"/>
  <c r="G72" i="1"/>
  <c r="H72" i="1"/>
  <c r="E68" i="1"/>
  <c r="F68" i="1"/>
  <c r="G68" i="1"/>
  <c r="H68" i="1"/>
  <c r="D68" i="1"/>
  <c r="K73" i="1" l="1"/>
  <c r="E30" i="2"/>
  <c r="F30" i="2"/>
  <c r="G30" i="2"/>
  <c r="H30" i="2"/>
  <c r="E170" i="2" l="1"/>
  <c r="G169" i="2"/>
  <c r="G170" i="2" s="1"/>
  <c r="H169" i="2"/>
  <c r="H170" i="2" s="1"/>
  <c r="F75" i="4"/>
  <c r="E75" i="4"/>
  <c r="D170" i="2"/>
  <c r="I75" i="4" l="1"/>
  <c r="H75" i="4"/>
  <c r="F89" i="4" l="1"/>
  <c r="F91" i="4" s="1"/>
  <c r="G89" i="4"/>
  <c r="G91" i="4" s="1"/>
  <c r="H89" i="4"/>
  <c r="H91" i="4" s="1"/>
  <c r="I89" i="4"/>
  <c r="I91" i="4" s="1"/>
  <c r="C43" i="19" l="1"/>
  <c r="C42" i="19"/>
  <c r="C40" i="19"/>
  <c r="C39" i="19"/>
  <c r="C37" i="19"/>
  <c r="C36" i="19"/>
  <c r="C34" i="19"/>
  <c r="C33" i="19"/>
  <c r="C14" i="4" l="1"/>
  <c r="C16" i="4"/>
  <c r="C17" i="4"/>
  <c r="C19" i="4"/>
  <c r="D30" i="2" l="1"/>
  <c r="H88" i="2" l="1"/>
  <c r="G88" i="2"/>
  <c r="F88" i="2"/>
  <c r="E88" i="2"/>
  <c r="D88" i="2"/>
  <c r="J87" i="2"/>
  <c r="J86" i="2"/>
  <c r="H59" i="2"/>
  <c r="G59" i="2"/>
  <c r="F59" i="2"/>
  <c r="E59" i="2"/>
  <c r="D59" i="2"/>
  <c r="J58" i="2"/>
  <c r="J57" i="2"/>
  <c r="J88" i="2" l="1"/>
  <c r="J59" i="2"/>
  <c r="J30" i="2"/>
  <c r="J29" i="2" l="1"/>
  <c r="J23" i="2"/>
  <c r="B3" i="1" l="1"/>
  <c r="G69" i="4" l="1"/>
  <c r="H69" i="4"/>
  <c r="I69" i="4"/>
  <c r="E89" i="4"/>
  <c r="E91" i="4" s="1"/>
  <c r="D58" i="11" l="1"/>
  <c r="F68" i="4" l="1"/>
  <c r="G68" i="4"/>
  <c r="H68" i="4"/>
  <c r="I68" i="4"/>
  <c r="C8" i="28" l="1"/>
  <c r="H36" i="10" s="1"/>
  <c r="E17" i="2"/>
  <c r="E38" i="2" s="1"/>
  <c r="E51" i="2"/>
  <c r="E67" i="2" s="1"/>
  <c r="E80" i="2"/>
  <c r="D6" i="5"/>
  <c r="C8" i="13"/>
  <c r="E34" i="28" s="1"/>
  <c r="F17" i="2"/>
  <c r="F38" i="2" s="1"/>
  <c r="F51" i="2"/>
  <c r="F67" i="2" s="1"/>
  <c r="F80" i="2"/>
  <c r="G17" i="2"/>
  <c r="G38" i="2" s="1"/>
  <c r="G51" i="2"/>
  <c r="G67" i="2" s="1"/>
  <c r="G80" i="2"/>
  <c r="H17" i="2"/>
  <c r="H38" i="2" s="1"/>
  <c r="H51" i="2"/>
  <c r="H67" i="2" s="1"/>
  <c r="H80" i="2"/>
  <c r="D17" i="2"/>
  <c r="D51" i="2"/>
  <c r="D67" i="2" s="1"/>
  <c r="D80" i="2"/>
  <c r="D54" i="28"/>
  <c r="E54" i="28" s="1"/>
  <c r="F54" i="28" s="1"/>
  <c r="O87" i="28" s="1"/>
  <c r="P62" i="28"/>
  <c r="H71" i="5"/>
  <c r="G71" i="5"/>
  <c r="F71" i="5"/>
  <c r="E71" i="5"/>
  <c r="D71" i="5"/>
  <c r="H22" i="5"/>
  <c r="G22" i="5"/>
  <c r="F22" i="5"/>
  <c r="E22" i="5"/>
  <c r="D22" i="5"/>
  <c r="D41" i="28"/>
  <c r="E41" i="28" s="1"/>
  <c r="F41" i="28" s="1"/>
  <c r="F64" i="28"/>
  <c r="F65" i="28"/>
  <c r="F66" i="28"/>
  <c r="F67" i="28"/>
  <c r="F68" i="28"/>
  <c r="F69" i="28"/>
  <c r="F70" i="28"/>
  <c r="F71" i="28"/>
  <c r="F72" i="28"/>
  <c r="F73" i="28"/>
  <c r="F74" i="28"/>
  <c r="F75" i="28"/>
  <c r="F76" i="28"/>
  <c r="F77" i="28"/>
  <c r="F78" i="28"/>
  <c r="F79" i="28"/>
  <c r="F80" i="28"/>
  <c r="F81" i="28"/>
  <c r="F82" i="28"/>
  <c r="F83" i="28"/>
  <c r="F84" i="28"/>
  <c r="F85" i="28"/>
  <c r="F86" i="28"/>
  <c r="F88" i="28"/>
  <c r="F89" i="28"/>
  <c r="F90" i="28"/>
  <c r="F91" i="28"/>
  <c r="F63" i="28"/>
  <c r="K20" i="28"/>
  <c r="K19" i="28"/>
  <c r="L19" i="28" s="1"/>
  <c r="M19" i="28" s="1"/>
  <c r="N19" i="28" s="1"/>
  <c r="K21" i="28"/>
  <c r="L21" i="28" s="1"/>
  <c r="M21" i="28" s="1"/>
  <c r="N21"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5"/>
  <c r="G7" i="5"/>
  <c r="F7" i="5"/>
  <c r="E7" i="5"/>
  <c r="D7" i="5"/>
  <c r="H7" i="2"/>
  <c r="G7" i="2"/>
  <c r="F7" i="2"/>
  <c r="E7" i="2"/>
  <c r="I7" i="4"/>
  <c r="H7" i="4"/>
  <c r="F7" i="4"/>
  <c r="E7" i="4"/>
  <c r="E6" i="4"/>
  <c r="D6" i="1"/>
  <c r="G7" i="4"/>
  <c r="E58" i="11"/>
  <c r="F58" i="11"/>
  <c r="G58" i="11"/>
  <c r="H58" i="11"/>
  <c r="A3" i="21"/>
  <c r="A3" i="1"/>
  <c r="A3" i="14"/>
  <c r="A3" i="2"/>
  <c r="A3" i="5"/>
  <c r="A3" i="10"/>
  <c r="A3" i="11"/>
  <c r="A3" i="19"/>
  <c r="A3" i="28"/>
  <c r="D51" i="5"/>
  <c r="D44" i="5"/>
  <c r="D97" i="28"/>
  <c r="E97" i="28" s="1"/>
  <c r="F97" i="28" s="1"/>
  <c r="G97" i="28" s="1"/>
  <c r="H97" i="28" s="1"/>
  <c r="I97" i="28" s="1"/>
  <c r="I62" i="28"/>
  <c r="A2" i="14"/>
  <c r="A2" i="1"/>
  <c r="A2" i="4"/>
  <c r="A2" i="2"/>
  <c r="A2" i="5"/>
  <c r="A2" i="10"/>
  <c r="A2" i="29"/>
  <c r="A2" i="11"/>
  <c r="A2" i="19"/>
  <c r="A2" i="21"/>
  <c r="A2" i="28"/>
  <c r="F72" i="4"/>
  <c r="G72" i="4"/>
  <c r="H72" i="4"/>
  <c r="I72" i="4"/>
  <c r="E72" i="4"/>
  <c r="F196" i="28"/>
  <c r="F195" i="28"/>
  <c r="A3" i="13"/>
  <c r="D60" i="19"/>
  <c r="D62" i="19" s="1"/>
  <c r="E60" i="19"/>
  <c r="E62" i="19" s="1"/>
  <c r="F60" i="19"/>
  <c r="F62" i="19" s="1"/>
  <c r="G60" i="19"/>
  <c r="G62" i="19" s="1"/>
  <c r="H60" i="19"/>
  <c r="H62" i="19" s="1"/>
  <c r="D67" i="19"/>
  <c r="E67" i="19"/>
  <c r="F67" i="19"/>
  <c r="G67" i="19"/>
  <c r="H67" i="19"/>
  <c r="G43" i="11"/>
  <c r="H43" i="11"/>
  <c r="E31" i="11"/>
  <c r="E32" i="11" s="1"/>
  <c r="F31" i="11"/>
  <c r="F32" i="11" s="1"/>
  <c r="G31" i="11"/>
  <c r="H31" i="11"/>
  <c r="D31" i="11"/>
  <c r="D32" i="11" s="1"/>
  <c r="E39" i="11"/>
  <c r="E40" i="11" s="1"/>
  <c r="F39" i="11"/>
  <c r="F40" i="11" s="1"/>
  <c r="G39" i="11"/>
  <c r="H39" i="11"/>
  <c r="D39" i="11"/>
  <c r="D40" i="11" s="1"/>
  <c r="E44" i="5"/>
  <c r="F44" i="5"/>
  <c r="G44" i="5"/>
  <c r="H44" i="5"/>
  <c r="D122" i="2"/>
  <c r="D131" i="2" s="1"/>
  <c r="E131" i="2"/>
  <c r="G122" i="2"/>
  <c r="G131" i="2" s="1"/>
  <c r="H122" i="2"/>
  <c r="H131" i="2" s="1"/>
  <c r="H78" i="2"/>
  <c r="G78" i="2"/>
  <c r="F78" i="2"/>
  <c r="E78" i="2"/>
  <c r="D78" i="2"/>
  <c r="J77" i="2"/>
  <c r="J76" i="2"/>
  <c r="B47" i="1"/>
  <c r="D16" i="28"/>
  <c r="E16" i="28"/>
  <c r="F16" i="28"/>
  <c r="G16" i="28"/>
  <c r="H16" i="28"/>
  <c r="I16" i="28"/>
  <c r="J16" i="28"/>
  <c r="K16" i="28"/>
  <c r="L16" i="28"/>
  <c r="M16" i="28"/>
  <c r="N16" i="28"/>
  <c r="C16" i="28"/>
  <c r="C7" i="28"/>
  <c r="D52" i="19"/>
  <c r="E52" i="19" s="1"/>
  <c r="F52" i="19" s="1"/>
  <c r="F51" i="19" s="1"/>
  <c r="D109" i="2"/>
  <c r="D108" i="2" s="1"/>
  <c r="F201" i="28"/>
  <c r="F200" i="28"/>
  <c r="F199" i="28"/>
  <c r="E228" i="28"/>
  <c r="F198" i="28" s="1"/>
  <c r="B228" i="28"/>
  <c r="F197" i="28" s="1"/>
  <c r="G137" i="28"/>
  <c r="D15" i="2"/>
  <c r="B30" i="1"/>
  <c r="D40" i="19"/>
  <c r="D39" i="19"/>
  <c r="H16" i="11"/>
  <c r="G16" i="11"/>
  <c r="F16" i="11"/>
  <c r="E16" i="11"/>
  <c r="D16" i="11"/>
  <c r="I20" i="29"/>
  <c r="H20" i="29"/>
  <c r="G20" i="29"/>
  <c r="E20" i="29"/>
  <c r="I6" i="5"/>
  <c r="I5" i="5" s="1"/>
  <c r="H49" i="2"/>
  <c r="G49" i="2"/>
  <c r="F49" i="2"/>
  <c r="E49" i="2"/>
  <c r="D49" i="2"/>
  <c r="J48" i="2"/>
  <c r="J47" i="2"/>
  <c r="H15" i="2"/>
  <c r="G15" i="2"/>
  <c r="F15" i="2"/>
  <c r="E15" i="2"/>
  <c r="J14" i="2"/>
  <c r="J13" i="2"/>
  <c r="I6" i="2"/>
  <c r="I56" i="4"/>
  <c r="H56" i="4"/>
  <c r="G56" i="4"/>
  <c r="F56" i="4"/>
  <c r="E56" i="4"/>
  <c r="I37" i="4"/>
  <c r="H37" i="4"/>
  <c r="G37" i="4"/>
  <c r="F37" i="4"/>
  <c r="E37" i="4"/>
  <c r="B59" i="1"/>
  <c r="B56" i="1"/>
  <c r="B55" i="1"/>
  <c r="B40" i="1"/>
  <c r="B39" i="1"/>
  <c r="B32" i="1"/>
  <c r="B31" i="1"/>
  <c r="B29" i="1"/>
  <c r="B28" i="1"/>
  <c r="B13" i="1"/>
  <c r="B12" i="1"/>
  <c r="J6" i="1"/>
  <c r="G135" i="28"/>
  <c r="G133" i="28"/>
  <c r="G132" i="28"/>
  <c r="G131" i="28"/>
  <c r="D6" i="19"/>
  <c r="D5" i="19" s="1"/>
  <c r="D6" i="2"/>
  <c r="D6" i="11"/>
  <c r="D5" i="11" s="1"/>
  <c r="F6" i="10"/>
  <c r="F5" i="10" s="1"/>
  <c r="B21" i="1"/>
  <c r="H21" i="4"/>
  <c r="I21" i="4"/>
  <c r="E81" i="4" l="1"/>
  <c r="E93" i="4" s="1"/>
  <c r="D43" i="11"/>
  <c r="D62" i="11" s="1"/>
  <c r="F43" i="11"/>
  <c r="F62" i="11" s="1"/>
  <c r="E43" i="11"/>
  <c r="E62" i="11" s="1"/>
  <c r="F34" i="28"/>
  <c r="D175" i="2" s="1"/>
  <c r="G34" i="28"/>
  <c r="H34" i="28"/>
  <c r="I34" i="28"/>
  <c r="J34" i="28"/>
  <c r="K34" i="28"/>
  <c r="L34" i="28"/>
  <c r="F30" i="10"/>
  <c r="E134" i="28"/>
  <c r="F134" i="28" s="1"/>
  <c r="C15" i="4"/>
  <c r="E58" i="4"/>
  <c r="E60" i="4" s="1"/>
  <c r="B15" i="4"/>
  <c r="C13" i="4"/>
  <c r="F36" i="28"/>
  <c r="F35" i="28"/>
  <c r="E35" i="28"/>
  <c r="E36" i="28"/>
  <c r="H87" i="28"/>
  <c r="H89" i="28"/>
  <c r="D12" i="5"/>
  <c r="J22" i="5"/>
  <c r="J71" i="5"/>
  <c r="E131" i="28"/>
  <c r="F131" i="28" s="1"/>
  <c r="D38" i="2"/>
  <c r="D19" i="2"/>
  <c r="B4" i="35"/>
  <c r="J44" i="5"/>
  <c r="L20" i="28"/>
  <c r="B45" i="2"/>
  <c r="B11" i="2"/>
  <c r="E6" i="19"/>
  <c r="E5" i="19" s="1"/>
  <c r="D51" i="19"/>
  <c r="D5" i="1"/>
  <c r="A3" i="44"/>
  <c r="A3" i="43"/>
  <c r="D5" i="2"/>
  <c r="E78" i="4"/>
  <c r="E203" i="28"/>
  <c r="J62" i="28"/>
  <c r="J81" i="28" s="1"/>
  <c r="I87" i="28"/>
  <c r="Q62" i="28"/>
  <c r="Q76" i="28" s="1"/>
  <c r="P87" i="28"/>
  <c r="E19" i="2"/>
  <c r="C173" i="2"/>
  <c r="H78" i="4"/>
  <c r="H79" i="4" s="1"/>
  <c r="I81" i="4"/>
  <c r="I93" i="4" s="1"/>
  <c r="I78" i="4"/>
  <c r="I79" i="4" s="1"/>
  <c r="G81" i="4"/>
  <c r="G93" i="4" s="1"/>
  <c r="F78" i="4"/>
  <c r="E6" i="5"/>
  <c r="E12" i="5" s="1"/>
  <c r="E67" i="1" s="1"/>
  <c r="D5" i="5"/>
  <c r="D90" i="2"/>
  <c r="D91" i="2"/>
  <c r="G90" i="2"/>
  <c r="G91" i="2"/>
  <c r="E91" i="2"/>
  <c r="E90" i="2"/>
  <c r="H91" i="2"/>
  <c r="H90" i="2"/>
  <c r="F90" i="2"/>
  <c r="F91" i="2"/>
  <c r="D66" i="2"/>
  <c r="G66" i="2"/>
  <c r="E66" i="2"/>
  <c r="H66" i="2"/>
  <c r="F66" i="2"/>
  <c r="F37" i="2"/>
  <c r="H37" i="2"/>
  <c r="D37" i="2"/>
  <c r="G37" i="2"/>
  <c r="E37" i="2"/>
  <c r="F6" i="4"/>
  <c r="F66" i="4" s="1"/>
  <c r="H172" i="2"/>
  <c r="H206" i="2" s="1"/>
  <c r="F82" i="2"/>
  <c r="G42" i="11"/>
  <c r="G61" i="11" s="1"/>
  <c r="D42" i="11"/>
  <c r="D61" i="11" s="1"/>
  <c r="F42" i="11"/>
  <c r="F61" i="11" s="1"/>
  <c r="E42" i="11"/>
  <c r="E61" i="11" s="1"/>
  <c r="H42" i="11"/>
  <c r="H61" i="11" s="1"/>
  <c r="B20" i="1"/>
  <c r="H20" i="2"/>
  <c r="H42" i="2" s="1"/>
  <c r="J49" i="2"/>
  <c r="F19" i="2"/>
  <c r="H83" i="2"/>
  <c r="G83" i="2"/>
  <c r="E83" i="2"/>
  <c r="J15" i="2"/>
  <c r="J78" i="2"/>
  <c r="D172" i="2"/>
  <c r="D206" i="2" s="1"/>
  <c r="G20" i="2"/>
  <c r="G42" i="2" s="1"/>
  <c r="E20" i="2"/>
  <c r="E42" i="2" s="1"/>
  <c r="F83" i="2"/>
  <c r="H54" i="2"/>
  <c r="H71" i="2" s="1"/>
  <c r="F54" i="2"/>
  <c r="F6" i="29"/>
  <c r="F5" i="29" s="1"/>
  <c r="D54" i="2"/>
  <c r="D53" i="2"/>
  <c r="D82" i="2"/>
  <c r="G6" i="10"/>
  <c r="G5" i="10" s="1"/>
  <c r="E6" i="2"/>
  <c r="E6" i="11"/>
  <c r="E51" i="19"/>
  <c r="F32" i="28"/>
  <c r="E66" i="4"/>
  <c r="E5" i="4"/>
  <c r="G52" i="19"/>
  <c r="G33" i="28"/>
  <c r="G36" i="28" s="1"/>
  <c r="E109" i="2"/>
  <c r="E108" i="2" s="1"/>
  <c r="H53" i="29"/>
  <c r="G82" i="2"/>
  <c r="F53" i="29"/>
  <c r="E6" i="1"/>
  <c r="F6" i="1" s="1"/>
  <c r="F5" i="1" s="1"/>
  <c r="G54" i="28"/>
  <c r="H54" i="28" s="1"/>
  <c r="O79" i="28"/>
  <c r="P91" i="28"/>
  <c r="O85" i="28"/>
  <c r="P77" i="28"/>
  <c r="O77" i="28"/>
  <c r="O89" i="28"/>
  <c r="O88" i="28"/>
  <c r="O82" i="28"/>
  <c r="O86" i="28"/>
  <c r="P78" i="28"/>
  <c r="P84" i="28"/>
  <c r="P90" i="28"/>
  <c r="O81" i="28"/>
  <c r="O91" i="28"/>
  <c r="P88" i="28"/>
  <c r="O84" i="28"/>
  <c r="O83" i="28"/>
  <c r="P89" i="28"/>
  <c r="P85" i="28"/>
  <c r="O80" i="28"/>
  <c r="O78" i="28"/>
  <c r="P83" i="28"/>
  <c r="P86" i="28"/>
  <c r="P82" i="28"/>
  <c r="P81" i="28"/>
  <c r="P80" i="28"/>
  <c r="O90" i="28"/>
  <c r="P79" i="28"/>
  <c r="H77" i="28"/>
  <c r="H86" i="28"/>
  <c r="H78" i="28"/>
  <c r="I88" i="28"/>
  <c r="I79" i="28"/>
  <c r="H85" i="28"/>
  <c r="I86" i="28"/>
  <c r="I78" i="28"/>
  <c r="G41" i="28"/>
  <c r="H41" i="28" s="1"/>
  <c r="I41" i="28" s="1"/>
  <c r="H84" i="28"/>
  <c r="I85" i="28"/>
  <c r="H83" i="28"/>
  <c r="I84" i="28"/>
  <c r="H81" i="28"/>
  <c r="H91" i="28"/>
  <c r="H82" i="28"/>
  <c r="I77" i="28"/>
  <c r="I83" i="28"/>
  <c r="H90" i="28"/>
  <c r="I91" i="28"/>
  <c r="H80" i="28"/>
  <c r="I90" i="28"/>
  <c r="I81" i="28"/>
  <c r="H88" i="28"/>
  <c r="H79" i="28"/>
  <c r="I89" i="28"/>
  <c r="I80" i="28"/>
  <c r="I82" i="28"/>
  <c r="H58" i="4"/>
  <c r="H60" i="4" s="1"/>
  <c r="F58" i="4"/>
  <c r="F60" i="4" s="1"/>
  <c r="I58" i="4"/>
  <c r="I60" i="4" s="1"/>
  <c r="G58" i="4"/>
  <c r="G60" i="4" s="1"/>
  <c r="B48" i="1"/>
  <c r="G19" i="2"/>
  <c r="H82" i="2"/>
  <c r="E136" i="28"/>
  <c r="F136" i="28" s="1"/>
  <c r="D20" i="2"/>
  <c r="H19" i="2"/>
  <c r="E82" i="2"/>
  <c r="D83" i="2"/>
  <c r="H53" i="2"/>
  <c r="J36" i="10"/>
  <c r="I36" i="10"/>
  <c r="F53" i="2"/>
  <c r="E135" i="28"/>
  <c r="F135" i="28" s="1"/>
  <c r="E202" i="28"/>
  <c r="E199" i="28"/>
  <c r="G36" i="10"/>
  <c r="F20" i="2"/>
  <c r="F42" i="2" s="1"/>
  <c r="G54" i="2"/>
  <c r="G71" i="2" s="1"/>
  <c r="G53" i="2"/>
  <c r="E196" i="28"/>
  <c r="B128" i="28"/>
  <c r="E195" i="28"/>
  <c r="E201" i="28"/>
  <c r="E138" i="28"/>
  <c r="F138" i="28" s="1"/>
  <c r="E137" i="28"/>
  <c r="F137" i="28" s="1"/>
  <c r="E198" i="28"/>
  <c r="E200" i="28"/>
  <c r="E132" i="28"/>
  <c r="F132" i="28" s="1"/>
  <c r="E133" i="28"/>
  <c r="F133" i="28" s="1"/>
  <c r="E197" i="28"/>
  <c r="E54" i="2"/>
  <c r="E53" i="2"/>
  <c r="G53" i="29"/>
  <c r="F36" i="10"/>
  <c r="I53" i="29"/>
  <c r="E53" i="29"/>
  <c r="F79" i="4" l="1"/>
  <c r="E79" i="4"/>
  <c r="E175" i="2"/>
  <c r="D176" i="2"/>
  <c r="B135" i="28"/>
  <c r="B136" i="28"/>
  <c r="B137" i="28"/>
  <c r="B19" i="5" s="1"/>
  <c r="B73" i="1" s="1"/>
  <c r="B134" i="28"/>
  <c r="B16" i="5" s="1"/>
  <c r="B70" i="1" s="1"/>
  <c r="B138" i="28"/>
  <c r="B20" i="5" s="1"/>
  <c r="B139" i="28"/>
  <c r="B21" i="5" s="1"/>
  <c r="B132" i="28"/>
  <c r="B14" i="5" s="1"/>
  <c r="B68" i="1" s="1"/>
  <c r="B133" i="28"/>
  <c r="B15" i="5" s="1"/>
  <c r="B69" i="1" s="1"/>
  <c r="G35" i="28"/>
  <c r="F6" i="19"/>
  <c r="F5" i="19" s="1"/>
  <c r="D67" i="1"/>
  <c r="C19" i="5"/>
  <c r="C20" i="5"/>
  <c r="F6" i="5"/>
  <c r="I15" i="5" s="1"/>
  <c r="J77" i="28"/>
  <c r="E26" i="10"/>
  <c r="C38" i="2"/>
  <c r="C67" i="2"/>
  <c r="C66" i="2"/>
  <c r="C24" i="2"/>
  <c r="C25" i="2"/>
  <c r="C26" i="2"/>
  <c r="C27" i="2"/>
  <c r="C28" i="2"/>
  <c r="C37" i="2"/>
  <c r="P331" i="28"/>
  <c r="P339" i="28"/>
  <c r="P321" i="28"/>
  <c r="P334" i="28"/>
  <c r="P342" i="28"/>
  <c r="P318" i="28"/>
  <c r="P326" i="28"/>
  <c r="P337" i="28"/>
  <c r="P323" i="28"/>
  <c r="P332" i="28"/>
  <c r="P340" i="28"/>
  <c r="P320" i="28"/>
  <c r="P328" i="28"/>
  <c r="P335" i="28"/>
  <c r="P343" i="28"/>
  <c r="P317" i="28"/>
  <c r="P325" i="28"/>
  <c r="P322" i="28"/>
  <c r="P341" i="28"/>
  <c r="P327" i="28"/>
  <c r="P336" i="28"/>
  <c r="P316" i="28"/>
  <c r="P315" i="28"/>
  <c r="P329" i="28"/>
  <c r="P338" i="28"/>
  <c r="P333" i="28"/>
  <c r="P319" i="28"/>
  <c r="P324" i="28"/>
  <c r="P330" i="28"/>
  <c r="O334" i="28"/>
  <c r="O342" i="28"/>
  <c r="O318" i="28"/>
  <c r="O326" i="28"/>
  <c r="O337" i="28"/>
  <c r="O323" i="28"/>
  <c r="O332" i="28"/>
  <c r="O340" i="28"/>
  <c r="O329" i="28"/>
  <c r="O320" i="28"/>
  <c r="O328" i="28"/>
  <c r="O335" i="28"/>
  <c r="O343" i="28"/>
  <c r="O317" i="28"/>
  <c r="O325" i="28"/>
  <c r="O315" i="28"/>
  <c r="O322" i="28"/>
  <c r="O333" i="28"/>
  <c r="O341" i="28"/>
  <c r="O319" i="28"/>
  <c r="O336" i="28"/>
  <c r="O324" i="28"/>
  <c r="O339" i="28"/>
  <c r="O338" i="28"/>
  <c r="O327" i="28"/>
  <c r="O316" i="28"/>
  <c r="O321" i="28"/>
  <c r="O330" i="28"/>
  <c r="O331" i="28"/>
  <c r="R319" i="28"/>
  <c r="R327" i="28"/>
  <c r="R316" i="28"/>
  <c r="R324" i="28"/>
  <c r="R315" i="28"/>
  <c r="R321" i="28"/>
  <c r="R318" i="28"/>
  <c r="R326" i="28"/>
  <c r="R328" i="28"/>
  <c r="R317" i="28"/>
  <c r="R322" i="28"/>
  <c r="R323" i="28"/>
  <c r="R320" i="28"/>
  <c r="R325" i="28"/>
  <c r="N334" i="28"/>
  <c r="N342" i="28"/>
  <c r="N335" i="28"/>
  <c r="N343" i="28"/>
  <c r="N336" i="28"/>
  <c r="N329" i="28"/>
  <c r="N337" i="28"/>
  <c r="N338" i="28"/>
  <c r="N339" i="28"/>
  <c r="N332" i="28"/>
  <c r="N341" i="28"/>
  <c r="N330" i="28"/>
  <c r="N331" i="28"/>
  <c r="N340" i="28"/>
  <c r="N333" i="28"/>
  <c r="M335" i="28"/>
  <c r="M343" i="28"/>
  <c r="M336" i="28"/>
  <c r="M329" i="28"/>
  <c r="M337" i="28"/>
  <c r="M330" i="28"/>
  <c r="M338" i="28"/>
  <c r="M339" i="28"/>
  <c r="M340" i="28"/>
  <c r="M333" i="28"/>
  <c r="M342" i="28"/>
  <c r="M331" i="28"/>
  <c r="M332" i="28"/>
  <c r="M341" i="28"/>
  <c r="M334" i="28"/>
  <c r="G16" i="35"/>
  <c r="G17" i="35"/>
  <c r="Q336" i="28"/>
  <c r="Q316" i="28"/>
  <c r="Q324" i="28"/>
  <c r="Q315" i="28"/>
  <c r="Q331" i="28"/>
  <c r="Q339" i="28"/>
  <c r="Q321" i="28"/>
  <c r="Q334" i="28"/>
  <c r="Q342" i="28"/>
  <c r="Q318" i="28"/>
  <c r="Q326" i="28"/>
  <c r="Q337" i="28"/>
  <c r="Q323" i="28"/>
  <c r="Q332" i="28"/>
  <c r="Q340" i="28"/>
  <c r="Q320" i="28"/>
  <c r="Q328" i="28"/>
  <c r="Q325" i="28"/>
  <c r="Q319" i="28"/>
  <c r="Q335" i="28"/>
  <c r="Q343" i="28"/>
  <c r="Q317" i="28"/>
  <c r="Q338" i="28"/>
  <c r="Q322" i="28"/>
  <c r="Q333" i="28"/>
  <c r="Q341" i="28"/>
  <c r="Q327" i="28"/>
  <c r="Q329" i="28"/>
  <c r="Q330" i="28"/>
  <c r="S322" i="28"/>
  <c r="S319" i="28"/>
  <c r="S327" i="28"/>
  <c r="S316" i="28"/>
  <c r="S324" i="28"/>
  <c r="S315" i="28"/>
  <c r="S321" i="28"/>
  <c r="S318" i="28"/>
  <c r="S320" i="28"/>
  <c r="S325" i="28"/>
  <c r="S326" i="28"/>
  <c r="S323" i="28"/>
  <c r="S328" i="28"/>
  <c r="S317" i="28"/>
  <c r="M20" i="28"/>
  <c r="N20" i="28" s="1"/>
  <c r="M371" i="28"/>
  <c r="M372" i="28"/>
  <c r="M373" i="28"/>
  <c r="M366" i="28"/>
  <c r="M375" i="28"/>
  <c r="M368" i="28"/>
  <c r="M376" i="28"/>
  <c r="M369" i="28"/>
  <c r="M377" i="28"/>
  <c r="M365" i="28"/>
  <c r="M367" i="28"/>
  <c r="M370" i="28"/>
  <c r="M378" i="28"/>
  <c r="M364" i="28"/>
  <c r="M374" i="28"/>
  <c r="Q355" i="28"/>
  <c r="Q371" i="28"/>
  <c r="Q354" i="28"/>
  <c r="Q358" i="28"/>
  <c r="Q362" i="28"/>
  <c r="Q366" i="28"/>
  <c r="Q370" i="28"/>
  <c r="Q378" i="28"/>
  <c r="Q363" i="28"/>
  <c r="Q375" i="28"/>
  <c r="Q352" i="28"/>
  <c r="Q356" i="28"/>
  <c r="Q360" i="28"/>
  <c r="Q364" i="28"/>
  <c r="Q368" i="28"/>
  <c r="Q372" i="28"/>
  <c r="Q376" i="28"/>
  <c r="Q367" i="28"/>
  <c r="Q351" i="28"/>
  <c r="Q359" i="28"/>
  <c r="Q350" i="28"/>
  <c r="Q353" i="28"/>
  <c r="Q357" i="28"/>
  <c r="Q361" i="28"/>
  <c r="Q365" i="28"/>
  <c r="Q369" i="28"/>
  <c r="Q373" i="28"/>
  <c r="Q377" i="28"/>
  <c r="Q374" i="28"/>
  <c r="P360" i="28"/>
  <c r="P351" i="28"/>
  <c r="P355" i="28"/>
  <c r="P359" i="28"/>
  <c r="P363" i="28"/>
  <c r="P367" i="28"/>
  <c r="P371" i="28"/>
  <c r="P350" i="28"/>
  <c r="P364" i="28"/>
  <c r="P372" i="28"/>
  <c r="P356" i="28"/>
  <c r="P353" i="28"/>
  <c r="P357" i="28"/>
  <c r="P361" i="28"/>
  <c r="P365" i="28"/>
  <c r="P369" i="28"/>
  <c r="P373" i="28"/>
  <c r="P377" i="28"/>
  <c r="P375" i="28"/>
  <c r="P376" i="28"/>
  <c r="P354" i="28"/>
  <c r="P358" i="28"/>
  <c r="P362" i="28"/>
  <c r="P366" i="28"/>
  <c r="P370" i="28"/>
  <c r="P378" i="28"/>
  <c r="P352" i="28"/>
  <c r="P368" i="28"/>
  <c r="P374" i="28"/>
  <c r="S351" i="28"/>
  <c r="S355" i="28"/>
  <c r="S359" i="28"/>
  <c r="S363" i="28"/>
  <c r="S360" i="28"/>
  <c r="S352" i="28"/>
  <c r="S353" i="28"/>
  <c r="S357" i="28"/>
  <c r="S361" i="28"/>
  <c r="S350" i="28"/>
  <c r="S356" i="28"/>
  <c r="S354" i="28"/>
  <c r="S358" i="28"/>
  <c r="S362" i="28"/>
  <c r="O356" i="28"/>
  <c r="O357" i="28"/>
  <c r="O354" i="28"/>
  <c r="O362" i="28"/>
  <c r="O370" i="28"/>
  <c r="O378" i="28"/>
  <c r="O363" i="28"/>
  <c r="O350" i="28"/>
  <c r="O364" i="28"/>
  <c r="O365" i="28"/>
  <c r="O358" i="28"/>
  <c r="O366" i="28"/>
  <c r="O372" i="28"/>
  <c r="O351" i="28"/>
  <c r="O359" i="28"/>
  <c r="O367" i="28"/>
  <c r="O375" i="28"/>
  <c r="O377" i="28"/>
  <c r="O352" i="28"/>
  <c r="O360" i="28"/>
  <c r="O368" i="28"/>
  <c r="O376" i="28"/>
  <c r="O353" i="28"/>
  <c r="O361" i="28"/>
  <c r="O369" i="28"/>
  <c r="O355" i="28"/>
  <c r="O371" i="28"/>
  <c r="O373" i="28"/>
  <c r="O374" i="28"/>
  <c r="N373" i="28"/>
  <c r="N371" i="28"/>
  <c r="N364" i="28"/>
  <c r="N367" i="28"/>
  <c r="N375" i="28"/>
  <c r="N366" i="28"/>
  <c r="N368" i="28"/>
  <c r="N376" i="28"/>
  <c r="N378" i="28"/>
  <c r="N365" i="28"/>
  <c r="N369" i="28"/>
  <c r="N377" i="28"/>
  <c r="N370" i="28"/>
  <c r="N372" i="28"/>
  <c r="N374" i="28"/>
  <c r="R351" i="28"/>
  <c r="R356" i="28"/>
  <c r="R360" i="28"/>
  <c r="R352" i="28"/>
  <c r="R361" i="28"/>
  <c r="R353" i="28"/>
  <c r="R350" i="28"/>
  <c r="R354" i="28"/>
  <c r="R358" i="28"/>
  <c r="R362" i="28"/>
  <c r="R357" i="28"/>
  <c r="R355" i="28"/>
  <c r="R359" i="28"/>
  <c r="R363" i="28"/>
  <c r="J25" i="35"/>
  <c r="J24" i="35"/>
  <c r="J71" i="35"/>
  <c r="Q90" i="28"/>
  <c r="Q72" i="28"/>
  <c r="Q70" i="28"/>
  <c r="Q68" i="28"/>
  <c r="Q88" i="28"/>
  <c r="Q82" i="28"/>
  <c r="Q80" i="28"/>
  <c r="H6" i="10"/>
  <c r="H5" i="10" s="1"/>
  <c r="J73" i="1"/>
  <c r="Q78" i="28"/>
  <c r="Q75" i="28"/>
  <c r="Q64" i="28"/>
  <c r="Q81" i="28"/>
  <c r="Q67" i="28"/>
  <c r="Q77" i="28"/>
  <c r="Q79" i="28"/>
  <c r="Q73" i="28"/>
  <c r="Q83" i="28"/>
  <c r="Q66" i="28"/>
  <c r="Q74" i="28"/>
  <c r="Q63" i="28"/>
  <c r="Q71" i="28"/>
  <c r="Q65" i="28"/>
  <c r="Q86" i="28"/>
  <c r="Q91" i="28"/>
  <c r="Q69" i="28"/>
  <c r="Q85" i="28"/>
  <c r="Q84" i="28"/>
  <c r="Q89" i="28"/>
  <c r="J69" i="28"/>
  <c r="J63" i="28"/>
  <c r="J85" i="28"/>
  <c r="G25" i="35"/>
  <c r="G72" i="35"/>
  <c r="G18" i="35"/>
  <c r="H41" i="2"/>
  <c r="E82" i="4"/>
  <c r="E94" i="4" s="1"/>
  <c r="G71" i="35"/>
  <c r="G24" i="35"/>
  <c r="C108" i="35"/>
  <c r="G96" i="35"/>
  <c r="G73" i="35"/>
  <c r="G97" i="35"/>
  <c r="G19" i="35"/>
  <c r="G98" i="35"/>
  <c r="G55" i="35"/>
  <c r="G100" i="35"/>
  <c r="G99" i="35"/>
  <c r="G41" i="2"/>
  <c r="C35" i="2"/>
  <c r="C9" i="43"/>
  <c r="G19" i="43"/>
  <c r="J22" i="43"/>
  <c r="I22" i="43"/>
  <c r="J19" i="43"/>
  <c r="R19" i="43"/>
  <c r="M19" i="43"/>
  <c r="L22" i="43"/>
  <c r="T19" i="43"/>
  <c r="F22" i="43"/>
  <c r="T22" i="43"/>
  <c r="S22" i="43"/>
  <c r="H19" i="43"/>
  <c r="N22" i="43"/>
  <c r="I19" i="43"/>
  <c r="F19" i="43"/>
  <c r="P19" i="43"/>
  <c r="U22" i="43"/>
  <c r="K19" i="43"/>
  <c r="N19" i="43"/>
  <c r="Q19" i="43"/>
  <c r="K22" i="43"/>
  <c r="E19" i="43"/>
  <c r="G22" i="43"/>
  <c r="Q22" i="43"/>
  <c r="O19" i="43"/>
  <c r="E22" i="43"/>
  <c r="S19" i="43"/>
  <c r="P22" i="43"/>
  <c r="O22" i="43"/>
  <c r="D19" i="43"/>
  <c r="R22" i="43"/>
  <c r="L19" i="43"/>
  <c r="H22" i="43"/>
  <c r="M22" i="43"/>
  <c r="U19" i="43"/>
  <c r="D22" i="43"/>
  <c r="V19" i="43"/>
  <c r="V22" i="43"/>
  <c r="J79" i="28"/>
  <c r="J82" i="28"/>
  <c r="J74" i="28"/>
  <c r="J90" i="28"/>
  <c r="J84" i="28"/>
  <c r="J86" i="28"/>
  <c r="J89" i="28"/>
  <c r="H82" i="4"/>
  <c r="F82" i="4"/>
  <c r="I82" i="4"/>
  <c r="F41" i="2"/>
  <c r="E41" i="2"/>
  <c r="E43" i="2" s="1"/>
  <c r="H107" i="35"/>
  <c r="B198" i="28"/>
  <c r="B199" i="28"/>
  <c r="B200" i="28"/>
  <c r="B201" i="28"/>
  <c r="B202" i="28"/>
  <c r="B196" i="28"/>
  <c r="B197" i="28"/>
  <c r="B203" i="28"/>
  <c r="B70" i="5" s="1"/>
  <c r="J83" i="28"/>
  <c r="J68" i="28"/>
  <c r="J91" i="28"/>
  <c r="J70" i="28"/>
  <c r="J72" i="28"/>
  <c r="J65" i="28"/>
  <c r="J80" i="28"/>
  <c r="C83" i="1"/>
  <c r="C102" i="2"/>
  <c r="C81" i="1"/>
  <c r="J88" i="28"/>
  <c r="J67" i="28"/>
  <c r="J76" i="28"/>
  <c r="J64" i="28"/>
  <c r="J78" i="28"/>
  <c r="J66" i="28"/>
  <c r="J75" i="28"/>
  <c r="J73" i="28"/>
  <c r="J71" i="28"/>
  <c r="D75" i="29"/>
  <c r="D77" i="29"/>
  <c r="C23" i="19"/>
  <c r="C94" i="2"/>
  <c r="C66" i="5"/>
  <c r="C12" i="5"/>
  <c r="C15" i="2"/>
  <c r="E20" i="10"/>
  <c r="C103" i="2"/>
  <c r="C19" i="2"/>
  <c r="C22" i="5"/>
  <c r="C82" i="2"/>
  <c r="C14" i="5"/>
  <c r="C96" i="2"/>
  <c r="C87" i="1"/>
  <c r="E43" i="10"/>
  <c r="C48" i="2"/>
  <c r="C16" i="5"/>
  <c r="C71" i="5"/>
  <c r="C72" i="2"/>
  <c r="D72" i="29"/>
  <c r="E12" i="10"/>
  <c r="D78" i="29"/>
  <c r="C68" i="5"/>
  <c r="C80" i="1"/>
  <c r="C82" i="1"/>
  <c r="C14" i="2"/>
  <c r="C85" i="1"/>
  <c r="E19" i="10"/>
  <c r="C43" i="2"/>
  <c r="E40" i="10"/>
  <c r="E41" i="10"/>
  <c r="D70" i="29"/>
  <c r="E39" i="10"/>
  <c r="E44" i="10"/>
  <c r="C56" i="5"/>
  <c r="C70" i="1"/>
  <c r="D48" i="29"/>
  <c r="C79" i="1"/>
  <c r="C75" i="1"/>
  <c r="C54" i="2"/>
  <c r="C78" i="2"/>
  <c r="C66" i="1"/>
  <c r="C21" i="19"/>
  <c r="E21" i="10"/>
  <c r="C84" i="1"/>
  <c r="C88" i="2"/>
  <c r="C49" i="2"/>
  <c r="C69" i="5"/>
  <c r="E45" i="10"/>
  <c r="C76" i="2"/>
  <c r="E18" i="10"/>
  <c r="C77" i="2"/>
  <c r="C91" i="1"/>
  <c r="C20" i="2"/>
  <c r="C18" i="19"/>
  <c r="E23" i="10"/>
  <c r="C57" i="2"/>
  <c r="C15" i="5"/>
  <c r="C70" i="5"/>
  <c r="C77" i="1"/>
  <c r="C69" i="1"/>
  <c r="C90" i="1"/>
  <c r="C59" i="2"/>
  <c r="C17" i="5"/>
  <c r="C74" i="1"/>
  <c r="C45" i="5"/>
  <c r="D68" i="29"/>
  <c r="C67" i="1"/>
  <c r="E22" i="10"/>
  <c r="C88" i="1"/>
  <c r="E24" i="10"/>
  <c r="C68" i="1"/>
  <c r="C83" i="2"/>
  <c r="C53" i="2"/>
  <c r="C47" i="2"/>
  <c r="C87" i="2"/>
  <c r="B63" i="1"/>
  <c r="C73" i="1"/>
  <c r="C65" i="1"/>
  <c r="C18" i="5"/>
  <c r="E17" i="10"/>
  <c r="E15" i="10"/>
  <c r="D64" i="29"/>
  <c r="C86" i="1"/>
  <c r="D60" i="29"/>
  <c r="C72" i="1"/>
  <c r="E16" i="10"/>
  <c r="C101" i="2"/>
  <c r="C67" i="5"/>
  <c r="C13" i="2"/>
  <c r="C78" i="1"/>
  <c r="C22" i="19"/>
  <c r="C71" i="1"/>
  <c r="C54" i="19"/>
  <c r="R62" i="28"/>
  <c r="Q87" i="28"/>
  <c r="K62" i="28"/>
  <c r="K85" i="28" s="1"/>
  <c r="J87" i="28"/>
  <c r="C58" i="2"/>
  <c r="C57" i="5"/>
  <c r="C42" i="2"/>
  <c r="C41" i="5"/>
  <c r="C70" i="2"/>
  <c r="C49" i="5"/>
  <c r="C30" i="2"/>
  <c r="C21" i="5"/>
  <c r="C42" i="5"/>
  <c r="C23" i="2"/>
  <c r="C86" i="2"/>
  <c r="C52" i="5"/>
  <c r="C71" i="2"/>
  <c r="C29" i="2"/>
  <c r="C43" i="5"/>
  <c r="C95" i="2"/>
  <c r="C41" i="2"/>
  <c r="C76" i="1"/>
  <c r="C58" i="5"/>
  <c r="C44" i="5"/>
  <c r="C63" i="2"/>
  <c r="C33" i="2"/>
  <c r="C34" i="2"/>
  <c r="C55" i="5"/>
  <c r="C50" i="5"/>
  <c r="C59" i="5"/>
  <c r="C64" i="2"/>
  <c r="C62" i="2"/>
  <c r="C48" i="5"/>
  <c r="C51" i="5"/>
  <c r="H95" i="2"/>
  <c r="H102" i="2" s="1"/>
  <c r="H66" i="1" s="1"/>
  <c r="H81" i="4"/>
  <c r="H93" i="4" s="1"/>
  <c r="F81" i="4"/>
  <c r="F93" i="4" s="1"/>
  <c r="E95" i="2"/>
  <c r="E107" i="35"/>
  <c r="E108" i="35" s="1"/>
  <c r="D107" i="35"/>
  <c r="F5" i="4"/>
  <c r="G6" i="4"/>
  <c r="J16" i="35" s="1"/>
  <c r="E71" i="2"/>
  <c r="D41" i="2"/>
  <c r="F95" i="2"/>
  <c r="G95" i="2"/>
  <c r="G102" i="2" s="1"/>
  <c r="G66" i="1" s="1"/>
  <c r="D42" i="2"/>
  <c r="E76" i="1"/>
  <c r="D76" i="1"/>
  <c r="G6" i="1"/>
  <c r="G5" i="1" s="1"/>
  <c r="E5" i="1"/>
  <c r="E5" i="5"/>
  <c r="E74" i="1"/>
  <c r="D95" i="2"/>
  <c r="D94" i="2"/>
  <c r="E94" i="2"/>
  <c r="F94" i="2"/>
  <c r="G94" i="2"/>
  <c r="H94" i="2"/>
  <c r="J91" i="2"/>
  <c r="F71" i="2"/>
  <c r="J90" i="2"/>
  <c r="J38" i="2"/>
  <c r="F70" i="2"/>
  <c r="E70" i="2"/>
  <c r="H70" i="2"/>
  <c r="G70" i="2"/>
  <c r="G72" i="2" s="1"/>
  <c r="D71" i="2"/>
  <c r="J67" i="2"/>
  <c r="D70" i="2"/>
  <c r="J66" i="2"/>
  <c r="J37" i="2"/>
  <c r="G172" i="2"/>
  <c r="G206" i="2" s="1"/>
  <c r="E172" i="2"/>
  <c r="G6" i="29"/>
  <c r="G5" i="29" s="1"/>
  <c r="E5" i="2"/>
  <c r="F6" i="2"/>
  <c r="E5" i="11"/>
  <c r="F6" i="11"/>
  <c r="F109" i="2"/>
  <c r="G32" i="28"/>
  <c r="H33" i="28"/>
  <c r="H52" i="19"/>
  <c r="H51" i="19" s="1"/>
  <c r="G51" i="19"/>
  <c r="J82" i="2"/>
  <c r="J19" i="2"/>
  <c r="I54" i="28"/>
  <c r="B18" i="5"/>
  <c r="B72" i="1" s="1"/>
  <c r="B17" i="5"/>
  <c r="B71" i="1" s="1"/>
  <c r="J83" i="2"/>
  <c r="J20" i="2"/>
  <c r="H15" i="4"/>
  <c r="D75" i="1"/>
  <c r="D74" i="1"/>
  <c r="J54" i="2"/>
  <c r="J53" i="2"/>
  <c r="I15" i="4"/>
  <c r="E206" i="2" l="1"/>
  <c r="E176" i="2"/>
  <c r="I62" i="2"/>
  <c r="F175" i="2"/>
  <c r="G6" i="19"/>
  <c r="G5" i="19" s="1"/>
  <c r="H36" i="28"/>
  <c r="H35" i="28"/>
  <c r="D208" i="2"/>
  <c r="D207" i="2"/>
  <c r="I68" i="5"/>
  <c r="I69" i="5"/>
  <c r="I42" i="5"/>
  <c r="F12" i="5"/>
  <c r="I12" i="5" s="1"/>
  <c r="I59" i="5"/>
  <c r="I18" i="5"/>
  <c r="C6" i="28"/>
  <c r="I16" i="5"/>
  <c r="I57" i="5"/>
  <c r="I56" i="5"/>
  <c r="F5" i="5"/>
  <c r="I58" i="5"/>
  <c r="I71" i="5"/>
  <c r="G6" i="5"/>
  <c r="I44" i="5"/>
  <c r="I66" i="5"/>
  <c r="I67" i="5"/>
  <c r="I21" i="5"/>
  <c r="I45" i="5"/>
  <c r="I43" i="5"/>
  <c r="I17" i="5"/>
  <c r="I35" i="2"/>
  <c r="I38" i="2"/>
  <c r="I26" i="2"/>
  <c r="I34" i="2"/>
  <c r="I86" i="2"/>
  <c r="I27" i="2"/>
  <c r="I88" i="2"/>
  <c r="I24" i="2"/>
  <c r="I66" i="2"/>
  <c r="I67" i="2"/>
  <c r="I87" i="2"/>
  <c r="I63" i="2"/>
  <c r="I37" i="2"/>
  <c r="I59" i="2"/>
  <c r="I42" i="2"/>
  <c r="I57" i="2"/>
  <c r="I64" i="2"/>
  <c r="I28" i="2"/>
  <c r="I25" i="2"/>
  <c r="I14" i="5"/>
  <c r="I19" i="5"/>
  <c r="I90" i="2"/>
  <c r="I29" i="2"/>
  <c r="I33" i="2"/>
  <c r="I55" i="5"/>
  <c r="I20" i="5"/>
  <c r="I70" i="5"/>
  <c r="I41" i="5"/>
  <c r="I58" i="2"/>
  <c r="I23" i="2"/>
  <c r="I30" i="2"/>
  <c r="I22" i="5"/>
  <c r="F34" i="10"/>
  <c r="F35" i="10"/>
  <c r="H6" i="1"/>
  <c r="H5" i="1" s="1"/>
  <c r="C10" i="28"/>
  <c r="I95" i="2"/>
  <c r="C11" i="28"/>
  <c r="H31" i="35"/>
  <c r="H44" i="35" s="1"/>
  <c r="H91" i="35" s="1"/>
  <c r="H103" i="35" s="1"/>
  <c r="I6" i="10"/>
  <c r="I5" i="10" s="1"/>
  <c r="J75" i="1"/>
  <c r="K75" i="1"/>
  <c r="S20" i="43"/>
  <c r="U20" i="43"/>
  <c r="G23" i="43"/>
  <c r="N20" i="43"/>
  <c r="U23" i="43"/>
  <c r="H20" i="43"/>
  <c r="K23" i="43"/>
  <c r="V23" i="43"/>
  <c r="H23" i="43"/>
  <c r="L20" i="43"/>
  <c r="O23" i="43"/>
  <c r="P23" i="43"/>
  <c r="R23" i="43"/>
  <c r="Q20" i="43"/>
  <c r="J23" i="43"/>
  <c r="I20" i="43"/>
  <c r="M23" i="43"/>
  <c r="K20" i="43"/>
  <c r="O20" i="43"/>
  <c r="F20" i="43"/>
  <c r="J20" i="43"/>
  <c r="I94" i="2"/>
  <c r="F23" i="43"/>
  <c r="E20" i="43"/>
  <c r="N23" i="43"/>
  <c r="I23" i="43"/>
  <c r="E23" i="43"/>
  <c r="S23" i="43"/>
  <c r="T20" i="43"/>
  <c r="G20" i="43"/>
  <c r="L23" i="43"/>
  <c r="T23" i="43"/>
  <c r="M20" i="43"/>
  <c r="V20" i="43"/>
  <c r="Q23" i="43"/>
  <c r="P20" i="43"/>
  <c r="R20" i="43"/>
  <c r="G5" i="4"/>
  <c r="K64" i="28"/>
  <c r="H6" i="4"/>
  <c r="H5" i="4" s="1"/>
  <c r="G66" i="4"/>
  <c r="K73" i="28"/>
  <c r="K67" i="28"/>
  <c r="K90" i="28"/>
  <c r="K70" i="28"/>
  <c r="K66" i="28"/>
  <c r="K88" i="28"/>
  <c r="K63" i="28"/>
  <c r="K80" i="28"/>
  <c r="K71" i="28"/>
  <c r="K65" i="28"/>
  <c r="K75" i="28"/>
  <c r="K84" i="28"/>
  <c r="K82" i="28"/>
  <c r="K74" i="28"/>
  <c r="K78" i="28"/>
  <c r="K91" i="28"/>
  <c r="K69" i="28"/>
  <c r="K79" i="28"/>
  <c r="K81" i="28"/>
  <c r="K72" i="28"/>
  <c r="K83" i="28"/>
  <c r="K68" i="28"/>
  <c r="K89" i="28"/>
  <c r="K76" i="28"/>
  <c r="L62" i="28"/>
  <c r="K87" i="28"/>
  <c r="K86" i="28"/>
  <c r="K77" i="28"/>
  <c r="S62" i="28"/>
  <c r="R87" i="28"/>
  <c r="R69" i="28"/>
  <c r="R89" i="28"/>
  <c r="R67" i="28"/>
  <c r="R81" i="28"/>
  <c r="R80" i="28"/>
  <c r="R82" i="28"/>
  <c r="R64" i="28"/>
  <c r="R79" i="28"/>
  <c r="R68" i="28"/>
  <c r="R71" i="28"/>
  <c r="R77" i="28"/>
  <c r="R90" i="28"/>
  <c r="R66" i="28"/>
  <c r="R65" i="28"/>
  <c r="R70" i="28"/>
  <c r="R83" i="28"/>
  <c r="R86" i="28"/>
  <c r="R84" i="28"/>
  <c r="R91" i="28"/>
  <c r="R75" i="28"/>
  <c r="R74" i="28"/>
  <c r="R63" i="28"/>
  <c r="R88" i="28"/>
  <c r="R78" i="28"/>
  <c r="R76" i="28"/>
  <c r="R72" i="28"/>
  <c r="R85" i="28"/>
  <c r="R73" i="28"/>
  <c r="H96" i="2"/>
  <c r="E102" i="2"/>
  <c r="E66" i="1" s="1"/>
  <c r="J41" i="2"/>
  <c r="I41" i="2"/>
  <c r="E96" i="2"/>
  <c r="F101" i="2"/>
  <c r="F102" i="2"/>
  <c r="F66" i="1" s="1"/>
  <c r="H101" i="2"/>
  <c r="H103" i="2" s="1"/>
  <c r="D43" i="2"/>
  <c r="F96" i="2"/>
  <c r="D102" i="2"/>
  <c r="G96" i="2"/>
  <c r="B67" i="5"/>
  <c r="B78" i="1" s="1"/>
  <c r="B66" i="5"/>
  <c r="B77" i="1" s="1"/>
  <c r="B81" i="1"/>
  <c r="B69" i="5"/>
  <c r="B80" i="1" s="1"/>
  <c r="J42" i="2"/>
  <c r="B68" i="5"/>
  <c r="B79" i="1" s="1"/>
  <c r="J95" i="2"/>
  <c r="D96" i="2"/>
  <c r="D101" i="2"/>
  <c r="F76" i="1"/>
  <c r="J76" i="1" s="1"/>
  <c r="I70" i="2"/>
  <c r="B19" i="1"/>
  <c r="B46" i="1"/>
  <c r="J71" i="2"/>
  <c r="I71" i="2"/>
  <c r="D72" i="2"/>
  <c r="F94" i="4"/>
  <c r="J70" i="2"/>
  <c r="F72" i="2"/>
  <c r="E101" i="2"/>
  <c r="G101" i="2"/>
  <c r="E72" i="2"/>
  <c r="H72" i="2"/>
  <c r="H43" i="2"/>
  <c r="J94" i="2"/>
  <c r="G43" i="2"/>
  <c r="F43" i="2"/>
  <c r="H6" i="29"/>
  <c r="H5" i="29" s="1"/>
  <c r="F5" i="2"/>
  <c r="G6" i="2"/>
  <c r="G175" i="2" s="1"/>
  <c r="G176" i="2" s="1"/>
  <c r="J71" i="1"/>
  <c r="F5" i="11"/>
  <c r="G6" i="11"/>
  <c r="J72" i="1"/>
  <c r="G109" i="2"/>
  <c r="F108" i="2"/>
  <c r="F74" i="1"/>
  <c r="J74" i="1" s="1"/>
  <c r="H32" i="28"/>
  <c r="I33" i="28"/>
  <c r="B42" i="1"/>
  <c r="B16" i="1"/>
  <c r="E208" i="2" l="1"/>
  <c r="K54" i="35"/>
  <c r="H6" i="19"/>
  <c r="H5" i="19" s="1"/>
  <c r="I36" i="28"/>
  <c r="I35" i="28"/>
  <c r="F46" i="29"/>
  <c r="F23" i="29" s="1"/>
  <c r="E18" i="19"/>
  <c r="E54" i="19"/>
  <c r="E82" i="1" s="1"/>
  <c r="E207" i="2"/>
  <c r="F37" i="10"/>
  <c r="H6" i="5"/>
  <c r="H12" i="5" s="1"/>
  <c r="H67" i="1" s="1"/>
  <c r="G12" i="5"/>
  <c r="G67" i="1" s="1"/>
  <c r="K55" i="35"/>
  <c r="F67" i="1"/>
  <c r="K71" i="35"/>
  <c r="K86" i="35"/>
  <c r="K59" i="35"/>
  <c r="K81" i="35"/>
  <c r="K51" i="35"/>
  <c r="K75" i="35"/>
  <c r="K99" i="35"/>
  <c r="G5" i="5"/>
  <c r="K76" i="35"/>
  <c r="K101" i="35"/>
  <c r="I43" i="2"/>
  <c r="K73" i="35"/>
  <c r="K72" i="35"/>
  <c r="K58" i="35"/>
  <c r="K100" i="35"/>
  <c r="K83" i="35"/>
  <c r="K82" i="35"/>
  <c r="K57" i="35"/>
  <c r="K85" i="35"/>
  <c r="K74" i="35"/>
  <c r="K96" i="35"/>
  <c r="K67" i="35"/>
  <c r="K49" i="35"/>
  <c r="K88" i="35"/>
  <c r="K97" i="35"/>
  <c r="K84" i="35"/>
  <c r="G35" i="10"/>
  <c r="K50" i="35"/>
  <c r="K52" i="35"/>
  <c r="K98" i="35"/>
  <c r="K56" i="35"/>
  <c r="K60" i="35"/>
  <c r="H66" i="4"/>
  <c r="I6" i="4"/>
  <c r="I5" i="4" s="1"/>
  <c r="G34" i="10"/>
  <c r="K53" i="35"/>
  <c r="H105" i="35"/>
  <c r="H108" i="35" s="1"/>
  <c r="D22" i="35"/>
  <c r="D31" i="35" s="1"/>
  <c r="I27" i="10"/>
  <c r="J6" i="10"/>
  <c r="J5" i="10" s="1"/>
  <c r="I101" i="2"/>
  <c r="I96" i="2"/>
  <c r="T62" i="28"/>
  <c r="S87" i="28"/>
  <c r="S83" i="28"/>
  <c r="S79" i="28"/>
  <c r="S70" i="28"/>
  <c r="S75" i="28"/>
  <c r="S86" i="28"/>
  <c r="S77" i="28"/>
  <c r="S63" i="28"/>
  <c r="S88" i="28"/>
  <c r="S65" i="28"/>
  <c r="S91" i="28"/>
  <c r="S72" i="28"/>
  <c r="S80" i="28"/>
  <c r="S84" i="28"/>
  <c r="S85" i="28"/>
  <c r="S78" i="28"/>
  <c r="S69" i="28"/>
  <c r="S74" i="28"/>
  <c r="S67" i="28"/>
  <c r="S76" i="28"/>
  <c r="S90" i="28"/>
  <c r="S71" i="28"/>
  <c r="S66" i="28"/>
  <c r="S89" i="28"/>
  <c r="S82" i="28"/>
  <c r="S73" i="28"/>
  <c r="S81" i="28"/>
  <c r="S68" i="28"/>
  <c r="S64" i="28"/>
  <c r="M62" i="28"/>
  <c r="L87" i="28"/>
  <c r="L81" i="28"/>
  <c r="L67" i="28"/>
  <c r="L85" i="28"/>
  <c r="L69" i="28"/>
  <c r="L83" i="28"/>
  <c r="L65" i="28"/>
  <c r="L88" i="28"/>
  <c r="L66" i="28"/>
  <c r="L79" i="28"/>
  <c r="L80" i="28"/>
  <c r="L74" i="28"/>
  <c r="L71" i="28"/>
  <c r="L78" i="28"/>
  <c r="L91" i="28"/>
  <c r="L70" i="28"/>
  <c r="L84" i="28"/>
  <c r="L77" i="28"/>
  <c r="L86" i="28"/>
  <c r="L75" i="28"/>
  <c r="L64" i="28"/>
  <c r="L90" i="28"/>
  <c r="L73" i="28"/>
  <c r="L63" i="28"/>
  <c r="L68" i="28"/>
  <c r="L76" i="28"/>
  <c r="L89" i="28"/>
  <c r="L82" i="28"/>
  <c r="L72" i="28"/>
  <c r="E103" i="2"/>
  <c r="B26" i="1"/>
  <c r="B53" i="1"/>
  <c r="B23" i="1"/>
  <c r="B50" i="1"/>
  <c r="B24" i="1"/>
  <c r="B51" i="1"/>
  <c r="B27" i="1"/>
  <c r="B54" i="1"/>
  <c r="B52" i="1"/>
  <c r="B25" i="1"/>
  <c r="F103" i="2"/>
  <c r="J102" i="2"/>
  <c r="D66" i="1"/>
  <c r="J66" i="1" s="1"/>
  <c r="I102" i="2"/>
  <c r="J96" i="2"/>
  <c r="D103" i="2"/>
  <c r="G76" i="1"/>
  <c r="J72" i="2"/>
  <c r="I72" i="2"/>
  <c r="J101" i="2"/>
  <c r="G103" i="2"/>
  <c r="J43" i="2"/>
  <c r="I6" i="29"/>
  <c r="I5" i="29" s="1"/>
  <c r="G74" i="1"/>
  <c r="G5" i="2"/>
  <c r="H6" i="2"/>
  <c r="H6" i="11"/>
  <c r="H5" i="11" s="1"/>
  <c r="G5" i="11"/>
  <c r="G108" i="2"/>
  <c r="H109" i="2"/>
  <c r="J33" i="28"/>
  <c r="I32" i="28"/>
  <c r="B43" i="1"/>
  <c r="B15" i="1"/>
  <c r="J69" i="1"/>
  <c r="J81" i="1"/>
  <c r="J78" i="1"/>
  <c r="B44" i="1"/>
  <c r="B17" i="1"/>
  <c r="B45" i="1"/>
  <c r="B18" i="1"/>
  <c r="B41" i="1"/>
  <c r="B14" i="1"/>
  <c r="J70" i="1"/>
  <c r="I77" i="2" l="1"/>
  <c r="H175" i="2"/>
  <c r="H176" i="2" s="1"/>
  <c r="H5" i="5"/>
  <c r="J27" i="10"/>
  <c r="J36" i="28"/>
  <c r="J35" i="28"/>
  <c r="F207" i="2"/>
  <c r="F54" i="19"/>
  <c r="F82" i="1" s="1"/>
  <c r="F18" i="19"/>
  <c r="G46" i="29"/>
  <c r="G23" i="29" s="1"/>
  <c r="I66" i="4"/>
  <c r="J12" i="5"/>
  <c r="G37" i="10"/>
  <c r="H34" i="10"/>
  <c r="H35" i="10"/>
  <c r="D44" i="35"/>
  <c r="J44" i="35" s="1"/>
  <c r="J31" i="35"/>
  <c r="K31" i="35" s="1"/>
  <c r="J22" i="35"/>
  <c r="I103" i="2"/>
  <c r="G208" i="2"/>
  <c r="N62" i="28"/>
  <c r="M71" i="28"/>
  <c r="M72" i="28"/>
  <c r="M64" i="28"/>
  <c r="M76" i="28"/>
  <c r="M63" i="28"/>
  <c r="M70" i="28"/>
  <c r="M65" i="28"/>
  <c r="M75" i="28"/>
  <c r="M66" i="28"/>
  <c r="M69" i="28"/>
  <c r="M73" i="28"/>
  <c r="M68" i="28"/>
  <c r="M67" i="28"/>
  <c r="M74" i="28"/>
  <c r="U62" i="28"/>
  <c r="T63" i="28"/>
  <c r="T71" i="28"/>
  <c r="T74" i="28"/>
  <c r="T67" i="28"/>
  <c r="T66" i="28"/>
  <c r="T68" i="28"/>
  <c r="T76" i="28"/>
  <c r="T64" i="28"/>
  <c r="T70" i="28"/>
  <c r="T73" i="28"/>
  <c r="T69" i="28"/>
  <c r="T65" i="28"/>
  <c r="T72" i="28"/>
  <c r="T75" i="28"/>
  <c r="K66" i="1"/>
  <c r="J103" i="2"/>
  <c r="H76" i="1"/>
  <c r="K76" i="1" s="1"/>
  <c r="H94" i="4"/>
  <c r="K78" i="1"/>
  <c r="I54" i="2"/>
  <c r="H5" i="2"/>
  <c r="I48" i="2"/>
  <c r="I82" i="2"/>
  <c r="I14" i="2"/>
  <c r="I20" i="2"/>
  <c r="I13" i="2"/>
  <c r="I47" i="2"/>
  <c r="I76" i="2"/>
  <c r="I19" i="2"/>
  <c r="I53" i="2"/>
  <c r="I83" i="2"/>
  <c r="H108" i="2"/>
  <c r="J32" i="28"/>
  <c r="K33" i="28"/>
  <c r="H74" i="1"/>
  <c r="K74" i="1" s="1"/>
  <c r="J79" i="1"/>
  <c r="J80" i="1"/>
  <c r="K44" i="35" l="1"/>
  <c r="J91" i="35"/>
  <c r="I78" i="2"/>
  <c r="G207" i="2"/>
  <c r="K36" i="28"/>
  <c r="K35" i="28"/>
  <c r="H46" i="29"/>
  <c r="H23" i="29" s="1"/>
  <c r="H41" i="29" s="1"/>
  <c r="G54" i="19"/>
  <c r="G82" i="1" s="1"/>
  <c r="G18" i="19"/>
  <c r="H37" i="10"/>
  <c r="I34" i="10"/>
  <c r="I35" i="10"/>
  <c r="D91" i="35"/>
  <c r="D103" i="35" s="1"/>
  <c r="H208" i="2"/>
  <c r="U71" i="28"/>
  <c r="U65" i="28"/>
  <c r="U74" i="28"/>
  <c r="U75" i="28"/>
  <c r="U76" i="28"/>
  <c r="U72" i="28"/>
  <c r="U69" i="28"/>
  <c r="U67" i="28"/>
  <c r="U63" i="28"/>
  <c r="U70" i="28"/>
  <c r="U64" i="28"/>
  <c r="U73" i="28"/>
  <c r="U68" i="28"/>
  <c r="U66" i="28"/>
  <c r="N64" i="28"/>
  <c r="N73" i="28"/>
  <c r="N74" i="28"/>
  <c r="N75" i="28"/>
  <c r="N76" i="28"/>
  <c r="N65" i="28"/>
  <c r="N72" i="28"/>
  <c r="N63" i="28"/>
  <c r="N68" i="28"/>
  <c r="N70" i="28"/>
  <c r="N71" i="28"/>
  <c r="N67" i="28"/>
  <c r="N69" i="28"/>
  <c r="N66" i="28"/>
  <c r="D54" i="19"/>
  <c r="D82" i="1" s="1"/>
  <c r="I94" i="4"/>
  <c r="I15" i="2"/>
  <c r="I49" i="2"/>
  <c r="K32" i="28"/>
  <c r="L33" i="28"/>
  <c r="G41" i="29"/>
  <c r="J77" i="1"/>
  <c r="J67" i="1"/>
  <c r="J68" i="1"/>
  <c r="K69" i="1"/>
  <c r="D105" i="35" l="1"/>
  <c r="D108" i="35" s="1"/>
  <c r="J103" i="35"/>
  <c r="K103" i="35" s="1"/>
  <c r="K91" i="35"/>
  <c r="L35" i="28"/>
  <c r="L36" i="28"/>
  <c r="H54" i="19"/>
  <c r="H82" i="1" s="1"/>
  <c r="K82" i="1" s="1"/>
  <c r="H18" i="19"/>
  <c r="H207" i="2"/>
  <c r="I46" i="29"/>
  <c r="I23" i="29" s="1"/>
  <c r="I41" i="29" s="1"/>
  <c r="I37" i="10"/>
  <c r="J34" i="10"/>
  <c r="J35" i="10"/>
  <c r="D18" i="19"/>
  <c r="J82" i="1"/>
  <c r="E46" i="29"/>
  <c r="E23" i="29" s="1"/>
  <c r="K81" i="1"/>
  <c r="L32" i="28"/>
  <c r="K80" i="1"/>
  <c r="K79" i="1"/>
  <c r="K72" i="1"/>
  <c r="K70" i="1"/>
  <c r="K71" i="1"/>
  <c r="J105" i="35" l="1"/>
  <c r="K105" i="35" s="1"/>
  <c r="J37" i="10"/>
  <c r="E41" i="29"/>
  <c r="E44" i="29" s="1"/>
  <c r="E48" i="29" s="1"/>
  <c r="K67" i="1"/>
  <c r="K77" i="1"/>
  <c r="K68" i="1"/>
  <c r="J108" i="35" l="1"/>
  <c r="E103" i="4"/>
  <c r="E68" i="29"/>
  <c r="E104" i="4" l="1"/>
  <c r="E56" i="29" l="1"/>
  <c r="F122" i="2" l="1"/>
  <c r="F131" i="2" s="1"/>
  <c r="I44" i="29" l="1"/>
  <c r="G44" i="29"/>
  <c r="H44" i="29"/>
  <c r="I48" i="29" l="1"/>
  <c r="I68" i="29" s="1"/>
  <c r="I103" i="4"/>
  <c r="I56" i="29"/>
  <c r="H48" i="29"/>
  <c r="H68" i="29" s="1"/>
  <c r="H56" i="29"/>
  <c r="H103" i="4"/>
  <c r="G48" i="29"/>
  <c r="G68" i="29" s="1"/>
  <c r="G56" i="29"/>
  <c r="G103" i="4"/>
  <c r="I104" i="4" l="1"/>
  <c r="H104" i="4"/>
  <c r="G104" i="4"/>
  <c r="J23" i="10" l="1"/>
  <c r="I23" i="10"/>
  <c r="H23" i="10"/>
  <c r="G23" i="10"/>
  <c r="F23" i="10"/>
  <c r="J20" i="10"/>
  <c r="I20" i="10"/>
  <c r="H20" i="10"/>
  <c r="G20" i="10"/>
  <c r="F20" i="10"/>
  <c r="F17" i="10" l="1"/>
  <c r="F24" i="10" s="1"/>
  <c r="F27" i="10" l="1"/>
  <c r="G15" i="10"/>
  <c r="G17" i="10" s="1"/>
  <c r="G24" i="10" s="1"/>
  <c r="F32" i="10"/>
  <c r="F41" i="10"/>
  <c r="F39" i="10" l="1"/>
  <c r="F43" i="10" s="1"/>
  <c r="F40" i="10"/>
  <c r="G27" i="10"/>
  <c r="H15" i="10"/>
  <c r="H17" i="10" s="1"/>
  <c r="H24" i="10" s="1"/>
  <c r="G32" i="10"/>
  <c r="G41" i="10"/>
  <c r="G40" i="10" l="1"/>
  <c r="G39" i="10"/>
  <c r="G43" i="10" s="1"/>
  <c r="H27" i="10"/>
  <c r="I15" i="10"/>
  <c r="I17" i="10" s="1"/>
  <c r="I24" i="10" s="1"/>
  <c r="H32" i="10"/>
  <c r="H41" i="10"/>
  <c r="F44" i="10"/>
  <c r="D65" i="1" s="1"/>
  <c r="D90" i="1"/>
  <c r="D14" i="1" l="1"/>
  <c r="D22" i="1"/>
  <c r="D20" i="1"/>
  <c r="D23" i="1"/>
  <c r="D17" i="1"/>
  <c r="D26" i="1"/>
  <c r="D16" i="1"/>
  <c r="D15" i="1"/>
  <c r="D25" i="1"/>
  <c r="D28" i="1"/>
  <c r="D24" i="1"/>
  <c r="D13" i="1"/>
  <c r="D19" i="1"/>
  <c r="D18" i="1"/>
  <c r="D12" i="1"/>
  <c r="D21" i="1"/>
  <c r="D27" i="1"/>
  <c r="D83" i="1"/>
  <c r="D11" i="1"/>
  <c r="H40" i="10"/>
  <c r="H39" i="10"/>
  <c r="H43" i="10" s="1"/>
  <c r="J15" i="10"/>
  <c r="J17" i="10" s="1"/>
  <c r="J24" i="10" s="1"/>
  <c r="I32" i="10"/>
  <c r="I41" i="10"/>
  <c r="F45" i="10"/>
  <c r="G44" i="10"/>
  <c r="E65" i="1" s="1"/>
  <c r="E90" i="1"/>
  <c r="G45" i="10" l="1"/>
  <c r="I40" i="10"/>
  <c r="I39" i="10"/>
  <c r="I43" i="10" s="1"/>
  <c r="J32" i="10"/>
  <c r="J41" i="10"/>
  <c r="D29" i="1"/>
  <c r="E23" i="1"/>
  <c r="E21" i="1"/>
  <c r="E14" i="1"/>
  <c r="E26" i="1"/>
  <c r="E24" i="1"/>
  <c r="E16" i="1"/>
  <c r="E19" i="1"/>
  <c r="E12" i="1"/>
  <c r="E18" i="1"/>
  <c r="E15" i="1"/>
  <c r="E27" i="1"/>
  <c r="E20" i="1"/>
  <c r="E22" i="1"/>
  <c r="E13" i="1"/>
  <c r="E28" i="1"/>
  <c r="E17" i="1"/>
  <c r="E25" i="1"/>
  <c r="E83" i="1"/>
  <c r="E11" i="1"/>
  <c r="H44" i="10"/>
  <c r="F65" i="1" s="1"/>
  <c r="F90" i="1"/>
  <c r="J20" i="1" s="1"/>
  <c r="J27" i="1"/>
  <c r="J17" i="1" l="1"/>
  <c r="J24" i="1"/>
  <c r="H45" i="10"/>
  <c r="J12" i="1"/>
  <c r="J14" i="1"/>
  <c r="G90" i="1"/>
  <c r="I44" i="10"/>
  <c r="G65" i="1" s="1"/>
  <c r="F12" i="1"/>
  <c r="F17" i="1"/>
  <c r="F19" i="1"/>
  <c r="F22" i="1"/>
  <c r="F23" i="1"/>
  <c r="F24" i="1"/>
  <c r="F13" i="1"/>
  <c r="F27" i="1"/>
  <c r="F15" i="1"/>
  <c r="F18" i="1"/>
  <c r="F21" i="1"/>
  <c r="F26" i="1"/>
  <c r="F20" i="1"/>
  <c r="F28" i="1"/>
  <c r="F25" i="1"/>
  <c r="F14" i="1"/>
  <c r="F16" i="1"/>
  <c r="J28" i="1"/>
  <c r="J19" i="1"/>
  <c r="J18" i="1"/>
  <c r="J65" i="1"/>
  <c r="J83" i="1" s="1"/>
  <c r="F83" i="1"/>
  <c r="F11" i="1"/>
  <c r="J22" i="1"/>
  <c r="J25" i="1"/>
  <c r="E29" i="1"/>
  <c r="J40" i="10"/>
  <c r="J39" i="10"/>
  <c r="J43" i="10" s="1"/>
  <c r="J23" i="1"/>
  <c r="J13" i="1"/>
  <c r="J21" i="1"/>
  <c r="J16" i="1"/>
  <c r="J26" i="1"/>
  <c r="J15" i="1"/>
  <c r="J11" i="1"/>
  <c r="F29" i="1" l="1"/>
  <c r="G11" i="1"/>
  <c r="G83" i="1"/>
  <c r="G21" i="1"/>
  <c r="G22" i="1"/>
  <c r="G19" i="1"/>
  <c r="G16" i="1"/>
  <c r="G26" i="1"/>
  <c r="G20" i="1"/>
  <c r="G14" i="1"/>
  <c r="G18" i="1"/>
  <c r="G15" i="1"/>
  <c r="G25" i="1"/>
  <c r="G23" i="1"/>
  <c r="G28" i="1"/>
  <c r="G24" i="1"/>
  <c r="G12" i="1"/>
  <c r="G17" i="1"/>
  <c r="G13" i="1"/>
  <c r="G27" i="1"/>
  <c r="I45" i="10"/>
  <c r="J44" i="10"/>
  <c r="H65" i="1" s="1"/>
  <c r="H90" i="1"/>
  <c r="K19" i="1" s="1"/>
  <c r="J29" i="1"/>
  <c r="K16" i="1"/>
  <c r="K21" i="1"/>
  <c r="K18" i="1" l="1"/>
  <c r="K28" i="1"/>
  <c r="K11" i="1"/>
  <c r="H27" i="1"/>
  <c r="H13" i="1"/>
  <c r="H28" i="1"/>
  <c r="H24" i="1"/>
  <c r="H17" i="1"/>
  <c r="H26" i="1"/>
  <c r="H14" i="1"/>
  <c r="H21" i="1"/>
  <c r="H20" i="1"/>
  <c r="H23" i="1"/>
  <c r="H25" i="1"/>
  <c r="H22" i="1"/>
  <c r="H12" i="1"/>
  <c r="H16" i="1"/>
  <c r="H19" i="1"/>
  <c r="H18" i="1"/>
  <c r="H15" i="1"/>
  <c r="K14" i="1"/>
  <c r="K23" i="1"/>
  <c r="K24" i="1"/>
  <c r="K20" i="1"/>
  <c r="K25" i="1"/>
  <c r="K13" i="1"/>
  <c r="K17" i="1"/>
  <c r="K26" i="1"/>
  <c r="K27" i="1"/>
  <c r="H83" i="1"/>
  <c r="H11" i="1"/>
  <c r="K65" i="1"/>
  <c r="K83" i="1" s="1"/>
  <c r="G29" i="1"/>
  <c r="K12" i="1"/>
  <c r="J45" i="10"/>
  <c r="K22" i="1"/>
  <c r="K15" i="1"/>
  <c r="H29" i="1" l="1"/>
  <c r="K29" i="1"/>
  <c r="H23" i="19" l="1"/>
  <c r="G23" i="19"/>
  <c r="D23" i="19" l="1"/>
  <c r="E23" i="19"/>
  <c r="F23" i="19"/>
  <c r="G75" i="4" l="1"/>
  <c r="G78" i="4"/>
  <c r="G79" i="4" l="1"/>
  <c r="G82" i="4"/>
  <c r="G94" i="4" s="1"/>
  <c r="F170" i="2" l="1"/>
  <c r="F172" i="2" s="1"/>
  <c r="F206" i="2" l="1"/>
  <c r="F176" i="2"/>
  <c r="F208" i="2" l="1"/>
  <c r="E96" i="4" l="1"/>
  <c r="E106" i="4" s="1"/>
  <c r="D91" i="1" l="1"/>
  <c r="E54" i="29"/>
  <c r="F96" i="4" l="1"/>
  <c r="F106" i="4" s="1"/>
  <c r="D42" i="1"/>
  <c r="D50" i="1"/>
  <c r="D52" i="1"/>
  <c r="D46" i="1"/>
  <c r="D55" i="1"/>
  <c r="D51" i="1"/>
  <c r="D39" i="1"/>
  <c r="D53" i="1"/>
  <c r="D43" i="1"/>
  <c r="D49" i="1"/>
  <c r="D45" i="1"/>
  <c r="D48" i="1"/>
  <c r="D38" i="1"/>
  <c r="D54" i="1"/>
  <c r="D44" i="1"/>
  <c r="D47" i="1"/>
  <c r="D41" i="1"/>
  <c r="D40" i="1"/>
  <c r="F54" i="29" l="1"/>
  <c r="E91" i="1"/>
  <c r="D56" i="1"/>
  <c r="G96" i="4" l="1"/>
  <c r="G106" i="4" s="1"/>
  <c r="E38" i="1"/>
  <c r="E46" i="1"/>
  <c r="E53" i="1"/>
  <c r="E40" i="1"/>
  <c r="E39" i="1"/>
  <c r="E54" i="1"/>
  <c r="E55" i="1"/>
  <c r="E50" i="1"/>
  <c r="E47" i="1"/>
  <c r="E42" i="1"/>
  <c r="E41" i="1"/>
  <c r="E52" i="1"/>
  <c r="E51" i="1"/>
  <c r="E44" i="1"/>
  <c r="E43" i="1"/>
  <c r="E45" i="1"/>
  <c r="E49" i="1"/>
  <c r="E48" i="1"/>
  <c r="E56" i="1" l="1"/>
  <c r="H96" i="4" l="1"/>
  <c r="H106" i="4" s="1"/>
  <c r="E97" i="4"/>
  <c r="E107" i="4" l="1"/>
  <c r="E108" i="4" s="1"/>
  <c r="E98" i="4"/>
  <c r="I96" i="4" l="1"/>
  <c r="I106" i="4" s="1"/>
  <c r="F97" i="4"/>
  <c r="F98" i="4" l="1"/>
  <c r="G97" i="4"/>
  <c r="E74" i="29" l="1"/>
  <c r="G98" i="4"/>
  <c r="G107" i="4"/>
  <c r="G108" i="4" s="1"/>
  <c r="D84" i="1"/>
  <c r="E76" i="29"/>
  <c r="E77" i="29" s="1"/>
  <c r="D30" i="1" l="1"/>
  <c r="D85" i="1"/>
  <c r="E75" i="29"/>
  <c r="E78" i="29" s="1"/>
  <c r="E57" i="29"/>
  <c r="E58" i="29" l="1"/>
  <c r="F76" i="29"/>
  <c r="F77" i="29" s="1"/>
  <c r="E84" i="1"/>
  <c r="F74" i="29"/>
  <c r="H97" i="4"/>
  <c r="D57" i="1"/>
  <c r="E60" i="29" l="1"/>
  <c r="E70" i="29" s="1"/>
  <c r="I97" i="4"/>
  <c r="F75" i="29"/>
  <c r="F78" i="29" s="1"/>
  <c r="F57" i="29"/>
  <c r="E30" i="1"/>
  <c r="H98" i="4"/>
  <c r="H107" i="4"/>
  <c r="H108" i="4" s="1"/>
  <c r="E85" i="1"/>
  <c r="D86" i="1" l="1"/>
  <c r="E72" i="29"/>
  <c r="D87" i="1" s="1"/>
  <c r="E57" i="1"/>
  <c r="I98" i="4"/>
  <c r="I107" i="4"/>
  <c r="I108" i="4" s="1"/>
  <c r="D58" i="1" l="1"/>
  <c r="D59" i="1" s="1"/>
  <c r="D88" i="1"/>
  <c r="D31" i="1"/>
  <c r="D32" i="1" s="1"/>
  <c r="H91" i="1" l="1"/>
  <c r="H54" i="1" s="1"/>
  <c r="I54" i="29"/>
  <c r="H54" i="29"/>
  <c r="G91" i="1"/>
  <c r="F91" i="1"/>
  <c r="G54" i="29"/>
  <c r="I74" i="29"/>
  <c r="H52" i="1" l="1"/>
  <c r="H49" i="1"/>
  <c r="H53" i="1"/>
  <c r="H39" i="1"/>
  <c r="H50" i="1"/>
  <c r="H38" i="1"/>
  <c r="H48" i="1"/>
  <c r="H51" i="1"/>
  <c r="H46" i="1"/>
  <c r="H41" i="1"/>
  <c r="H55" i="1"/>
  <c r="H47" i="1"/>
  <c r="H40" i="1"/>
  <c r="H45" i="1"/>
  <c r="H42" i="1"/>
  <c r="H44" i="1"/>
  <c r="H43" i="1"/>
  <c r="F47" i="1"/>
  <c r="F50" i="1"/>
  <c r="F39" i="1"/>
  <c r="F55" i="1"/>
  <c r="F53" i="1"/>
  <c r="F45" i="1"/>
  <c r="F51" i="1"/>
  <c r="F43" i="1"/>
  <c r="F48" i="1"/>
  <c r="F41" i="1"/>
  <c r="F42" i="1"/>
  <c r="F46" i="1"/>
  <c r="F40" i="1"/>
  <c r="F54" i="1"/>
  <c r="F52" i="1"/>
  <c r="F38" i="1"/>
  <c r="F44" i="1"/>
  <c r="F49" i="1"/>
  <c r="K43" i="1"/>
  <c r="J44" i="1"/>
  <c r="K52" i="1"/>
  <c r="J40" i="1"/>
  <c r="K39" i="1"/>
  <c r="K53" i="1"/>
  <c r="J39" i="1"/>
  <c r="K49" i="1"/>
  <c r="J38" i="1"/>
  <c r="J55" i="1"/>
  <c r="J46" i="1"/>
  <c r="K54" i="1"/>
  <c r="J53" i="1"/>
  <c r="K41" i="1"/>
  <c r="J41" i="1"/>
  <c r="J51" i="1"/>
  <c r="K47" i="1"/>
  <c r="K40" i="1"/>
  <c r="K48" i="1"/>
  <c r="K42" i="1"/>
  <c r="J50" i="1"/>
  <c r="J45" i="1"/>
  <c r="J43" i="1"/>
  <c r="K45" i="1"/>
  <c r="K46" i="1"/>
  <c r="J48" i="1"/>
  <c r="K38" i="1"/>
  <c r="J54" i="1"/>
  <c r="K44" i="1"/>
  <c r="J42" i="1"/>
  <c r="J47" i="1"/>
  <c r="J49" i="1"/>
  <c r="K51" i="1"/>
  <c r="K50" i="1"/>
  <c r="J52" i="1"/>
  <c r="K55" i="1"/>
  <c r="G49" i="1"/>
  <c r="G54" i="1"/>
  <c r="G55" i="1"/>
  <c r="G39" i="1"/>
  <c r="G42" i="1"/>
  <c r="G53" i="1"/>
  <c r="G40" i="1"/>
  <c r="G43" i="1"/>
  <c r="G38" i="1"/>
  <c r="G46" i="1"/>
  <c r="G48" i="1"/>
  <c r="G50" i="1"/>
  <c r="G45" i="1"/>
  <c r="G44" i="1"/>
  <c r="G51" i="1"/>
  <c r="G41" i="1"/>
  <c r="G52" i="1"/>
  <c r="G47" i="1"/>
  <c r="I75" i="29"/>
  <c r="H74" i="29"/>
  <c r="H56" i="1" l="1"/>
  <c r="F56" i="1"/>
  <c r="K56" i="1"/>
  <c r="J56" i="1"/>
  <c r="G74" i="29"/>
  <c r="H75" i="29"/>
  <c r="G56" i="1"/>
  <c r="H85" i="1" l="1"/>
  <c r="G75" i="29"/>
  <c r="I76" i="29" l="1"/>
  <c r="I77" i="29" s="1"/>
  <c r="I78" i="29" s="1"/>
  <c r="H84" i="1"/>
  <c r="H57" i="1" s="1"/>
  <c r="H76" i="29"/>
  <c r="H77" i="29" s="1"/>
  <c r="H78" i="29" s="1"/>
  <c r="H30" i="1" l="1"/>
  <c r="I57" i="29"/>
  <c r="I58" i="29" s="1"/>
  <c r="G84" i="1"/>
  <c r="G30" i="1" s="1"/>
  <c r="H57" i="29"/>
  <c r="G85" i="1"/>
  <c r="G57" i="1" l="1"/>
  <c r="F84" i="1"/>
  <c r="G76" i="29"/>
  <c r="I60" i="29"/>
  <c r="I70" i="29" s="1"/>
  <c r="H58" i="29"/>
  <c r="H86" i="1" l="1"/>
  <c r="I72" i="29"/>
  <c r="H87" i="1" s="1"/>
  <c r="G57" i="29"/>
  <c r="G77" i="29"/>
  <c r="G78" i="29" s="1"/>
  <c r="K30" i="1"/>
  <c r="F30" i="1"/>
  <c r="J84" i="1"/>
  <c r="J30" i="1"/>
  <c r="K84" i="1"/>
  <c r="H60" i="29"/>
  <c r="H70" i="29" s="1"/>
  <c r="F85" i="1"/>
  <c r="K57" i="1" l="1"/>
  <c r="K85" i="1"/>
  <c r="J57" i="1"/>
  <c r="F57" i="1"/>
  <c r="J85" i="1"/>
  <c r="H72" i="29"/>
  <c r="G87" i="1" s="1"/>
  <c r="G86" i="1"/>
  <c r="G58" i="29"/>
  <c r="H31" i="1"/>
  <c r="H32" i="1" s="1"/>
  <c r="H58" i="1"/>
  <c r="H59" i="1" s="1"/>
  <c r="H88" i="1"/>
  <c r="G58" i="1" l="1"/>
  <c r="G59" i="1" s="1"/>
  <c r="G88" i="1"/>
  <c r="G31" i="1"/>
  <c r="G32" i="1" s="1"/>
  <c r="G60" i="29"/>
  <c r="G70" i="29" s="1"/>
  <c r="G72" i="29" l="1"/>
  <c r="F87" i="1" s="1"/>
  <c r="F86" i="1"/>
  <c r="F58" i="1" l="1"/>
  <c r="F59" i="1" s="1"/>
  <c r="F31" i="1"/>
  <c r="F32" i="1" s="1"/>
  <c r="F88" i="1"/>
  <c r="F20" i="29" l="1"/>
  <c r="F41" i="29" l="1"/>
  <c r="F44" i="29" s="1"/>
  <c r="F48" i="29" l="1"/>
  <c r="F68" i="29" s="1"/>
  <c r="F56" i="29"/>
  <c r="F103" i="4"/>
  <c r="F104" i="4" l="1"/>
  <c r="F107" i="4"/>
  <c r="F108" i="4" s="1"/>
  <c r="F58" i="29"/>
  <c r="F60" i="29" l="1"/>
  <c r="F70" i="29" s="1"/>
  <c r="E86" i="1" l="1"/>
  <c r="F72" i="29"/>
  <c r="E87" i="1" s="1"/>
  <c r="J87" i="1" l="1"/>
  <c r="K87" i="1"/>
  <c r="E88" i="1"/>
  <c r="E31" i="1"/>
  <c r="E32" i="1" s="1"/>
  <c r="E58" i="1"/>
  <c r="E59" i="1" s="1"/>
  <c r="K86" i="1"/>
  <c r="K58" i="1"/>
  <c r="K59" i="1" s="1"/>
  <c r="J86" i="1"/>
  <c r="J58" i="1"/>
  <c r="J59" i="1" s="1"/>
  <c r="K31" i="1"/>
  <c r="K32" i="1" s="1"/>
  <c r="J31" i="1"/>
  <c r="J32" i="1" s="1"/>
  <c r="J88" i="1" l="1"/>
  <c r="K8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<sst xmlns="http://schemas.openxmlformats.org/spreadsheetml/2006/main" count="2918" uniqueCount="1259">
  <si>
    <t>Regulatory Financial Performance Report</t>
  </si>
  <si>
    <t xml:space="preserve">                           </t>
  </si>
  <si>
    <t>RIIO-2 start date (enter 2022 for 2021-22)</t>
  </si>
  <si>
    <t>Licensee</t>
  </si>
  <si>
    <t>Cadent-London</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</si>
  <si>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</si>
  <si>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</si>
  <si>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</si>
  <si>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</si>
  <si>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</si>
  <si>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</si>
  <si>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</si>
  <si>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</si>
  <si>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</si>
  <si>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</si>
  <si>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</si>
  <si>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</si>
  <si>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</si>
  <si>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</si>
  <si>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</si>
  <si>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</si>
  <si>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</si>
  <si>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</si>
  <si>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</si>
  <si>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</si>
  <si>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</si>
  <si>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</si>
  <si>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</si>
  <si>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</si>
  <si>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</si>
  <si>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</si>
  <si>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</si>
  <si>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</si>
  <si>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</si>
  <si>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</si>
  <si>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</si>
  <si>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</si>
  <si>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</si>
  <si>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</si>
  <si>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</si>
  <si>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</si>
  <si>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</si>
  <si>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</si>
  <si>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</si>
  <si>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</si>
  <si>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</si>
  <si>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</si>
  <si>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</si>
  <si>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</si>
  <si>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</si>
  <si>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</si>
  <si>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</si>
  <si>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</si>
  <si>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</si>
  <si>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</si>
  <si>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</si>
  <si>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</si>
  <si>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</si>
  <si>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</si>
  <si>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</si>
  <si>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</si>
  <si>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</si>
  <si>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</si>
  <si>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</si>
  <si>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</si>
  <si>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</si>
  <si>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</si>
  <si>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</si>
  <si>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</si>
  <si>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</si>
  <si>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</si>
  <si>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</si>
  <si>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</si>
  <si>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</si>
  <si>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</si>
  <si>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</si>
  <si>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</si>
  <si>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</si>
  <si>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</si>
  <si>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</si>
  <si>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</si>
  <si>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Cadent-EOE</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</si>
  <si>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</si>
  <si>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</si>
  <si>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</si>
  <si>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</si>
  <si>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</si>
  <si>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</si>
  <si>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</si>
  <si>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</si>
  <si>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</si>
  <si>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</si>
  <si>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</si>
  <si>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</si>
  <si>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</si>
  <si>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</si>
  <si>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</si>
  <si>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</si>
  <si>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</si>
  <si>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</si>
  <si>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</si>
  <si>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</si>
  <si>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</si>
  <si>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</si>
  <si>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</si>
  <si>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</si>
  <si>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</si>
  <si>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</si>
  <si>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</si>
  <si>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</si>
  <si>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</si>
  <si>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</si>
  <si>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</si>
  <si>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</si>
  <si>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</si>
  <si>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</si>
  <si>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</si>
  <si>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</si>
  <si>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</si>
  <si>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</si>
  <si>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</si>
  <si>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</si>
  <si>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</si>
  <si>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</si>
  <si>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</si>
  <si>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</si>
  <si>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</si>
  <si>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</si>
  <si>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</si>
  <si>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</si>
  <si>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</si>
  <si>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</si>
  <si>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</si>
  <si>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</si>
  <si>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</si>
  <si>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</si>
  <si>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</si>
  <si>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</si>
  <si>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</si>
  <si>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</si>
  <si>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</si>
  <si>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</si>
  <si>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</si>
  <si>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</si>
  <si>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</si>
  <si>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</si>
  <si>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</si>
  <si>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</si>
  <si>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</si>
  <si>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</si>
  <si>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</si>
  <si>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</si>
  <si>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</si>
  <si>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</si>
  <si>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</si>
  <si>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</si>
  <si>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</si>
  <si>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</si>
  <si>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</si>
  <si>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</si>
  <si>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</si>
  <si>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</si>
  <si>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</si>
  <si>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</si>
  <si>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</si>
  <si>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</si>
  <si>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</si>
  <si>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</si>
  <si>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</si>
  <si>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</si>
  <si>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</si>
  <si>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</si>
  <si>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</si>
  <si>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</si>
  <si>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</si>
  <si>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</si>
  <si>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</si>
  <si>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</si>
  <si>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</si>
  <si>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</si>
  <si>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</si>
  <si>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</si>
  <si>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</si>
  <si>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</si>
  <si>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</si>
  <si>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</si>
  <si>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</si>
  <si>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</si>
  <si>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</si>
  <si>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</si>
  <si>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</si>
  <si>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</si>
  <si>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</si>
  <si>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</si>
  <si>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</si>
  <si>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</si>
  <si>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</si>
  <si>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</si>
  <si>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</si>
  <si>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</si>
  <si>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</si>
  <si>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</si>
  <si>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</si>
  <si>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</si>
  <si>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</si>
  <si>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</si>
  <si>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</si>
  <si>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</si>
  <si>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</si>
  <si>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</si>
  <si>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</si>
  <si>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</si>
  <si>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</si>
  <si>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</si>
  <si>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</si>
  <si>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</si>
  <si>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</si>
  <si>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</si>
  <si>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</si>
  <si>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</si>
  <si>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</si>
  <si>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</si>
  <si>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</si>
  <si>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</si>
  <si>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</si>
  <si>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</si>
  <si>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</si>
  <si>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</si>
  <si>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</si>
  <si>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</si>
  <si>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</si>
  <si>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</si>
  <si>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</si>
  <si>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</si>
  <si>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</si>
  <si>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</si>
  <si>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</si>
  <si>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</si>
  <si>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</si>
  <si>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</si>
  <si>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</si>
  <si>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</si>
  <si>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</si>
  <si>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</si>
  <si>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</si>
  <si>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</si>
  <si>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</si>
  <si>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</si>
  <si>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</si>
  <si>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</si>
  <si>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</si>
  <si>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</si>
  <si>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</si>
  <si>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</si>
  <si>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</si>
  <si>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</si>
  <si>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</si>
  <si>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</si>
  <si>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</si>
  <si>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</si>
  <si>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</si>
  <si>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</si>
  <si>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</si>
  <si>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</si>
  <si>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</si>
  <si>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</si>
  <si>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</si>
  <si>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</si>
  <si>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</si>
  <si>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</si>
  <si>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</si>
  <si>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</si>
  <si>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</si>
  <si>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</si>
  <si>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</si>
  <si>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</si>
  <si>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</si>
  <si>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</si>
  <si>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</si>
  <si>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</si>
  <si>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</si>
  <si>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</si>
  <si>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</si>
  <si>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</si>
  <si>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</si>
  <si>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</si>
  <si>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</si>
  <si>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</si>
  <si>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</si>
  <si>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</si>
  <si>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</si>
  <si>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</si>
  <si>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</si>
  <si>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</si>
  <si>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</si>
  <si>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</si>
  <si>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</si>
  <si>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</si>
  <si>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</si>
  <si>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</si>
  <si>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</si>
  <si>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</si>
  <si>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</si>
  <si>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</si>
  <si>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</si>
  <si>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</si>
  <si>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</si>
  <si>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</si>
  <si>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</si>
  <si>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</si>
  <si>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</si>
  <si>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</si>
  <si>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</si>
  <si>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</si>
  <si>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</si>
  <si>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</si>
  <si>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</si>
  <si>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</si>
  <si>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</si>
  <si>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</si>
  <si>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</si>
  <si>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</si>
  <si>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</si>
  <si>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</si>
  <si>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</si>
  <si>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</si>
  <si>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</si>
  <si>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</si>
  <si>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</si>
  <si>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</si>
  <si>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</si>
  <si>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</si>
  <si>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</si>
  <si>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</si>
  <si>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</si>
  <si>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</si>
  <si>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</si>
  <si>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</si>
  <si>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</si>
  <si>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</si>
  <si>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</si>
  <si>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</si>
  <si>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</si>
  <si>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</si>
  <si>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</si>
  <si>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</si>
  <si>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</si>
  <si>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</si>
  <si>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</si>
  <si>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</si>
  <si>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</si>
  <si>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</si>
  <si>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</si>
  <si>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</si>
  <si>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</si>
  <si>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</si>
  <si>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</si>
  <si>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</si>
  <si>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</si>
  <si>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</si>
  <si>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</si>
  <si>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</si>
  <si>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</si>
  <si>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</si>
  <si>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</si>
  <si>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</si>
  <si>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</si>
  <si>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</si>
  <si>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</si>
  <si>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</si>
  <si>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</si>
  <si>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</si>
  <si>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</si>
  <si>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</si>
  <si>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</si>
  <si>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</si>
  <si>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</si>
  <si>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</si>
  <si>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</si>
  <si>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</si>
  <si>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</si>
  <si>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</si>
  <si>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</si>
  <si>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</si>
  <si>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</si>
  <si>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</si>
  <si>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</si>
  <si>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</si>
  <si>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</si>
  <si>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</si>
  <si>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</si>
  <si>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</si>
  <si>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</si>
  <si>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</si>
  <si>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</si>
  <si>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</si>
  <si>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</si>
  <si>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</si>
  <si>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</si>
  <si>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</si>
  <si>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</si>
  <si>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</si>
  <si>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</si>
  <si>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</si>
  <si>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</si>
  <si>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</si>
  <si>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</si>
  <si>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</si>
  <si>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</si>
  <si>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</si>
  <si>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</si>
  <si>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</si>
  <si>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</si>
  <si>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</si>
  <si>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</si>
  <si>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</si>
  <si>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</si>
  <si>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</si>
  <si>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</si>
  <si>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</si>
  <si>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</si>
  <si>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</si>
  <si>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</si>
  <si>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</si>
  <si>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</si>
  <si>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</si>
  <si>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</si>
  <si>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</si>
  <si>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</si>
  <si>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</si>
  <si>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</si>
  <si>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</si>
  <si>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</si>
  <si>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</si>
  <si>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</si>
  <si>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</si>
  <si>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</si>
  <si>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</si>
  <si>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</si>
  <si>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</si>
  <si>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</si>
  <si>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</si>
  <si>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</si>
  <si>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</si>
  <si>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</si>
  <si>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</si>
  <si>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</si>
  <si>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</si>
  <si>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</si>
  <si>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</si>
  <si>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</si>
  <si>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</si>
  <si>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</si>
  <si>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</si>
  <si>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</si>
  <si>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</si>
  <si>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</si>
  <si>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</si>
  <si>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</si>
  <si>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</si>
  <si>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</si>
  <si>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</si>
  <si>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</si>
  <si>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</si>
  <si>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</si>
  <si>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</si>
  <si>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</si>
  <si>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</si>
  <si>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</si>
  <si>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</si>
  <si>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</si>
  <si>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</si>
  <si>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</si>
  <si>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</si>
  <si>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</si>
  <si>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</si>
  <si>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</si>
  <si>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</si>
  <si>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</si>
  <si>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</si>
  <si>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</si>
  <si>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</si>
  <si>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</si>
  <si>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</si>
  <si>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</si>
  <si>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</si>
  <si>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</si>
  <si>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</si>
  <si>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</si>
  <si>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</si>
  <si>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</si>
  <si>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</si>
  <si>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</si>
  <si>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</si>
  <si>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</si>
  <si>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</si>
  <si>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</si>
  <si>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</si>
  <si>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</si>
  <si>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</si>
  <si>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</si>
  <si>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</si>
  <si>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</si>
  <si>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</si>
  <si>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</si>
  <si>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</si>
  <si>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</si>
  <si>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</si>
  <si>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</si>
  <si>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</si>
  <si>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</si>
  <si>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</si>
  <si>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</si>
  <si>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</si>
  <si>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</si>
  <si>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</si>
  <si>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</si>
  <si>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</si>
  <si>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</si>
  <si>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</si>
  <si>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</si>
  <si>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</si>
  <si>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</si>
  <si>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</si>
  <si>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</si>
  <si>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</si>
  <si>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</si>
  <si>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</si>
  <si>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</si>
  <si>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</si>
  <si>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</si>
  <si>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</si>
  <si>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</si>
  <si>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</si>
  <si>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</si>
  <si>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</si>
  <si>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</si>
  <si>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</si>
  <si>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</si>
  <si>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</si>
  <si>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</si>
  <si>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</si>
  <si>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</si>
  <si>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</si>
  <si>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</si>
  <si>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</si>
  <si>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</si>
  <si>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</si>
  <si>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</si>
  <si>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</si>
  <si>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</si>
  <si>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</si>
  <si>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</si>
  <si>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</si>
  <si>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</si>
  <si>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</si>
  <si>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</si>
  <si>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</si>
  <si>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</si>
  <si>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</si>
  <si>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</si>
  <si>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</si>
  <si>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</si>
  <si>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</si>
  <si>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</si>
  <si>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</si>
  <si>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</si>
  <si>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</si>
  <si>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</si>
  <si>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</si>
  <si>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</si>
  <si>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</si>
  <si>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</si>
  <si>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</si>
  <si>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</si>
  <si>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</si>
  <si>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</si>
  <si>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</si>
  <si>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</si>
  <si>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</si>
  <si>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</si>
  <si>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</si>
  <si>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</si>
  <si>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</si>
  <si>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</si>
  <si>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</si>
  <si>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</si>
  <si>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</si>
  <si>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</si>
  <si>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</si>
  <si>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</si>
  <si>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</si>
  <si>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</si>
  <si>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</si>
  <si>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</si>
  <si>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</si>
  <si>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</si>
  <si>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</si>
  <si>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</si>
  <si>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</si>
  <si>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</si>
  <si>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</si>
  <si>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</si>
  <si>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</si>
  <si>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</si>
  <si>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</si>
  <si>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</si>
  <si>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</si>
  <si>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</si>
  <si>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</si>
  <si>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</si>
  <si>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</si>
  <si>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</si>
  <si>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</si>
  <si>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</si>
  <si>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</si>
  <si>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Capex Incurred</t>
  </si>
  <si>
    <t>Other Operating Expenses (Opex)</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</si>
  <si>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</si>
  <si>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</si>
  <si>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</si>
  <si>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</si>
  <si>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</si>
  <si>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</si>
  <si>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</si>
  <si>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</si>
  <si>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</si>
  <si>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</si>
  <si>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</si>
  <si>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</si>
  <si>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</si>
  <si>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</si>
  <si>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FORMULA NEEDS CORRECTING i.e. currently says if there is a number in F169 report N/A?, I HAVE CORRECTED THE FORMULA IN D-F170</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</si>
  <si>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</si>
  <si>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</si>
  <si>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</si>
  <si>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</si>
  <si>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</si>
  <si>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</si>
  <si>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</si>
  <si>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</si>
  <si>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</si>
  <si>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</si>
  <si>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</si>
  <si>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</si>
  <si>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</si>
  <si>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</si>
  <si>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</si>
  <si>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</si>
  <si>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</si>
  <si>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</si>
  <si>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</si>
  <si>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</si>
  <si>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</si>
  <si>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</si>
  <si>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</si>
  <si>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</si>
  <si>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</si>
  <si>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</si>
  <si>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</si>
  <si>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Transmission or distribution allocation</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</si>
  <si>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</si>
  <si>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</si>
  <si>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</si>
  <si>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</si>
  <si>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</si>
  <si>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</si>
  <si>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</si>
  <si>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</si>
  <si>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</si>
  <si>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</si>
  <si>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</si>
  <si>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</si>
  <si>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</si>
  <si>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</si>
  <si>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</si>
  <si>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</si>
  <si>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</si>
  <si>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</si>
  <si>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</si>
  <si>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</si>
  <si>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</si>
  <si>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</si>
  <si>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</si>
  <si>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</si>
  <si>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</si>
  <si>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</si>
  <si>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</si>
  <si>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</si>
  <si>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</si>
  <si>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</si>
  <si>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</si>
  <si>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</si>
  <si>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</si>
  <si>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</si>
  <si>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</si>
  <si>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</si>
  <si>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</si>
  <si>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</si>
  <si>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</si>
  <si>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</si>
  <si>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</si>
  <si>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</si>
  <si>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</si>
  <si>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</si>
  <si>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</si>
  <si>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</si>
  <si>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</si>
  <si>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</si>
  <si>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</si>
  <si>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</si>
  <si>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</si>
  <si>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</si>
  <si>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</si>
  <si>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</si>
  <si>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</si>
  <si>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</si>
  <si>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</si>
  <si>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</si>
  <si>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</si>
  <si>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</si>
  <si>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</si>
  <si>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</si>
  <si>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</si>
  <si>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</si>
  <si>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</si>
  <si>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</si>
  <si>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</si>
  <si>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</si>
  <si>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</si>
  <si>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</si>
  <si>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</si>
  <si>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</si>
  <si>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</si>
  <si>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</si>
  <si>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</si>
  <si>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</si>
  <si>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</si>
  <si>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</si>
  <si>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</si>
  <si>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</si>
  <si>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</si>
  <si>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</si>
  <si>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</si>
  <si>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</si>
  <si>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</si>
  <si>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</si>
  <si>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</si>
  <si>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</si>
  <si>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</si>
  <si>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</si>
  <si>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</si>
  <si>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</si>
  <si>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</si>
  <si>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</si>
  <si>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</si>
  <si>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</si>
  <si>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</si>
  <si>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</si>
  <si>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</si>
  <si>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</si>
  <si>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</si>
  <si>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</si>
  <si>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Other Interest Received on Deposits</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</si>
  <si>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</si>
  <si>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</si>
  <si>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</si>
  <si>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</si>
  <si>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</si>
  <si>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</si>
  <si>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</si>
  <si>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</si>
  <si>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</si>
  <si>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</si>
  <si>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</si>
  <si>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</si>
  <si>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</si>
  <si>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</si>
  <si>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</si>
  <si>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</si>
  <si>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</si>
  <si>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</si>
  <si>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</si>
  <si>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</si>
  <si>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</si>
  <si>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</si>
  <si>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</si>
  <si>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</si>
  <si>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</si>
  <si>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</si>
  <si>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</si>
  <si>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</si>
  <si>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</si>
  <si>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RCF Commitment Fees</t>
  </si>
  <si>
    <t>Less finance costs relating to other three networks</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</si>
  <si>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</si>
  <si>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</si>
  <si>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</si>
  <si>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</si>
  <si>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</si>
  <si>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</si>
  <si>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</si>
  <si>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</si>
  <si>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</si>
  <si>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</si>
  <si>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</si>
  <si>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</si>
  <si>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</si>
  <si>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</si>
  <si>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</si>
  <si>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</si>
  <si>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</si>
  <si>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</si>
  <si>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</si>
  <si>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</si>
  <si>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</si>
  <si>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</si>
  <si>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</si>
  <si>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</si>
  <si>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</si>
  <si>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</si>
  <si>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</si>
  <si>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</si>
  <si>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</si>
  <si>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</si>
  <si>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</si>
  <si>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</si>
  <si>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</si>
  <si>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</si>
  <si>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</si>
  <si>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</si>
  <si>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</si>
  <si>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</si>
  <si>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</si>
  <si>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</si>
  <si>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</si>
  <si>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</si>
  <si>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8. [Insert adjustment as necessary]</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</si>
  <si>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</si>
  <si>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</si>
  <si>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</si>
  <si>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</si>
  <si>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</si>
  <si>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</si>
  <si>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</si>
  <si>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</si>
  <si>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</si>
  <si>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</si>
  <si>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</si>
  <si>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</si>
  <si>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</si>
  <si>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</si>
  <si>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</si>
  <si>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</si>
  <si>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</si>
  <si>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</si>
  <si>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</si>
  <si>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</si>
  <si>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</si>
  <si>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</si>
  <si>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</si>
  <si>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</si>
  <si>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</si>
  <si>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</si>
  <si>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</si>
  <si>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</si>
  <si>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</si>
  <si>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</si>
  <si>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</si>
  <si>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</si>
  <si>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</si>
  <si>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</si>
  <si>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</si>
  <si>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</si>
  <si>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</si>
  <si>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</si>
  <si>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Discounts (premiums) for fixed rate debt</t>
  </si>
  <si>
    <t>11. [Insert adjustment as necessary]</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</si>
  <si>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</si>
  <si>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</si>
  <si>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</si>
  <si>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</si>
  <si>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</si>
  <si>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</si>
  <si>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</si>
  <si>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</si>
  <si>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</si>
  <si>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</si>
  <si>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</si>
  <si>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</si>
  <si>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</si>
  <si>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</si>
  <si>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</si>
  <si>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</si>
  <si>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</si>
  <si>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</si>
  <si>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</si>
  <si>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</si>
  <si>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Return&amp;RAV AP16</t>
  </si>
  <si>
    <t>Opening RAV (before transfers)</t>
  </si>
  <si>
    <t>Return&amp;RAV AP39</t>
  </si>
  <si>
    <t>Transfers</t>
  </si>
  <si>
    <t>Blank last year</t>
  </si>
  <si>
    <t>Opening RAV (after transfers)</t>
  </si>
  <si>
    <t>Net additions (after disposals)</t>
  </si>
  <si>
    <t>Return&amp;RAV AP42</t>
  </si>
  <si>
    <t>Net additions (after disposals) - enduring value adjustment</t>
  </si>
  <si>
    <t>Total Net Additions</t>
  </si>
  <si>
    <t>Depreciation</t>
  </si>
  <si>
    <t>Return&amp;RAV AP43</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</si>
  <si>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</si>
  <si>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</si>
  <si>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</si>
  <si>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</si>
  <si>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</si>
  <si>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</si>
  <si>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</si>
  <si>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</si>
  <si>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</si>
  <si>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</si>
  <si>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</si>
  <si>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</si>
  <si>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</si>
  <si>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</si>
  <si>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</si>
  <si>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</si>
  <si>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</si>
  <si>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</si>
  <si>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</si>
  <si>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</si>
  <si>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</si>
  <si>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</si>
  <si>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</si>
  <si>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</si>
  <si>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</si>
  <si>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</si>
  <si>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</si>
  <si>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</si>
  <si>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Other adjustments</t>
  </si>
  <si>
    <t>Tax on Other Revenue Allowances - Innovation and Incentives only</t>
  </si>
  <si>
    <t>Collected revenue adjustment ('k')</t>
  </si>
  <si>
    <t>Pension - timing adjustment</t>
  </si>
  <si>
    <t>Pension - disallowed contributions</t>
  </si>
  <si>
    <t>Tax on derivatives not disregarded</t>
  </si>
  <si>
    <t>Adjusted regulated tax liability in respect of other 3 Networks</t>
  </si>
  <si>
    <t>Tax on finance costs not included within RIIO 2 definition</t>
  </si>
  <si>
    <t>Legacy allowed revenue</t>
  </si>
  <si>
    <t>Theft of gas and bad debts</t>
  </si>
  <si>
    <t>Provisions - cash basis</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</si>
  <si>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</si>
  <si>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</si>
  <si>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</si>
  <si>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</si>
  <si>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</si>
  <si>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</si>
  <si>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</si>
  <si>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</si>
  <si>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</si>
  <si>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</si>
  <si>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</si>
  <si>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</si>
  <si>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</si>
  <si>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</si>
  <si>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</si>
  <si>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</si>
  <si>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</si>
  <si>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</si>
  <si>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</si>
  <si>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</si>
  <si>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</si>
  <si>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</si>
  <si>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</si>
  <si>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</si>
  <si>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</si>
  <si>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</si>
  <si>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</si>
  <si>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</si>
  <si>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</si>
  <si>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</si>
  <si>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</si>
  <si>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</si>
  <si>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</si>
  <si>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</si>
  <si>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</si>
  <si>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</si>
  <si>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</si>
  <si>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</si>
  <si>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</si>
  <si>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</si>
  <si>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</si>
  <si>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</si>
  <si>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</si>
  <si>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</si>
  <si>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 xml:space="preserve"> - [insert rows as required]</t>
  </si>
  <si>
    <t>Profit/ (Loss) before taxation per accounts</t>
  </si>
  <si>
    <t xml:space="preserve">Tax Base (before Capital Allowances) </t>
  </si>
  <si>
    <t>REGULATORY ADJUSTMENTS</t>
  </si>
  <si>
    <t xml:space="preserve">Non regulated activity - adjustments for non regulatory </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</si>
  <si>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</si>
  <si>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</si>
  <si>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</si>
  <si>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</si>
  <si>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</si>
  <si>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</si>
  <si>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</si>
  <si>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</si>
  <si>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</si>
  <si>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</si>
  <si>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</si>
  <si>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</si>
  <si>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</si>
  <si>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</si>
  <si>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</si>
  <si>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</si>
  <si>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</si>
  <si>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</si>
  <si>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</si>
  <si>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</si>
  <si>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</si>
  <si>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</si>
  <si>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</si>
  <si>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</si>
  <si>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</si>
  <si>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</si>
  <si>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</si>
  <si>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</si>
  <si>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</si>
  <si>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</si>
  <si>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</si>
  <si>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</si>
  <si>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</si>
  <si>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</si>
  <si>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</si>
  <si>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</si>
  <si>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</si>
  <si>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</si>
  <si>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</si>
  <si>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</si>
  <si>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 (pre group relief)</t>
  </si>
  <si>
    <t>Profits attributable to Corporation Tax after tax losses (pre-group relief)</t>
  </si>
  <si>
    <t>Actual Corporation Tax Liability  (pre group relief)</t>
  </si>
  <si>
    <t>Calculated Tax Allowance (pre-group relief)</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</si>
  <si>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</si>
  <si>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</si>
  <si>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</si>
  <si>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</si>
  <si>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</si>
  <si>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</si>
  <si>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[Insert adjustment as necessary]</t>
  </si>
  <si>
    <t>[Insert new rows here as necessary]</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</si>
  <si>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</si>
  <si>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</si>
  <si>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</si>
  <si>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</si>
  <si>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</si>
  <si>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</si>
  <si>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</si>
  <si>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</si>
  <si>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</si>
  <si>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</si>
  <si>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</si>
  <si>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</si>
  <si>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Fixed Pay</t>
  </si>
  <si>
    <t>Salary</t>
  </si>
  <si>
    <t>Bonus</t>
  </si>
  <si>
    <t>Benefits</t>
  </si>
  <si>
    <t>Pension</t>
  </si>
  <si>
    <t>Total Fixed Pay</t>
  </si>
  <si>
    <t>Allocation to Regulated Business</t>
  </si>
  <si>
    <t>Variable Pay</t>
  </si>
  <si>
    <t>Incentives</t>
  </si>
  <si>
    <t>Performance related Pay - STIP</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</si>
  <si>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</si>
  <si>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</si>
  <si>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</si>
  <si>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</si>
  <si>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</si>
  <si>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</si>
  <si>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</si>
  <si>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</si>
  <si>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</si>
  <si>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</si>
  <si>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</si>
  <si>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</si>
  <si>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</si>
  <si>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</si>
  <si>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</si>
  <si>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</si>
  <si>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</si>
  <si>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</si>
  <si>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</si>
  <si>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</si>
  <si>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</si>
  <si>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</si>
  <si>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</si>
  <si>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</si>
  <si>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</si>
  <si>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</si>
  <si>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</si>
  <si>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</si>
  <si>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</si>
  <si>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</si>
  <si>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</si>
  <si>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</si>
  <si>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</si>
  <si>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</si>
  <si>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Manual adjustemnt for pensions credit not included in RRP</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</si>
  <si>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</si>
  <si>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</si>
  <si>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</si>
  <si>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</si>
  <si>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</si>
  <si>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</si>
  <si>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</si>
  <si>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</si>
  <si>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</si>
  <si>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</si>
  <si>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</si>
  <si>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</si>
  <si>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</si>
  <si>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</si>
  <si>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</si>
  <si>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</si>
  <si>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</si>
  <si>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</si>
  <si>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</si>
  <si>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</si>
  <si>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</si>
  <si>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</si>
  <si>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</si>
  <si>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</si>
  <si>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</si>
  <si>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</si>
  <si>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</si>
  <si>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</si>
  <si>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</si>
  <si>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</si>
  <si>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</si>
  <si>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</si>
  <si>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</si>
  <si>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</si>
  <si>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</si>
  <si>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</si>
  <si>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</si>
  <si>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</si>
  <si>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</si>
  <si>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</si>
  <si>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</si>
  <si>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</si>
  <si>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</si>
  <si>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</si>
  <si>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</si>
  <si>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</si>
  <si>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</si>
  <si>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</si>
  <si>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</si>
  <si>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</si>
  <si>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Different regulatory treatment of costs</t>
  </si>
  <si>
    <t>Land remediation</t>
  </si>
  <si>
    <t>21/22</t>
  </si>
  <si>
    <t>Other capital allowances adjustments</t>
  </si>
  <si>
    <t>Profit impact of deadband</t>
  </si>
  <si>
    <t>Accruals and small differences</t>
  </si>
  <si>
    <t xml:space="preserve">The difference of £1,729.3m is explained by:
Revenue not in PCFM of other 3 networks £1,728.9m
SoLR costs of -£85.8m were reclassed to revenue in the statutory accounts to match with the SoLR revenue
Timing differences on revenue collection of £79.4m
Other excluded services of £6.4m
Other adjustments of £0.4m
</t>
  </si>
  <si>
    <t>The difference between the opex in the CT600 and the revenue pool in the PCFM is £654.7m which is explained by:
Costs not in PCFM being other 3 Networks totalling £727.0m 
SoLR costs of -£85.2m were reclassed to revenue in the statutory accounts to match with the SoLR revenue.
Excluded costs of £31.9m
Adjustments for costs which have a different tax treatment in the PCFM total -£22.2m. 
There have been adjustments to remove the incremental element of established deficit payment of £8.8m and to recognise the pension scheme established deficit repair of -£5.1m.
Other small differences of -£0.5m</t>
  </si>
  <si>
    <t>The difference of £113.9m is explained by:
Interest relating to the other 3 networks of £300.4m
Adjustments for regulatory purposes also adjusted in tax comp of -£186.7m
Other regulatory adjustments on table R5 (finance costs not included in Riio2 definition)  -£4.2m
Difference between notional and actual interest costs of £6.9m
Adjustment for IFRS16 lease interest -£2.1m
Other small differences of - £0.3m</t>
  </si>
  <si>
    <t>There are different treatments for pensions between regulatory and statutory. Adjustments in the CT600 relate to deficit payments and pension strain and capitalised pensions. The regulatory adjustments for pensions are shown in the opex explanation above.  Overall at the Cadent level the difference was £23.3m tax £4.4m</t>
  </si>
  <si>
    <t>Depreciation is excluded from both CT600 and tax allowance</t>
  </si>
  <si>
    <t>Amortisation is excluded from both CT600 and tax allowance</t>
  </si>
  <si>
    <t>£50.8m relates to other three Networks capital allowances. £14.2m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</si>
  <si>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Capital contributions are netted of capex for regulatory purposes so there is no contributions amortisation. In the CT 600 contributions are also netted of capex and so there is an adjustment made for the capex contributions amortisation to exclude it from taxable profits.</t>
  </si>
  <si>
    <t>Total adjustment with row 62 above is £13.7m re capital contributions in revenue. These are excluded from tax allowance as part of excluded services in the explanation of revenue differences above and the revenue adjustments in the other 3 Networks.</t>
  </si>
  <si>
    <t xml:space="preserve"> - Income adjustments (capital contributions)</t>
  </si>
  <si>
    <t xml:space="preserve"> - Income adjustments (non-qualifying capital contributions)</t>
  </si>
  <si>
    <t>- Capital items expensed (qualifying capital contributions)</t>
  </si>
  <si>
    <t xml:space="preserve"> - R&amp;D expenditure credit under s104A CTA 2009</t>
  </si>
  <si>
    <t xml:space="preserve"> - Timing accruals etc</t>
  </si>
  <si>
    <t xml:space="preserve"> - LR additional 50%</t>
  </si>
  <si>
    <t xml:space="preserve"> - R&amp;D acs</t>
  </si>
  <si>
    <t>Taken together with the difference of £16.7m on the intangible fixed asset the total difference is £104.4m. £49.0m related to other 3 Networks capital allowances. The balance of £55.4m arises due to the super deduction and other differences of treatment of expenditure for regulatory purposes</t>
  </si>
  <si>
    <t>£52.7m related to other 3 Networks capital allowances. The balance of £70.9m arises due to the superdeduction and other differences of treatment of expenditure for regulatory purposes</t>
  </si>
  <si>
    <t xml:space="preserve">There is no pool for intangible assets as it has been agreed that intangible fixed asset expenditure would be included in the general pool. The difference of £16.7m is included in the general pool explanation. </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</si>
  <si>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</si>
  <si>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</si>
  <si>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 xml:space="preserve"> - Annual Investment allowance</t>
  </si>
  <si>
    <t>The formula is wrong this should be positive as it is a reduction of the tax allowance not in the CT600. This is to reduce allowances for the FYAs in the year adjusted through the tax trigger.</t>
  </si>
  <si>
    <t>- Discount unwind</t>
  </si>
  <si>
    <t xml:space="preserve"> - Income adjustments (Pension interest)</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</si>
  <si>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</si>
  <si>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</si>
  <si>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</si>
  <si>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</si>
  <si>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</si>
  <si>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</si>
  <si>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Depreciation and Amortisation</t>
  </si>
  <si>
    <t>Other Operational Costs Incurred</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</si>
  <si>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</si>
  <si>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</si>
  <si>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</si>
  <si>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</si>
  <si>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</si>
  <si>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</si>
  <si>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</si>
  <si>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</si>
  <si>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</si>
  <si>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</si>
  <si>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</si>
  <si>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</si>
  <si>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</si>
  <si>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</si>
  <si>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Remove expensed repex</t>
  </si>
  <si>
    <t>NRMP Capex (capex adj)</t>
  </si>
  <si>
    <t>Xoserve amortisation (capex adj)</t>
  </si>
  <si>
    <t>Rounding across networks</t>
  </si>
  <si>
    <t>Transportation debt adj</t>
  </si>
  <si>
    <t>Total expenditure relating to other networks</t>
  </si>
  <si>
    <t>Connections income</t>
  </si>
  <si>
    <t>IFRS 16 Additions</t>
  </si>
  <si>
    <t>NIA Optinet</t>
  </si>
  <si>
    <t>Add expensed repex</t>
  </si>
  <si>
    <t>total capex expenditure relating to other networks</t>
  </si>
  <si>
    <t>Shrinkage</t>
  </si>
  <si>
    <t>Ofgem Licence</t>
  </si>
  <si>
    <t>Network Rates</t>
  </si>
  <si>
    <t>NTS exit costs</t>
  </si>
  <si>
    <t>Xoserve</t>
  </si>
  <si>
    <t>Network Innovation (ex IRM)</t>
  </si>
  <si>
    <t>Unfunded Network Innovation</t>
  </si>
  <si>
    <t>65:1</t>
  </si>
  <si>
    <t>49:1</t>
  </si>
  <si>
    <t>38:1</t>
  </si>
  <si>
    <t>6. Unamortised Fees</t>
  </si>
  <si>
    <t>7. Net debt relating to other three networks</t>
  </si>
  <si>
    <t>Term Loan, Letter of Credit &amp; RCF Fees</t>
  </si>
  <si>
    <t>Debt Fees</t>
  </si>
  <si>
    <t>Derivatives not designated as hedges or ineligible for hedge accounting</t>
  </si>
  <si>
    <t>Other interest Expense</t>
  </si>
  <si>
    <t>RCF Interest</t>
  </si>
  <si>
    <t>Timing/ Calculation variance</t>
  </si>
  <si>
    <t>Fair Value Adjustment</t>
  </si>
  <si>
    <t>Less: Unwind of discount</t>
  </si>
  <si>
    <t>Less: Term Debt / Letter of Credit / RCF Fees</t>
  </si>
  <si>
    <t xml:space="preserve">losses/(gains) on derivative financial instruments </t>
  </si>
  <si>
    <t>Economic cost of changing capital structure in FY16/17</t>
  </si>
  <si>
    <t>Less debt issuance costs relating to other three networks</t>
  </si>
  <si>
    <t>ILS accretion</t>
  </si>
  <si>
    <t>Finance leases</t>
  </si>
  <si>
    <t>Ultimate sterling liability on CCX</t>
  </si>
  <si>
    <t>Net debt relating to other three networks</t>
  </si>
  <si>
    <t/>
  </si>
  <si>
    <t>Actuals</t>
  </si>
  <si>
    <t>Forecast</t>
  </si>
  <si>
    <t>Cumulative to 2024</t>
  </si>
  <si>
    <t>2021/22</t>
  </si>
  <si>
    <t>2022/23</t>
  </si>
  <si>
    <t>2023/24</t>
  </si>
  <si>
    <t>2024/25</t>
  </si>
  <si>
    <t>2025/26</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</si>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</sst>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59" formatCode="0.0000%"/>
    <numFmt numFmtId="361" formatCode="#,##0.00_);\(#,##0.00\);\-_)"/>
    <numFmt numFmtId="362" formatCode="#,##0.00%_);\(#,##0.00%\);\-_)"/>
    <numFmt numFmtId="363" formatCode="yyyy/mm"/>
    <numFmt numFmtId="364" formatCode="0.0000"/>
  </numFmts>
  <fonts count="300">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
      <sz val="10"/>
      <color rgb="FF000000"/>
      <name val="Verdana"/>
      <family val="2"/>
    </font>
    <font>
      <i/>
      <sz val="11"/>
      <color theme="1"/>
      <name val="Calibri"/>
      <family val="2"/>
      <scheme val="minor"/>
    </font>
  </fonts>
  <fills count="144">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mediumGray">
        <bgColor indexed="26"/>
      </patternFill>
    </fill>
    <fill>
      <patternFill patternType="solid">
        <fgColor rgb="FFFFFF00"/>
        <bgColor indexed="64"/>
      </patternFill>
    </fill>
    <fill>
      <patternFill patternType="solid">
        <fgColor theme="5" tint="0.59999389629810485"/>
        <bgColor indexed="64"/>
      </patternFill>
    </fill>
    <fill>
      <patternFill patternType="solid">
        <fgColor rgb="FFFFFFCC"/>
        <bgColor rgb="FF000000"/>
      </patternFill>
    </fill>
  </fills>
  <borders count="21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7">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72" fontId="8" fillId="43" borderId="26">
      <alignment vertical="center"/>
    </xf>
    <xf numFmtId="0" fontId="11" fillId="0" borderId="0"/>
    <xf numFmtId="0" fontId="13" fillId="0" borderId="0"/>
    <xf numFmtId="172" fontId="8" fillId="3" borderId="26">
      <alignment vertical="center"/>
      <protection locked="0"/>
    </xf>
    <xf numFmtId="0" fontId="13" fillId="0" borderId="0"/>
    <xf numFmtId="0" fontId="29" fillId="0" borderId="0"/>
    <xf numFmtId="173" fontId="261"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4"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4"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4"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9" fontId="8" fillId="0" borderId="0" applyFont="0" applyFill="0" applyBorder="0" applyAlignment="0" applyProtection="0"/>
    <xf numFmtId="349" fontId="54" fillId="30" borderId="127" applyNumberFormat="0" applyProtection="0">
      <alignment horizontal="left" vertical="top" indent="1"/>
    </xf>
    <xf numFmtId="169"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4"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9"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27"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4"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4"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9"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9"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9"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9"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9"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9"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4"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4"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4"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9"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4"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9" fontId="13" fillId="0" borderId="0" applyFont="0" applyFill="0" applyBorder="0" applyAlignment="0" applyProtection="0"/>
    <xf numFmtId="4" fontId="54" fillId="23" borderId="122" applyNumberFormat="0" applyProtection="0">
      <alignment horizontal="right" vertical="center"/>
    </xf>
    <xf numFmtId="169"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4"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4"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9"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4"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4"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9"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9"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1416">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0" fontId="254" fillId="0" borderId="0" xfId="85" applyFont="1" applyProtection="1">
      <protection locked="0"/>
    </xf>
    <xf numFmtId="177" fontId="11" fillId="38" borderId="102" xfId="1" applyNumberFormat="1" applyFont="1" applyFill="1" applyBorder="1" applyProtection="1"/>
    <xf numFmtId="9" fontId="8" fillId="43" borderId="65" xfId="77" applyFill="1" applyBorder="1" applyAlignment="1" applyProtection="1">
      <alignment vertical="center"/>
    </xf>
    <xf numFmtId="9" fontId="8" fillId="43" borderId="66" xfId="77" applyFill="1" applyBorder="1" applyAlignment="1" applyProtection="1">
      <alignment vertical="center"/>
    </xf>
    <xf numFmtId="9" fontId="8" fillId="43" borderId="92" xfId="77" applyFill="1" applyBorder="1" applyAlignment="1" applyProtection="1">
      <alignment vertical="center"/>
    </xf>
    <xf numFmtId="9" fontId="8" fillId="43" borderId="114" xfId="77" applyFill="1" applyBorder="1" applyAlignment="1" applyProtection="1">
      <alignment vertical="center"/>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20"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177"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172"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3" fontId="11" fillId="0" borderId="98"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173"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100" xfId="0" applyNumberFormat="1" applyBorder="1"/>
    <xf numFmtId="178"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7" fontId="11" fillId="38" borderId="135" xfId="1" applyNumberFormat="1" applyFont="1" applyFill="1" applyBorder="1" applyProtection="1"/>
    <xf numFmtId="177" fontId="11" fillId="38" borderId="136" xfId="1" applyNumberFormat="1" applyFont="1" applyFill="1" applyBorder="1" applyProtection="1"/>
    <xf numFmtId="177" fontId="11" fillId="38" borderId="137" xfId="1" applyNumberFormat="1" applyFont="1" applyFill="1" applyBorder="1" applyProtection="1"/>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7" fontId="11" fillId="38" borderId="76" xfId="1" applyNumberFormat="1" applyFont="1" applyFill="1" applyBorder="1" applyProtection="1"/>
    <xf numFmtId="177" fontId="12" fillId="38" borderId="139" xfId="1" applyNumberFormat="1" applyFont="1" applyFill="1" applyBorder="1" applyProtection="1"/>
    <xf numFmtId="177" fontId="12" fillId="38" borderId="140" xfId="1" applyNumberFormat="1" applyFont="1" applyFill="1" applyBorder="1" applyProtection="1"/>
    <xf numFmtId="177" fontId="12" fillId="38" borderId="141" xfId="1" applyNumberFormat="1" applyFont="1" applyFill="1" applyBorder="1" applyProtection="1"/>
    <xf numFmtId="0" fontId="0" fillId="0" borderId="142" xfId="0" applyBorder="1"/>
    <xf numFmtId="175" fontId="12" fillId="38" borderId="139" xfId="77" applyNumberFormat="1" applyFont="1" applyFill="1" applyBorder="1" applyProtection="1"/>
    <xf numFmtId="175" fontId="12" fillId="38" borderId="141" xfId="77" applyNumberFormat="1" applyFont="1" applyFill="1" applyBorder="1" applyProtection="1"/>
    <xf numFmtId="175" fontId="12" fillId="38" borderId="140" xfId="77" applyNumberFormat="1" applyFont="1" applyFill="1" applyBorder="1" applyProtection="1"/>
    <xf numFmtId="175" fontId="11" fillId="38" borderId="77" xfId="77" applyNumberFormat="1" applyFont="1" applyFill="1" applyBorder="1" applyProtection="1"/>
    <xf numFmtId="175" fontId="12" fillId="38" borderId="143"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42" xfId="0" applyNumberFormat="1" applyBorder="1" applyAlignment="1">
      <alignment horizontal="right" indent="1"/>
    </xf>
    <xf numFmtId="178" fontId="0" fillId="117" borderId="86" xfId="0" applyNumberFormat="1" applyFill="1" applyBorder="1" applyAlignment="1">
      <alignment horizontal="right" indent="1"/>
    </xf>
    <xf numFmtId="10" fontId="0" fillId="0" borderId="145" xfId="0" applyNumberFormat="1" applyBorder="1"/>
    <xf numFmtId="1" fontId="9" fillId="53" borderId="148" xfId="0" applyNumberFormat="1" applyFont="1" applyFill="1" applyBorder="1" applyAlignment="1">
      <alignment horizontal="center" vertical="center"/>
    </xf>
    <xf numFmtId="1" fontId="9" fillId="53" borderId="149" xfId="0" applyNumberFormat="1" applyFont="1" applyFill="1" applyBorder="1" applyAlignment="1">
      <alignment horizontal="center" vertical="center"/>
    </xf>
    <xf numFmtId="178" fontId="0" fillId="117" borderId="151" xfId="0" applyNumberFormat="1" applyFill="1" applyBorder="1" applyAlignment="1">
      <alignment horizontal="right" indent="1"/>
    </xf>
    <xf numFmtId="10" fontId="0" fillId="0" borderId="152" xfId="0" applyNumberFormat="1" applyBorder="1"/>
    <xf numFmtId="3" fontId="11" fillId="0" borderId="150" xfId="89" applyNumberFormat="1" applyFont="1" applyBorder="1" applyAlignment="1">
      <alignment horizontal="left" indent="1"/>
    </xf>
    <xf numFmtId="0" fontId="0" fillId="0" borderId="151" xfId="0" applyBorder="1" applyAlignment="1">
      <alignment horizontal="center"/>
    </xf>
    <xf numFmtId="3" fontId="11" fillId="0" borderId="144" xfId="89" applyNumberFormat="1" applyFont="1" applyBorder="1" applyAlignment="1">
      <alignment horizontal="left" indent="1"/>
    </xf>
    <xf numFmtId="3" fontId="11" fillId="0" borderId="154" xfId="89" applyNumberFormat="1" applyFont="1" applyBorder="1" applyAlignment="1">
      <alignment horizontal="left" indent="1"/>
    </xf>
    <xf numFmtId="0" fontId="0" fillId="0" borderId="146" xfId="0" applyBorder="1" applyAlignment="1">
      <alignment horizontal="center"/>
    </xf>
    <xf numFmtId="0" fontId="11" fillId="0" borderId="147" xfId="7" applyFont="1" applyBorder="1" applyAlignment="1">
      <alignment horizontal="left" indent="1"/>
    </xf>
    <xf numFmtId="10" fontId="0" fillId="0" borderId="156" xfId="0" applyNumberFormat="1" applyBorder="1"/>
    <xf numFmtId="0" fontId="0" fillId="0" borderId="149" xfId="0" applyBorder="1"/>
    <xf numFmtId="0" fontId="0" fillId="0" borderId="157" xfId="0" applyBorder="1"/>
    <xf numFmtId="0" fontId="0" fillId="0" borderId="158" xfId="0" applyBorder="1" applyAlignment="1">
      <alignment horizontal="center" vertical="center" wrapText="1"/>
    </xf>
    <xf numFmtId="0" fontId="11" fillId="0" borderId="159"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2" fontId="11" fillId="3" borderId="6" xfId="85" applyNumberFormat="1" applyFont="1" applyFill="1" applyBorder="1" applyProtection="1">
      <protection locked="0"/>
    </xf>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7" fontId="12" fillId="51" borderId="139"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66" xfId="90" applyFont="1" applyFill="1" applyBorder="1" applyAlignment="1">
      <alignment horizontal="left"/>
    </xf>
    <xf numFmtId="0" fontId="271"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245" fillId="46" borderId="0" xfId="48239" applyFont="1" applyFill="1" applyAlignment="1">
      <alignment horizontal="center" vertical="top" wrapText="1"/>
    </xf>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0" fontId="2" fillId="0" borderId="0" xfId="51698"/>
    <xf numFmtId="0" fontId="8" fillId="0" borderId="0" xfId="51698" applyFont="1"/>
    <xf numFmtId="0" fontId="0" fillId="0" borderId="180" xfId="0" applyBorder="1"/>
    <xf numFmtId="0" fontId="0" fillId="0" borderId="89" xfId="0" applyBorder="1"/>
    <xf numFmtId="0" fontId="0" fillId="0" borderId="90" xfId="0" applyBorder="1"/>
    <xf numFmtId="0" fontId="295" fillId="137" borderId="0" xfId="51698" applyFont="1" applyFill="1"/>
    <xf numFmtId="0" fontId="293" fillId="47" borderId="0" xfId="51698" applyFont="1" applyFill="1"/>
    <xf numFmtId="0" fontId="294" fillId="47" borderId="0" xfId="51698" applyFont="1" applyFill="1"/>
    <xf numFmtId="0" fontId="293" fillId="47" borderId="142" xfId="51698" applyFont="1" applyFill="1" applyBorder="1"/>
    <xf numFmtId="0" fontId="294" fillId="47" borderId="142" xfId="51698" applyFont="1" applyFill="1" applyBorder="1"/>
    <xf numFmtId="0" fontId="294" fillId="47" borderId="11" xfId="51698" applyFont="1" applyFill="1" applyBorder="1"/>
    <xf numFmtId="0" fontId="294" fillId="47" borderId="90" xfId="51698" applyFont="1" applyFill="1" applyBorder="1"/>
    <xf numFmtId="0" fontId="0" fillId="101" borderId="0" xfId="0" applyFill="1"/>
    <xf numFmtId="0" fontId="9" fillId="53" borderId="177" xfId="0" applyFont="1" applyFill="1" applyBorder="1" applyAlignment="1">
      <alignment wrapText="1"/>
    </xf>
    <xf numFmtId="0" fontId="9" fillId="53" borderId="178" xfId="0" applyFont="1" applyFill="1" applyBorder="1" applyAlignment="1">
      <alignment wrapText="1"/>
    </xf>
    <xf numFmtId="14" fontId="9" fillId="53" borderId="177" xfId="0" applyNumberFormat="1" applyFont="1" applyFill="1" applyBorder="1" applyAlignment="1">
      <alignment wrapText="1"/>
    </xf>
    <xf numFmtId="355" fontId="9" fillId="53" borderId="177" xfId="77" applyNumberFormat="1" applyFont="1" applyFill="1" applyBorder="1" applyAlignment="1">
      <alignment wrapText="1"/>
    </xf>
    <xf numFmtId="0" fontId="9" fillId="53" borderId="181" xfId="0" applyFont="1" applyFill="1" applyBorder="1" applyAlignment="1">
      <alignment wrapText="1"/>
    </xf>
    <xf numFmtId="0" fontId="251" fillId="0" borderId="0" xfId="78" applyFont="1" applyProtection="1">
      <protection locked="0"/>
    </xf>
    <xf numFmtId="0" fontId="249" fillId="0" borderId="0" xfId="79" applyFont="1" applyAlignment="1" applyProtection="1">
      <alignment horizontal="left"/>
      <protection locked="0"/>
    </xf>
    <xf numFmtId="0" fontId="0" fillId="0" borderId="6" xfId="0" applyBorder="1" applyAlignment="1">
      <alignment vertical="center" wrapText="1"/>
    </xf>
    <xf numFmtId="15" fontId="245" fillId="46" borderId="179" xfId="48239" applyNumberFormat="1" applyFont="1" applyFill="1" applyBorder="1" applyAlignment="1">
      <alignment horizontal="center" vertical="top" wrapText="1"/>
    </xf>
    <xf numFmtId="0" fontId="245" fillId="46" borderId="179" xfId="48239" applyFont="1" applyFill="1" applyBorder="1" applyAlignment="1">
      <alignment vertical="top" wrapText="1"/>
    </xf>
    <xf numFmtId="0" fontId="245" fillId="46" borderId="179" xfId="48239"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34" xfId="0" applyNumberFormat="1" applyBorder="1" applyAlignment="1">
      <alignment horizontal="center" vertical="center"/>
    </xf>
    <xf numFmtId="172" fontId="11" fillId="0" borderId="0" xfId="85" applyNumberFormat="1" applyFont="1" applyProtection="1">
      <protection locked="0"/>
    </xf>
    <xf numFmtId="172" fontId="11" fillId="0" borderId="107" xfId="85" applyNumberFormat="1" applyFont="1" applyBorder="1" applyProtection="1">
      <protection locked="0"/>
    </xf>
    <xf numFmtId="172"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9" borderId="6" xfId="89" applyNumberFormat="1" applyFont="1" applyFill="1" applyBorder="1" applyAlignment="1">
      <alignment horizontal="left" indent="1"/>
    </xf>
    <xf numFmtId="184" fontId="11" fillId="139"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90" fillId="0" borderId="0" xfId="0" applyFont="1"/>
    <xf numFmtId="0" fontId="290" fillId="0" borderId="0" xfId="0" applyFont="1" applyAlignment="1">
      <alignment horizontal="left" indent="1"/>
    </xf>
    <xf numFmtId="178"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72" fillId="47" borderId="180" xfId="90" applyFont="1" applyFill="1" applyBorder="1" applyAlignment="1">
      <alignment horizontal="left"/>
    </xf>
    <xf numFmtId="0" fontId="0" fillId="52" borderId="180" xfId="0" applyFill="1" applyBorder="1" applyAlignment="1">
      <alignment horizontal="center" wrapText="1"/>
    </xf>
    <xf numFmtId="169" fontId="248" fillId="0" borderId="0" xfId="0" applyNumberFormat="1" applyFont="1"/>
    <xf numFmtId="9" fontId="8" fillId="43" borderId="86" xfId="77" applyFill="1" applyBorder="1" applyAlignment="1" applyProtection="1">
      <alignment vertical="center"/>
    </xf>
    <xf numFmtId="0" fontId="254" fillId="0" borderId="185" xfId="85" applyFont="1" applyBorder="1" applyProtection="1">
      <protection locked="0"/>
    </xf>
    <xf numFmtId="9" fontId="8" fillId="43" borderId="187" xfId="77" applyFill="1" applyBorder="1" applyAlignment="1" applyProtection="1">
      <alignment vertical="center"/>
    </xf>
    <xf numFmtId="0" fontId="271" fillId="47" borderId="130" xfId="0" applyFont="1" applyFill="1" applyBorder="1" applyAlignment="1">
      <alignment wrapText="1"/>
    </xf>
    <xf numFmtId="0" fontId="0" fillId="52" borderId="130" xfId="0" applyFill="1" applyBorder="1"/>
    <xf numFmtId="0" fontId="0" fillId="0" borderId="130" xfId="0" applyBorder="1" applyAlignment="1" applyProtection="1">
      <alignment horizontal="center" vertical="center"/>
      <protection locked="0"/>
    </xf>
    <xf numFmtId="0" fontId="272" fillId="47" borderId="166"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80"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indent="1"/>
    </xf>
    <xf numFmtId="0" fontId="272" fillId="47" borderId="130" xfId="90" applyFont="1" applyFill="1" applyBorder="1" applyAlignment="1">
      <alignment horizontal="left"/>
    </xf>
    <xf numFmtId="0" fontId="31" fillId="47" borderId="130" xfId="90" applyFont="1" applyFill="1" applyBorder="1" applyAlignment="1">
      <alignment horizontal="left"/>
    </xf>
    <xf numFmtId="0" fontId="33" fillId="47" borderId="130" xfId="75" applyFont="1" applyFill="1" applyBorder="1"/>
    <xf numFmtId="0" fontId="32" fillId="47" borderId="167" xfId="75" applyFont="1" applyFill="1" applyBorder="1"/>
    <xf numFmtId="0" fontId="272"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42" xfId="90" applyFont="1" applyFill="1" applyBorder="1" applyAlignment="1">
      <alignment horizontal="left"/>
    </xf>
    <xf numFmtId="0" fontId="33" fillId="47" borderId="142"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36"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67"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66" xfId="0" applyFont="1" applyBorder="1" applyProtection="1">
      <protection locked="0"/>
    </xf>
    <xf numFmtId="0" fontId="0" fillId="0" borderId="130" xfId="0" applyBorder="1" applyAlignment="1" applyProtection="1">
      <alignment horizontal="left" indent="1"/>
      <protection locked="0"/>
    </xf>
    <xf numFmtId="0" fontId="0" fillId="0" borderId="180"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80" xfId="0" applyFont="1" applyBorder="1" applyProtection="1">
      <protection locked="0"/>
    </xf>
    <xf numFmtId="0" fontId="0" fillId="0" borderId="180" xfId="0" applyBorder="1" applyAlignment="1" applyProtection="1">
      <alignment horizontal="left" vertical="top"/>
      <protection locked="0"/>
    </xf>
    <xf numFmtId="0" fontId="27" fillId="0" borderId="180" xfId="0" applyFont="1" applyBorder="1" applyProtection="1">
      <protection locked="0"/>
    </xf>
    <xf numFmtId="0" fontId="9" fillId="0" borderId="180" xfId="0" applyFont="1" applyBorder="1" applyProtection="1">
      <protection locked="0"/>
    </xf>
    <xf numFmtId="0" fontId="281" fillId="0" borderId="180" xfId="0" applyFont="1" applyBorder="1" applyProtection="1">
      <protection locked="0"/>
    </xf>
    <xf numFmtId="0" fontId="9" fillId="0" borderId="180"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67" xfId="0" applyFill="1" applyBorder="1" applyProtection="1">
      <protection locked="0"/>
    </xf>
    <xf numFmtId="0" fontId="0" fillId="3" borderId="180"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67"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2"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3" xfId="2" applyNumberFormat="1" applyFont="1" applyFill="1" applyBorder="1" applyAlignment="1" applyProtection="1">
      <alignment vertical="center"/>
    </xf>
    <xf numFmtId="177"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3" xfId="2" applyNumberFormat="1" applyFont="1" applyFill="1" applyBorder="1" applyAlignment="1" applyProtection="1">
      <alignment vertical="top"/>
    </xf>
    <xf numFmtId="177" fontId="11" fillId="52" borderId="121"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39" xfId="0" applyNumberFormat="1" applyFill="1" applyBorder="1" applyAlignment="1">
      <alignment horizontal="right" vertical="top"/>
    </xf>
    <xf numFmtId="177" fontId="0" fillId="52" borderId="141" xfId="0" applyNumberFormat="1" applyFill="1" applyBorder="1" applyAlignment="1">
      <alignment horizontal="right" vertical="top"/>
    </xf>
    <xf numFmtId="177" fontId="0" fillId="52" borderId="140"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66"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73" fontId="38" fillId="0" borderId="0" xfId="0" applyNumberFormat="1" applyFont="1" applyAlignment="1" applyProtection="1">
      <alignment vertical="center"/>
      <protection locked="0"/>
    </xf>
    <xf numFmtId="173"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83"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84" xfId="0" applyNumberFormat="1" applyFont="1" applyFill="1" applyBorder="1" applyAlignment="1" applyProtection="1">
      <alignment horizontal="center" vertical="center"/>
      <protection locked="0"/>
    </xf>
    <xf numFmtId="1" fontId="9" fillId="2" borderId="182"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85"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85"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85"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7" fontId="8" fillId="3" borderId="71"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85"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188"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72"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72"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6" fontId="11" fillId="0" borderId="0" xfId="48236" applyNumberFormat="1" applyProtection="1">
      <protection locked="0"/>
    </xf>
    <xf numFmtId="176" fontId="11" fillId="0" borderId="185"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72"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7" fontId="8" fillId="42" borderId="0" xfId="51696" applyNumberFormat="1" applyFill="1" applyBorder="1" applyProtection="1">
      <alignment vertical="center"/>
      <protection locked="0"/>
    </xf>
    <xf numFmtId="177" fontId="8" fillId="42" borderId="185" xfId="51696" applyNumberFormat="1" applyFill="1" applyBorder="1" applyProtection="1">
      <alignment vertical="center"/>
      <protection locked="0"/>
    </xf>
    <xf numFmtId="0" fontId="11" fillId="3" borderId="107" xfId="84" applyFont="1" applyFill="1" applyBorder="1" applyAlignment="1" applyProtection="1">
      <alignment wrapText="1"/>
      <protection locked="0"/>
    </xf>
    <xf numFmtId="174" fontId="11" fillId="0" borderId="0" xfId="85" applyNumberFormat="1" applyFont="1" applyProtection="1">
      <protection locked="0"/>
    </xf>
    <xf numFmtId="174" fontId="11" fillId="0" borderId="185" xfId="85" applyNumberFormat="1" applyFont="1" applyBorder="1" applyProtection="1">
      <protection locked="0"/>
    </xf>
    <xf numFmtId="174" fontId="11" fillId="0" borderId="0" xfId="48236" applyNumberFormat="1" applyProtection="1">
      <protection locked="0"/>
    </xf>
    <xf numFmtId="174" fontId="11" fillId="0" borderId="185"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73" fontId="37" fillId="0" borderId="0" xfId="0" applyNumberFormat="1" applyFont="1" applyAlignment="1" applyProtection="1">
      <alignment vertical="center"/>
      <protection locked="0"/>
    </xf>
    <xf numFmtId="173" fontId="39" fillId="49" borderId="0" xfId="96" applyAlignment="1" applyProtection="1">
      <alignment vertical="center"/>
      <protection locked="0"/>
    </xf>
    <xf numFmtId="173" fontId="39" fillId="49" borderId="185" xfId="96" applyBorder="1" applyAlignment="1" applyProtection="1">
      <alignment vertical="center"/>
      <protection locked="0"/>
    </xf>
    <xf numFmtId="173" fontId="39" fillId="0" borderId="0" xfId="96" applyFill="1" applyAlignment="1" applyProtection="1">
      <alignment vertical="center"/>
      <protection locked="0"/>
    </xf>
    <xf numFmtId="173" fontId="39" fillId="42" borderId="0" xfId="96" applyFill="1" applyAlignment="1" applyProtection="1">
      <alignment vertical="center"/>
      <protection locked="0"/>
    </xf>
    <xf numFmtId="173" fontId="37" fillId="42" borderId="0" xfId="0" applyNumberFormat="1" applyFont="1" applyFill="1" applyAlignment="1" applyProtection="1">
      <alignment vertical="center"/>
      <protection locked="0"/>
    </xf>
    <xf numFmtId="177" fontId="8" fillId="43" borderId="71" xfId="51696" applyNumberFormat="1" applyBorder="1">
      <alignment vertical="center"/>
    </xf>
    <xf numFmtId="177" fontId="8" fillId="43" borderId="72" xfId="51696" applyNumberFormat="1" applyBorder="1">
      <alignment vertical="center"/>
    </xf>
    <xf numFmtId="177" fontId="8" fillId="43" borderId="104" xfId="51696" applyNumberFormat="1" applyBorder="1">
      <alignment vertical="center"/>
    </xf>
    <xf numFmtId="177" fontId="8" fillId="43" borderId="186" xfId="51696" applyNumberFormat="1" applyBorder="1">
      <alignment vertical="center"/>
    </xf>
    <xf numFmtId="177" fontId="8" fillId="43" borderId="164" xfId="51696" applyNumberFormat="1" applyBorder="1">
      <alignment vertical="center"/>
    </xf>
    <xf numFmtId="177" fontId="8" fillId="43" borderId="65" xfId="51696" applyNumberFormat="1" applyBorder="1">
      <alignment vertical="center"/>
    </xf>
    <xf numFmtId="177" fontId="8" fillId="43" borderId="66" xfId="51696" applyNumberFormat="1" applyBorder="1">
      <alignment vertical="center"/>
    </xf>
    <xf numFmtId="177" fontId="8" fillId="43" borderId="92" xfId="51696" applyNumberFormat="1" applyBorder="1">
      <alignment vertical="center"/>
    </xf>
    <xf numFmtId="177" fontId="8" fillId="43" borderId="187" xfId="51696" applyNumberFormat="1" applyBorder="1">
      <alignment vertical="center"/>
    </xf>
    <xf numFmtId="177" fontId="8" fillId="43" borderId="86" xfId="51696" applyNumberFormat="1" applyBorder="1">
      <alignment vertical="center"/>
    </xf>
    <xf numFmtId="0" fontId="11" fillId="52" borderId="0" xfId="85" applyFont="1" applyFill="1"/>
    <xf numFmtId="0" fontId="11" fillId="52" borderId="185" xfId="85" applyFont="1" applyFill="1" applyBorder="1"/>
    <xf numFmtId="177" fontId="11" fillId="51" borderId="62" xfId="85" applyNumberFormat="1" applyFont="1" applyFill="1" applyBorder="1"/>
    <xf numFmtId="177" fontId="11" fillId="51" borderId="63" xfId="85" applyNumberFormat="1" applyFont="1" applyFill="1" applyBorder="1"/>
    <xf numFmtId="177" fontId="11" fillId="51" borderId="94" xfId="85" applyNumberFormat="1" applyFont="1" applyFill="1" applyBorder="1"/>
    <xf numFmtId="177" fontId="11" fillId="51" borderId="189" xfId="85" applyNumberFormat="1" applyFont="1" applyFill="1" applyBorder="1"/>
    <xf numFmtId="177" fontId="11" fillId="51" borderId="81" xfId="85" applyNumberFormat="1" applyFont="1" applyFill="1" applyBorder="1"/>
    <xf numFmtId="177" fontId="11" fillId="51" borderId="101" xfId="85" applyNumberFormat="1" applyFont="1" applyFill="1" applyBorder="1"/>
    <xf numFmtId="177" fontId="11" fillId="51" borderId="190" xfId="85" applyNumberFormat="1" applyFont="1" applyFill="1" applyBorder="1"/>
    <xf numFmtId="177" fontId="11" fillId="52" borderId="62" xfId="85" applyNumberFormat="1" applyFont="1" applyFill="1" applyBorder="1"/>
    <xf numFmtId="177" fontId="11" fillId="52" borderId="100" xfId="85" applyNumberFormat="1" applyFont="1" applyFill="1" applyBorder="1"/>
    <xf numFmtId="177" fontId="11" fillId="52" borderId="191" xfId="85" applyNumberFormat="1" applyFont="1" applyFill="1" applyBorder="1"/>
    <xf numFmtId="177" fontId="11" fillId="52" borderId="81" xfId="85" applyNumberFormat="1" applyFont="1" applyFill="1" applyBorder="1"/>
    <xf numFmtId="177" fontId="8" fillId="43" borderId="59" xfId="51696" applyNumberFormat="1" applyBorder="1">
      <alignment vertical="center"/>
    </xf>
    <xf numFmtId="177" fontId="8" fillId="43" borderId="60" xfId="51696" applyNumberFormat="1" applyBorder="1">
      <alignment vertical="center"/>
    </xf>
    <xf numFmtId="177" fontId="8" fillId="43" borderId="96" xfId="51696" applyNumberFormat="1" applyBorder="1">
      <alignment vertical="center"/>
    </xf>
    <xf numFmtId="177" fontId="8" fillId="43" borderId="188" xfId="51696" applyNumberFormat="1" applyBorder="1">
      <alignment vertical="center"/>
    </xf>
    <xf numFmtId="177" fontId="8" fillId="43" borderId="85" xfId="51696" applyNumberFormat="1" applyBorder="1">
      <alignment vertical="center"/>
    </xf>
    <xf numFmtId="177" fontId="11" fillId="51" borderId="68" xfId="85" applyNumberFormat="1" applyFont="1" applyFill="1" applyBorder="1"/>
    <xf numFmtId="177" fontId="11" fillId="51" borderId="69" xfId="85" applyNumberFormat="1" applyFont="1" applyFill="1" applyBorder="1"/>
    <xf numFmtId="177" fontId="11" fillId="51" borderId="110" xfId="85" applyNumberFormat="1" applyFont="1" applyFill="1" applyBorder="1"/>
    <xf numFmtId="177" fontId="11" fillId="51" borderId="192" xfId="85" applyNumberFormat="1" applyFont="1" applyFill="1" applyBorder="1"/>
    <xf numFmtId="177" fontId="11" fillId="51" borderId="82" xfId="85" applyNumberFormat="1" applyFont="1" applyFill="1" applyBorder="1"/>
    <xf numFmtId="177" fontId="11" fillId="51" borderId="59" xfId="85" applyNumberFormat="1" applyFont="1" applyFill="1" applyBorder="1"/>
    <xf numFmtId="177" fontId="11" fillId="51" borderId="60" xfId="85" applyNumberFormat="1" applyFont="1" applyFill="1" applyBorder="1"/>
    <xf numFmtId="177" fontId="11" fillId="51" borderId="96" xfId="85" applyNumberFormat="1" applyFont="1" applyFill="1" applyBorder="1"/>
    <xf numFmtId="177" fontId="11" fillId="51" borderId="188" xfId="85" applyNumberFormat="1" applyFont="1" applyFill="1" applyBorder="1"/>
    <xf numFmtId="177" fontId="11" fillId="51" borderId="85" xfId="85" applyNumberFormat="1" applyFont="1" applyFill="1" applyBorder="1"/>
    <xf numFmtId="177" fontId="8" fillId="51" borderId="71" xfId="51696" applyNumberFormat="1" applyFill="1" applyBorder="1">
      <alignment vertical="center"/>
    </xf>
    <xf numFmtId="177" fontId="8" fillId="51" borderId="135" xfId="51696" applyNumberFormat="1" applyFill="1" applyBorder="1">
      <alignment vertical="center"/>
    </xf>
    <xf numFmtId="177" fontId="8" fillId="51" borderId="193" xfId="51696" applyNumberFormat="1" applyFill="1" applyBorder="1">
      <alignment vertical="center"/>
    </xf>
    <xf numFmtId="177" fontId="8" fillId="51" borderId="164" xfId="51696" applyNumberFormat="1" applyFill="1" applyBorder="1">
      <alignment vertical="center"/>
    </xf>
    <xf numFmtId="177" fontId="8" fillId="43" borderId="135" xfId="51696" applyNumberFormat="1" applyBorder="1">
      <alignment vertical="center"/>
    </xf>
    <xf numFmtId="177" fontId="8" fillId="43" borderId="193" xfId="51696" applyNumberFormat="1" applyBorder="1">
      <alignment vertical="center"/>
    </xf>
    <xf numFmtId="177" fontId="11" fillId="44" borderId="59" xfId="85" applyNumberFormat="1" applyFont="1" applyFill="1" applyBorder="1"/>
    <xf numFmtId="177" fontId="11" fillId="44" borderId="60" xfId="85" applyNumberFormat="1" applyFont="1" applyFill="1" applyBorder="1"/>
    <xf numFmtId="177" fontId="11" fillId="44" borderId="96" xfId="85" applyNumberFormat="1" applyFont="1" applyFill="1" applyBorder="1"/>
    <xf numFmtId="177" fontId="11" fillId="44" borderId="188" xfId="85" applyNumberFormat="1" applyFont="1" applyFill="1" applyBorder="1"/>
    <xf numFmtId="177" fontId="11" fillId="44" borderId="85" xfId="85" applyNumberFormat="1" applyFont="1" applyFill="1" applyBorder="1"/>
    <xf numFmtId="177" fontId="11" fillId="51" borderId="65" xfId="85" applyNumberFormat="1" applyFont="1" applyFill="1" applyBorder="1"/>
    <xf numFmtId="177" fontId="11" fillId="51" borderId="66" xfId="85" applyNumberFormat="1" applyFont="1" applyFill="1" applyBorder="1"/>
    <xf numFmtId="177" fontId="11" fillId="51" borderId="92" xfId="85" applyNumberFormat="1" applyFont="1" applyFill="1" applyBorder="1"/>
    <xf numFmtId="177" fontId="11" fillId="51" borderId="187" xfId="85" applyNumberFormat="1" applyFont="1" applyFill="1" applyBorder="1"/>
    <xf numFmtId="177" fontId="11" fillId="51" borderId="86" xfId="85" applyNumberFormat="1" applyFont="1" applyFill="1" applyBorder="1"/>
    <xf numFmtId="177" fontId="8" fillId="51" borderId="59" xfId="51696" applyNumberFormat="1" applyFill="1" applyBorder="1">
      <alignment vertical="center"/>
    </xf>
    <xf numFmtId="177" fontId="8" fillId="51" borderId="102" xfId="51696" applyNumberFormat="1" applyFill="1" applyBorder="1">
      <alignment vertical="center"/>
    </xf>
    <xf numFmtId="177" fontId="8" fillId="51" borderId="194" xfId="51696" applyNumberFormat="1" applyFill="1" applyBorder="1">
      <alignment vertical="center"/>
    </xf>
    <xf numFmtId="177" fontId="8" fillId="51" borderId="85" xfId="51696" applyNumberFormat="1" applyFill="1" applyBorder="1">
      <alignment vertical="center"/>
    </xf>
    <xf numFmtId="177" fontId="8" fillId="51" borderId="74" xfId="51696" applyNumberFormat="1" applyFill="1" applyBorder="1">
      <alignment vertical="center"/>
    </xf>
    <xf numFmtId="177" fontId="8" fillId="51" borderId="168" xfId="51696" applyNumberFormat="1" applyFill="1" applyBorder="1">
      <alignment vertical="center"/>
    </xf>
    <xf numFmtId="177" fontId="8" fillId="51" borderId="0" xfId="51696" applyNumberFormat="1" applyFill="1" applyBorder="1">
      <alignment vertical="center"/>
    </xf>
    <xf numFmtId="177" fontId="8" fillId="51" borderId="185" xfId="51696" applyNumberFormat="1" applyFill="1" applyBorder="1">
      <alignment vertical="center"/>
    </xf>
    <xf numFmtId="177" fontId="8" fillId="51" borderId="60" xfId="51696" applyNumberFormat="1" applyFill="1" applyBorder="1">
      <alignment vertical="center"/>
    </xf>
    <xf numFmtId="177" fontId="8" fillId="51" borderId="96" xfId="51696" applyNumberFormat="1" applyFill="1" applyBorder="1">
      <alignment vertical="center"/>
    </xf>
    <xf numFmtId="177" fontId="8" fillId="51" borderId="188" xfId="51696" applyNumberFormat="1" applyFill="1" applyBorder="1">
      <alignment vertical="center"/>
    </xf>
    <xf numFmtId="177" fontId="8" fillId="51" borderId="72" xfId="51696" applyNumberFormat="1" applyFill="1" applyBorder="1">
      <alignment vertical="center"/>
    </xf>
    <xf numFmtId="177" fontId="8" fillId="51" borderId="104" xfId="51696" applyNumberFormat="1" applyFill="1" applyBorder="1">
      <alignment vertical="center"/>
    </xf>
    <xf numFmtId="177" fontId="8" fillId="51" borderId="186" xfId="51696" applyNumberFormat="1" applyFill="1" applyBorder="1">
      <alignment vertical="center"/>
    </xf>
    <xf numFmtId="177" fontId="8" fillId="43" borderId="62" xfId="51696" applyNumberFormat="1" applyBorder="1">
      <alignment vertical="center"/>
    </xf>
    <xf numFmtId="177" fontId="8" fillId="43" borderId="100" xfId="51696" applyNumberFormat="1" applyBorder="1">
      <alignment vertical="center"/>
    </xf>
    <xf numFmtId="177" fontId="8" fillId="43" borderId="191" xfId="51696" applyNumberFormat="1" applyBorder="1">
      <alignment vertical="center"/>
    </xf>
    <xf numFmtId="177" fontId="8" fillId="43" borderId="81" xfId="51696" applyNumberFormat="1" applyBorder="1">
      <alignment vertical="center"/>
    </xf>
    <xf numFmtId="177" fontId="9" fillId="43" borderId="62" xfId="51696" applyNumberFormat="1" applyFont="1" applyBorder="1">
      <alignment vertical="center"/>
    </xf>
    <xf numFmtId="177" fontId="9" fillId="43" borderId="100" xfId="51696" applyNumberFormat="1" applyFont="1" applyBorder="1">
      <alignment vertical="center"/>
    </xf>
    <xf numFmtId="177" fontId="9" fillId="43" borderId="191" xfId="51696" applyNumberFormat="1" applyFont="1" applyBorder="1">
      <alignment vertical="center"/>
    </xf>
    <xf numFmtId="177" fontId="9" fillId="43" borderId="81" xfId="51696" applyNumberFormat="1" applyFont="1" applyBorder="1">
      <alignmen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6" xfId="1" applyNumberFormat="1" applyFont="1" applyFill="1" applyBorder="1" applyProtection="1"/>
    <xf numFmtId="177"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8" fillId="43" borderId="114" xfId="51696" applyNumberFormat="1" applyBorder="1">
      <alignment vertical="center"/>
    </xf>
    <xf numFmtId="177" fontId="8" fillId="43" borderId="68" xfId="51696" applyNumberFormat="1" applyBorder="1">
      <alignment vertical="center"/>
    </xf>
    <xf numFmtId="177" fontId="8" fillId="43" borderId="69" xfId="51696" applyNumberFormat="1" applyBorder="1">
      <alignment vertical="center"/>
    </xf>
    <xf numFmtId="177" fontId="8" fillId="43" borderId="110" xfId="51696" applyNumberFormat="1" applyBorder="1">
      <alignment vertical="center"/>
    </xf>
    <xf numFmtId="177" fontId="8" fillId="43" borderId="117" xfId="51696" applyNumberFormat="1" applyBorder="1">
      <alignment vertical="center"/>
    </xf>
    <xf numFmtId="177" fontId="8" fillId="43" borderId="169" xfId="51696" applyNumberFormat="1" applyBorder="1">
      <alignment vertical="center"/>
    </xf>
    <xf numFmtId="177" fontId="8" fillId="43" borderId="170" xfId="51696" applyNumberFormat="1" applyBorder="1">
      <alignment vertical="center"/>
    </xf>
    <xf numFmtId="177" fontId="8" fillId="43" borderId="171" xfId="51696" applyNumberFormat="1" applyBorder="1">
      <alignment vertical="center"/>
    </xf>
    <xf numFmtId="177" fontId="8" fillId="43" borderId="172" xfId="51696" applyNumberFormat="1" applyBorder="1">
      <alignment vertical="center"/>
    </xf>
    <xf numFmtId="177" fontId="8" fillId="43" borderId="132" xfId="51696" applyNumberFormat="1" applyBorder="1">
      <alignment vertical="center"/>
    </xf>
    <xf numFmtId="177" fontId="8" fillId="43" borderId="133" xfId="51696" applyNumberFormat="1" applyBorder="1">
      <alignment vertical="center"/>
    </xf>
    <xf numFmtId="177" fontId="8" fillId="43" borderId="173" xfId="51696" applyNumberFormat="1" applyBorder="1">
      <alignment vertical="center"/>
    </xf>
    <xf numFmtId="177" fontId="8" fillId="43" borderId="174" xfId="51696" applyNumberFormat="1" applyBorder="1">
      <alignment vertical="center"/>
    </xf>
    <xf numFmtId="177" fontId="8" fillId="43" borderId="105" xfId="51696" applyNumberFormat="1" applyBorder="1">
      <alignment vertical="center"/>
    </xf>
    <xf numFmtId="177" fontId="8" fillId="43" borderId="106" xfId="51696" applyNumberFormat="1" applyBorder="1">
      <alignment vertical="center"/>
    </xf>
    <xf numFmtId="177" fontId="8" fillId="43" borderId="91" xfId="51696" applyNumberFormat="1" applyBorder="1">
      <alignment vertical="center"/>
    </xf>
    <xf numFmtId="177" fontId="8" fillId="43" borderId="115" xfId="51696" applyNumberFormat="1" applyBorder="1">
      <alignment vertical="center"/>
    </xf>
    <xf numFmtId="0" fontId="11" fillId="0" borderId="0" xfId="85" applyFont="1"/>
    <xf numFmtId="0" fontId="11" fillId="0" borderId="175" xfId="85" applyFont="1" applyBorder="1"/>
    <xf numFmtId="177" fontId="8" fillId="43" borderId="116" xfId="51696" applyNumberFormat="1" applyBorder="1">
      <alignment vertical="center"/>
    </xf>
    <xf numFmtId="177" fontId="8" fillId="43" borderId="63" xfId="51696" applyNumberFormat="1" applyBorder="1">
      <alignment vertical="center"/>
    </xf>
    <xf numFmtId="177" fontId="8" fillId="43" borderId="94" xfId="51696" applyNumberFormat="1" applyBorder="1">
      <alignment vertical="center"/>
    </xf>
    <xf numFmtId="177"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76" xfId="77" applyFill="1" applyBorder="1" applyAlignment="1" applyProtection="1">
      <alignment vertical="center"/>
    </xf>
    <xf numFmtId="0" fontId="11" fillId="0" borderId="111" xfId="85" applyFont="1" applyBorder="1"/>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3" borderId="75"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36" xfId="2" applyNumberFormat="1" applyFont="1" applyFill="1" applyBorder="1" applyProtection="1"/>
    <xf numFmtId="177" fontId="12" fillId="52" borderId="71" xfId="2" applyNumberFormat="1" applyFont="1" applyFill="1" applyBorder="1" applyProtection="1"/>
    <xf numFmtId="177" fontId="12" fillId="52" borderId="164" xfId="2" applyNumberFormat="1" applyFont="1" applyFill="1" applyBorder="1" applyProtection="1"/>
    <xf numFmtId="177"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64"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3" fillId="0" borderId="179"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80" fontId="272" fillId="47" borderId="0" xfId="90" applyNumberFormat="1" applyFont="1" applyFill="1" applyAlignment="1" applyProtection="1">
      <alignment horizontal="left"/>
      <protection locked="0"/>
    </xf>
    <xf numFmtId="0" fontId="282" fillId="135" borderId="167"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65"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8" fontId="289"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8" fontId="286" fillId="0" borderId="0" xfId="75" applyNumberFormat="1" applyFont="1" applyAlignment="1" applyProtection="1">
      <alignment horizontal="center" vertical="center"/>
      <protection locked="0"/>
    </xf>
    <xf numFmtId="183" fontId="283" fillId="0" borderId="0" xfId="75" applyNumberFormat="1" applyFont="1" applyAlignment="1" applyProtection="1">
      <alignment horizontal="center" vertical="center"/>
      <protection locked="0"/>
    </xf>
    <xf numFmtId="178" fontId="3" fillId="0" borderId="0" xfId="51694" applyNumberFormat="1" applyAlignment="1" applyProtection="1">
      <alignment horizontal="center" vertical="center"/>
      <protection locked="0"/>
    </xf>
    <xf numFmtId="178"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66" xfId="51694" applyFont="1" applyBorder="1" applyAlignment="1" applyProtection="1">
      <alignment horizontal="left"/>
      <protection locked="0"/>
    </xf>
    <xf numFmtId="0" fontId="285" fillId="0" borderId="167" xfId="51694" applyFont="1" applyBorder="1" applyAlignment="1" applyProtection="1">
      <alignment horizontal="left" vertical="center"/>
      <protection locked="0"/>
    </xf>
    <xf numFmtId="178" fontId="283" fillId="36" borderId="6" xfId="75" applyNumberFormat="1" applyFont="1" applyFill="1" applyBorder="1" applyAlignment="1" applyProtection="1">
      <alignment horizontal="center" vertical="center"/>
      <protection locked="0"/>
    </xf>
    <xf numFmtId="178" fontId="283" fillId="131" borderId="6" xfId="75" applyNumberFormat="1" applyFont="1" applyFill="1" applyBorder="1" applyAlignment="1" applyProtection="1">
      <alignment horizontal="center" vertical="center"/>
      <protection locked="0"/>
    </xf>
    <xf numFmtId="178"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80" xfId="51694" applyFont="1" applyBorder="1" applyAlignment="1" applyProtection="1">
      <alignment horizontal="left" vertical="center"/>
      <protection locked="0"/>
    </xf>
    <xf numFmtId="178" fontId="282" fillId="0" borderId="28" xfId="51694" applyNumberFormat="1" applyFont="1" applyBorder="1" applyAlignment="1" applyProtection="1">
      <alignment horizontal="center" vertical="center"/>
      <protection locked="0"/>
    </xf>
    <xf numFmtId="178" fontId="282" fillId="0" borderId="0" xfId="51694" applyNumberFormat="1" applyFont="1" applyAlignment="1" applyProtection="1">
      <alignment horizontal="center" vertical="center"/>
      <protection locked="0"/>
    </xf>
    <xf numFmtId="178" fontId="284" fillId="0" borderId="0" xfId="51694" applyNumberFormat="1" applyFont="1" applyAlignment="1" applyProtection="1">
      <alignment horizontal="center" vertical="center"/>
      <protection locked="0"/>
    </xf>
    <xf numFmtId="0" fontId="285" fillId="0" borderId="180"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8"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66" xfId="51694" applyFont="1" applyBorder="1" applyAlignment="1" applyProtection="1">
      <alignment horizontal="left" vertical="center"/>
      <protection locked="0"/>
    </xf>
    <xf numFmtId="178" fontId="3" fillId="0" borderId="0" xfId="51694" applyNumberFormat="1" applyAlignment="1" applyProtection="1">
      <alignment horizontal="center"/>
      <protection locked="0"/>
    </xf>
    <xf numFmtId="178"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80"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8" fontId="283" fillId="0" borderId="0" xfId="75" applyNumberFormat="1" applyFont="1" applyAlignment="1" applyProtection="1">
      <alignment horizontal="center"/>
      <protection locked="0"/>
    </xf>
    <xf numFmtId="178" fontId="286" fillId="0" borderId="0" xfId="75" applyNumberFormat="1" applyFont="1" applyAlignment="1" applyProtection="1">
      <alignment horizontal="center"/>
      <protection locked="0"/>
    </xf>
    <xf numFmtId="0" fontId="282" fillId="0" borderId="166" xfId="51694" applyFont="1" applyBorder="1" applyAlignment="1" applyProtection="1">
      <alignment horizontal="left"/>
      <protection locked="0"/>
    </xf>
    <xf numFmtId="0" fontId="285" fillId="0" borderId="167" xfId="51694" applyFont="1" applyBorder="1" applyAlignment="1" applyProtection="1">
      <alignment horizontal="left"/>
      <protection locked="0"/>
    </xf>
    <xf numFmtId="0" fontId="282" fillId="0" borderId="180"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1" fillId="0" borderId="6" xfId="51694" applyFont="1" applyBorder="1" applyAlignment="1" applyProtection="1">
      <alignment vertical="center" wrapText="1"/>
      <protection locked="0"/>
    </xf>
    <xf numFmtId="0" fontId="285" fillId="0" borderId="180" xfId="51694" applyFont="1" applyBorder="1" applyAlignment="1" applyProtection="1">
      <alignment vertical="center"/>
      <protection locked="0"/>
    </xf>
    <xf numFmtId="0" fontId="3" fillId="0" borderId="11" xfId="51694" applyBorder="1" applyAlignment="1" applyProtection="1">
      <alignment vertical="center"/>
      <protection locked="0"/>
    </xf>
    <xf numFmtId="178" fontId="283" fillId="0" borderId="180" xfId="75" applyNumberFormat="1" applyFont="1" applyBorder="1" applyAlignment="1" applyProtection="1">
      <alignment horizontal="center" vertical="center"/>
      <protection locked="0"/>
    </xf>
    <xf numFmtId="178" fontId="3" fillId="0" borderId="11" xfId="51694" applyNumberFormat="1" applyBorder="1" applyAlignment="1" applyProtection="1">
      <alignment horizontal="center" vertical="center"/>
      <protection locked="0"/>
    </xf>
    <xf numFmtId="0" fontId="285" fillId="0" borderId="180" xfId="51694" quotePrefix="1" applyFont="1" applyBorder="1" applyAlignment="1" applyProtection="1">
      <alignment vertical="center"/>
      <protection locked="0"/>
    </xf>
    <xf numFmtId="0" fontId="284" fillId="0" borderId="180" xfId="51694" applyFont="1" applyBorder="1" applyProtection="1">
      <protection locked="0"/>
    </xf>
    <xf numFmtId="0" fontId="285"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8" fontId="3" fillId="0" borderId="142" xfId="51694" applyNumberFormat="1" applyBorder="1" applyAlignment="1" applyProtection="1">
      <alignment horizontal="center"/>
      <protection locked="0"/>
    </xf>
    <xf numFmtId="0" fontId="3" fillId="0" borderId="0" xfId="51694" applyAlignment="1" applyProtection="1">
      <alignment horizontal="left" vertical="center"/>
      <protection locked="0"/>
    </xf>
    <xf numFmtId="178" fontId="283" fillId="0" borderId="130" xfId="75" applyNumberFormat="1" applyFont="1" applyBorder="1" applyAlignment="1" applyProtection="1">
      <alignment horizontal="center" vertical="center"/>
      <protection locked="0"/>
    </xf>
    <xf numFmtId="178" fontId="3" fillId="0" borderId="130" xfId="51694" applyNumberFormat="1" applyBorder="1" applyAlignment="1" applyProtection="1">
      <alignment horizontal="center" vertical="center"/>
      <protection locked="0"/>
    </xf>
    <xf numFmtId="0" fontId="3" fillId="0" borderId="167" xfId="51694" applyBorder="1" applyAlignment="1" applyProtection="1">
      <alignment horizontal="left" vertical="center"/>
      <protection locked="0"/>
    </xf>
    <xf numFmtId="0" fontId="3" fillId="0" borderId="180"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8" fontId="283" fillId="0" borderId="142" xfId="75" applyNumberFormat="1" applyFont="1" applyBorder="1" applyAlignment="1" applyProtection="1">
      <alignment horizontal="center"/>
      <protection locked="0"/>
    </xf>
    <xf numFmtId="178" fontId="283" fillId="140" borderId="6" xfId="75" applyNumberFormat="1" applyFont="1" applyFill="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0" borderId="0" xfId="51694" applyFont="1" applyAlignment="1" applyProtection="1">
      <alignment vertical="center"/>
      <protection locked="0"/>
    </xf>
    <xf numFmtId="178"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83" fontId="289" fillId="0" borderId="0" xfId="51694" applyNumberFormat="1" applyFont="1" applyAlignment="1" applyProtection="1">
      <alignment horizontal="center"/>
      <protection locked="0"/>
    </xf>
    <xf numFmtId="183" fontId="283" fillId="0" borderId="0" xfId="51694" applyNumberFormat="1" applyFont="1" applyAlignment="1" applyProtection="1">
      <alignment horizontal="center"/>
      <protection locked="0"/>
    </xf>
    <xf numFmtId="183"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8" fontId="296" fillId="0" borderId="180" xfId="51694" applyNumberFormat="1" applyFont="1" applyBorder="1" applyAlignment="1" applyProtection="1">
      <alignment horizontal="center" vertical="center"/>
      <protection locked="0"/>
    </xf>
    <xf numFmtId="178" fontId="296" fillId="0" borderId="0" xfId="75" applyNumberFormat="1" applyFont="1" applyAlignment="1" applyProtection="1">
      <alignment horizontal="center" vertical="center"/>
      <protection locked="0"/>
    </xf>
    <xf numFmtId="178" fontId="297" fillId="0" borderId="0" xfId="51694" applyNumberFormat="1" applyFont="1" applyAlignment="1" applyProtection="1">
      <alignment horizontal="center" vertical="center"/>
      <protection locked="0"/>
    </xf>
    <xf numFmtId="178"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8"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8" fontId="283" fillId="52" borderId="6" xfId="75" applyNumberFormat="1" applyFont="1" applyFill="1" applyBorder="1" applyAlignment="1">
      <alignment horizontal="center" vertical="center"/>
    </xf>
    <xf numFmtId="178" fontId="282" fillId="52" borderId="6" xfId="51694" applyNumberFormat="1" applyFont="1" applyFill="1" applyBorder="1" applyAlignment="1">
      <alignment horizontal="center" vertical="center"/>
    </xf>
    <xf numFmtId="178" fontId="289" fillId="52" borderId="6" xfId="75" applyNumberFormat="1" applyFont="1" applyFill="1" applyBorder="1" applyAlignment="1">
      <alignment horizontal="center" vertical="center"/>
    </xf>
    <xf numFmtId="183" fontId="283" fillId="0" borderId="6" xfId="51694" applyNumberFormat="1" applyFont="1" applyBorder="1" applyAlignment="1">
      <alignment horizontal="center"/>
    </xf>
    <xf numFmtId="178" fontId="297" fillId="0" borderId="6" xfId="51694" applyNumberFormat="1" applyFont="1" applyBorder="1" applyAlignment="1">
      <alignment horizontal="center" vertical="center"/>
    </xf>
    <xf numFmtId="183" fontId="283" fillId="52" borderId="6" xfId="51694" applyNumberFormat="1" applyFont="1" applyFill="1" applyBorder="1" applyAlignment="1">
      <alignment horizontal="center"/>
    </xf>
    <xf numFmtId="178" fontId="297" fillId="52" borderId="6" xfId="51694" applyNumberFormat="1" applyFont="1" applyFill="1" applyBorder="1" applyAlignment="1">
      <alignment horizontal="center" vertical="center"/>
    </xf>
    <xf numFmtId="178" fontId="283" fillId="52" borderId="6" xfId="51694" applyNumberFormat="1" applyFont="1" applyFill="1" applyBorder="1" applyAlignment="1">
      <alignment horizontal="center" vertical="center"/>
    </xf>
    <xf numFmtId="178"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66"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180"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42" borderId="0" xfId="2" applyNumberFormat="1" applyFont="1" applyFill="1" applyBorder="1" applyProtection="1">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73" fontId="294" fillId="0" borderId="0" xfId="51698" applyNumberFormat="1" applyFont="1" applyAlignment="1" applyProtection="1">
      <alignment vertical="center"/>
      <protection locked="0"/>
    </xf>
    <xf numFmtId="0" fontId="8" fillId="0" borderId="0" xfId="51698" applyFont="1" applyProtection="1">
      <protection locked="0"/>
    </xf>
    <xf numFmtId="0" fontId="294" fillId="136" borderId="0" xfId="51698" applyFont="1" applyFill="1"/>
    <xf numFmtId="0" fontId="295" fillId="0" borderId="0" xfId="51698" applyFont="1"/>
    <xf numFmtId="0" fontId="271" fillId="0" borderId="0" xfId="51698" applyFont="1"/>
    <xf numFmtId="0" fontId="271" fillId="0" borderId="0" xfId="51698" applyFont="1" applyAlignment="1">
      <alignment horizontal="left"/>
    </xf>
    <xf numFmtId="0" fontId="12" fillId="0" borderId="0" xfId="51698" applyFont="1" applyAlignment="1">
      <alignment horizontal="left"/>
    </xf>
    <xf numFmtId="0" fontId="11" fillId="0" borderId="0" xfId="51698" applyFont="1"/>
    <xf numFmtId="0" fontId="11" fillId="0" borderId="0" xfId="51698" applyFont="1" applyAlignment="1">
      <alignment horizontal="left"/>
    </xf>
    <xf numFmtId="0" fontId="295" fillId="0" borderId="0" xfId="51698"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8" applyNumberFormat="1" applyFont="1"/>
    <xf numFmtId="10" fontId="2" fillId="0" borderId="0" xfId="51698" applyNumberFormat="1"/>
    <xf numFmtId="361" fontId="8" fillId="0" borderId="0" xfId="51698" applyNumberFormat="1" applyFont="1" applyAlignment="1">
      <alignment horizontal="left" vertical="center" indent="1"/>
    </xf>
    <xf numFmtId="1" fontId="11" fillId="51" borderId="6" xfId="51698" applyNumberFormat="1" applyFont="1" applyFill="1" applyBorder="1" applyAlignment="1">
      <alignment vertical="center"/>
    </xf>
    <xf numFmtId="0" fontId="12" fillId="0" borderId="0" xfId="51700" applyFont="1"/>
    <xf numFmtId="0" fontId="8" fillId="0" borderId="0" xfId="51701"/>
    <xf numFmtId="0" fontId="11" fillId="0" borderId="0" xfId="51700" applyFont="1" applyAlignment="1">
      <alignment horizontal="center"/>
    </xf>
    <xf numFmtId="359" fontId="8" fillId="0" borderId="0" xfId="51698" applyNumberFormat="1" applyFont="1"/>
    <xf numFmtId="17" fontId="11" fillId="0" borderId="0" xfId="51700" applyNumberFormat="1" applyFont="1" applyAlignment="1">
      <alignment horizontal="center"/>
    </xf>
    <xf numFmtId="0" fontId="11" fillId="2" borderId="6" xfId="51700" applyFont="1" applyFill="1" applyBorder="1" applyAlignment="1">
      <alignment horizontal="center"/>
    </xf>
    <xf numFmtId="0" fontId="11" fillId="138" borderId="166" xfId="0" applyFont="1" applyFill="1" applyBorder="1"/>
    <xf numFmtId="0" fontId="11" fillId="138" borderId="130" xfId="0" applyFont="1" applyFill="1" applyBorder="1"/>
    <xf numFmtId="0" fontId="11" fillId="138" borderId="167" xfId="0" applyFont="1" applyFill="1" applyBorder="1"/>
    <xf numFmtId="0" fontId="11" fillId="138" borderId="89" xfId="0" applyFont="1" applyFill="1" applyBorder="1"/>
    <xf numFmtId="0" fontId="11" fillId="138" borderId="142" xfId="0" applyFont="1" applyFill="1" applyBorder="1"/>
    <xf numFmtId="0" fontId="11" fillId="138" borderId="90" xfId="0" applyFont="1" applyFill="1" applyBorder="1"/>
    <xf numFmtId="2" fontId="8" fillId="0" borderId="0" xfId="51698" applyNumberFormat="1" applyFont="1"/>
    <xf numFmtId="2" fontId="0" fillId="0" borderId="0" xfId="51698" applyNumberFormat="1" applyFont="1"/>
    <xf numFmtId="2" fontId="11" fillId="51" borderId="6" xfId="51700" applyNumberFormat="1" applyFont="1" applyFill="1" applyBorder="1"/>
    <xf numFmtId="361" fontId="0" fillId="0" borderId="0" xfId="51698" applyNumberFormat="1" applyFont="1" applyAlignment="1">
      <alignment horizontal="left" vertical="center" indent="1"/>
    </xf>
    <xf numFmtId="10" fontId="11" fillId="52" borderId="6" xfId="51702" applyNumberFormat="1" applyFont="1" applyFill="1" applyBorder="1" applyProtection="1"/>
    <xf numFmtId="185" fontId="0" fillId="0" borderId="0" xfId="51703" applyFont="1" applyAlignment="1">
      <alignment horizontal="left" indent="1"/>
    </xf>
    <xf numFmtId="0" fontId="11" fillId="138" borderId="165" xfId="0" applyFont="1" applyFill="1" applyBorder="1"/>
    <xf numFmtId="0" fontId="11" fillId="138" borderId="179" xfId="0" applyFont="1" applyFill="1" applyBorder="1"/>
    <xf numFmtId="0" fontId="11" fillId="138" borderId="120" xfId="0" applyFont="1" applyFill="1" applyBorder="1"/>
    <xf numFmtId="0" fontId="294" fillId="0" borderId="0" xfId="51698" applyFont="1" applyProtection="1">
      <protection locked="0"/>
    </xf>
    <xf numFmtId="363"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4" fontId="11" fillId="0" borderId="0" xfId="0" applyNumberFormat="1" applyFont="1" applyProtection="1">
      <protection locked="0"/>
    </xf>
    <xf numFmtId="0" fontId="11" fillId="53" borderId="6" xfId="0" applyFont="1" applyFill="1" applyBorder="1" applyProtection="1">
      <protection locked="0"/>
    </xf>
    <xf numFmtId="363" fontId="30" fillId="0" borderId="0" xfId="0" applyNumberFormat="1" applyFont="1" applyProtection="1">
      <protection locked="0"/>
    </xf>
    <xf numFmtId="10" fontId="11" fillId="0" borderId="0" xfId="51704" applyFont="1" applyFill="1" applyAlignment="1" applyProtection="1">
      <protection locked="0"/>
    </xf>
    <xf numFmtId="177" fontId="11" fillId="0" borderId="0" xfId="3428" applyNumberFormat="1" applyFont="1" applyFill="1" applyProtection="1">
      <protection locked="0"/>
    </xf>
    <xf numFmtId="363"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7" fontId="11" fillId="52" borderId="6" xfId="3428" applyNumberFormat="1" applyFont="1" applyFill="1" applyBorder="1" applyProtection="1"/>
    <xf numFmtId="178" fontId="286" fillId="0" borderId="0" xfId="75" applyNumberFormat="1" applyFont="1" applyAlignment="1" applyProtection="1">
      <alignment horizontal="center" vertical="center" wrapText="1"/>
      <protection locked="0"/>
    </xf>
    <xf numFmtId="0" fontId="32" fillId="47" borderId="130" xfId="75" applyFont="1" applyFill="1" applyBorder="1"/>
    <xf numFmtId="0" fontId="272" fillId="47" borderId="142" xfId="90" applyFont="1" applyFill="1" applyBorder="1" applyAlignment="1">
      <alignment horizontal="left"/>
    </xf>
    <xf numFmtId="0" fontId="274" fillId="47" borderId="142" xfId="90" applyFont="1" applyFill="1" applyBorder="1" applyAlignment="1">
      <alignment horizontal="left"/>
    </xf>
    <xf numFmtId="0" fontId="249" fillId="0" borderId="0" xfId="79" applyFont="1" applyAlignment="1">
      <alignment horizontal="left"/>
    </xf>
    <xf numFmtId="0" fontId="249" fillId="0" borderId="0" xfId="79" applyFont="1" applyAlignment="1">
      <alignment horizontal="left" indent="1"/>
    </xf>
    <xf numFmtId="0" fontId="250" fillId="0" borderId="0" xfId="78" applyFont="1"/>
    <xf numFmtId="0" fontId="251" fillId="0" borderId="0" xfId="78" applyFont="1"/>
    <xf numFmtId="0" fontId="249" fillId="0" borderId="0" xfId="78" applyFont="1" applyAlignment="1">
      <alignment horizontal="left"/>
    </xf>
    <xf numFmtId="173" fontId="38" fillId="48" borderId="0" xfId="94" applyAlignment="1">
      <alignment horizontal="left" vertical="center" indent="1"/>
    </xf>
    <xf numFmtId="173" fontId="38" fillId="48" borderId="0" xfId="94">
      <alignment vertical="center"/>
    </xf>
    <xf numFmtId="173" fontId="38" fillId="0" borderId="0" xfId="94" applyFill="1">
      <alignment vertical="center"/>
    </xf>
    <xf numFmtId="173" fontId="38" fillId="0" borderId="0" xfId="0" applyNumberFormat="1" applyFont="1" applyAlignment="1">
      <alignment vertical="center"/>
    </xf>
    <xf numFmtId="173" fontId="38" fillId="0" borderId="0" xfId="94" applyFill="1" applyAlignment="1">
      <alignment horizontal="left" vertical="center" indent="1"/>
    </xf>
    <xf numFmtId="0" fontId="253" fillId="0" borderId="0" xfId="85" applyFont="1" applyAlignment="1">
      <alignment horizontal="left" indent="1"/>
    </xf>
    <xf numFmtId="0" fontId="12" fillId="0" borderId="0" xfId="85" applyFont="1"/>
    <xf numFmtId="0" fontId="0" fillId="0" borderId="135" xfId="0" applyBorder="1" applyAlignment="1">
      <alignment horizontal="center" vertical="top"/>
    </xf>
    <xf numFmtId="0" fontId="0" fillId="0" borderId="28" xfId="0" applyBorder="1" applyAlignment="1">
      <alignment horizontal="center" vertical="top"/>
    </xf>
    <xf numFmtId="0" fontId="0" fillId="0" borderId="118" xfId="0" applyBorder="1" applyAlignment="1">
      <alignment horizontal="center" vertical="top"/>
    </xf>
    <xf numFmtId="0" fontId="0" fillId="0" borderId="138" xfId="0" applyBorder="1" applyAlignment="1">
      <alignment horizontal="center" vertical="top"/>
    </xf>
    <xf numFmtId="0" fontId="11" fillId="0" borderId="0" xfId="85" applyFont="1" applyAlignment="1">
      <alignment horizontal="left" indent="1"/>
    </xf>
    <xf numFmtId="353" fontId="9" fillId="2" borderId="6" xfId="0" applyNumberFormat="1" applyFont="1" applyFill="1" applyBorder="1" applyAlignment="1">
      <alignment horizontal="center" vertical="center"/>
    </xf>
    <xf numFmtId="0" fontId="11" fillId="0" borderId="0" xfId="80" applyFont="1" applyAlignment="1">
      <alignment horizontal="right" indent="1"/>
    </xf>
    <xf numFmtId="1" fontId="9" fillId="2" borderId="104" xfId="0" applyNumberFormat="1" applyFont="1" applyFill="1" applyBorder="1" applyAlignment="1">
      <alignment horizontal="center" vertical="center"/>
    </xf>
    <xf numFmtId="1" fontId="9" fillId="2" borderId="118" xfId="0" applyNumberFormat="1" applyFont="1" applyFill="1" applyBorder="1" applyAlignment="1">
      <alignment horizontal="center" vertical="center"/>
    </xf>
    <xf numFmtId="1" fontId="9" fillId="2" borderId="73" xfId="0" applyNumberFormat="1" applyFont="1" applyFill="1" applyBorder="1" applyAlignment="1">
      <alignment horizontal="center" vertical="center"/>
    </xf>
    <xf numFmtId="14" fontId="0" fillId="2" borderId="6" xfId="0" applyNumberFormat="1" applyFill="1" applyBorder="1"/>
    <xf numFmtId="0" fontId="12" fillId="0" borderId="0" xfId="85" applyFont="1" applyAlignment="1">
      <alignment horizontal="left" indent="1"/>
    </xf>
    <xf numFmtId="0" fontId="11" fillId="0" borderId="0" xfId="48236"/>
    <xf numFmtId="0" fontId="11" fillId="0" borderId="59" xfId="85" applyFont="1" applyBorder="1" applyAlignment="1">
      <alignment horizontal="center"/>
    </xf>
    <xf numFmtId="0" fontId="11" fillId="0" borderId="60" xfId="85" applyFont="1" applyBorder="1" applyAlignment="1">
      <alignment horizontal="center"/>
    </xf>
    <xf numFmtId="0" fontId="11" fillId="0" borderId="96" xfId="85" applyFont="1" applyBorder="1" applyAlignment="1">
      <alignment horizontal="center"/>
    </xf>
    <xf numFmtId="0" fontId="11" fillId="0" borderId="112" xfId="85" applyFont="1" applyBorder="1" applyAlignment="1">
      <alignment horizontal="center"/>
    </xf>
    <xf numFmtId="173" fontId="11" fillId="0" borderId="0" xfId="0" applyNumberFormat="1" applyFont="1" applyAlignment="1">
      <alignment horizontal="left" vertical="center" wrapText="1"/>
    </xf>
    <xf numFmtId="0" fontId="281" fillId="0" borderId="0" xfId="85" applyFont="1"/>
    <xf numFmtId="0" fontId="11" fillId="0" borderId="6" xfId="85" applyFont="1" applyBorder="1"/>
    <xf numFmtId="0" fontId="11" fillId="51" borderId="0" xfId="85" applyFont="1" applyFill="1"/>
    <xf numFmtId="0" fontId="256" fillId="0" borderId="0" xfId="85" applyFont="1"/>
    <xf numFmtId="178" fontId="11" fillId="0" borderId="0" xfId="85" applyNumberFormat="1" applyFont="1"/>
    <xf numFmtId="0" fontId="12" fillId="0" borderId="0" xfId="85" applyFont="1" applyAlignment="1">
      <alignment horizontal="right"/>
    </xf>
    <xf numFmtId="0" fontId="12" fillId="0" borderId="0" xfId="85" applyFont="1" applyAlignment="1">
      <alignment vertical="center"/>
    </xf>
    <xf numFmtId="0" fontId="8" fillId="0" borderId="0" xfId="0" applyFont="1"/>
    <xf numFmtId="0" fontId="11" fillId="0" borderId="0" xfId="85" applyFont="1" applyAlignment="1">
      <alignment horizontal="left" vertical="center" wrapText="1"/>
    </xf>
    <xf numFmtId="351" fontId="11" fillId="0" borderId="0" xfId="85" applyNumberFormat="1" applyFont="1"/>
    <xf numFmtId="173" fontId="37" fillId="42" borderId="0" xfId="0" applyNumberFormat="1" applyFont="1" applyFill="1" applyAlignment="1">
      <alignment vertical="center"/>
    </xf>
    <xf numFmtId="173" fontId="39" fillId="49" borderId="0" xfId="96" applyAlignment="1">
      <alignment horizontal="left" vertical="center" indent="1"/>
    </xf>
    <xf numFmtId="173" fontId="39" fillId="49" borderId="0" xfId="96" applyAlignment="1">
      <alignment vertical="center"/>
    </xf>
    <xf numFmtId="173" fontId="39" fillId="0" borderId="0" xfId="96" applyFill="1" applyAlignment="1">
      <alignment vertical="center"/>
    </xf>
    <xf numFmtId="173" fontId="11" fillId="3" borderId="135" xfId="0" applyNumberFormat="1" applyFont="1" applyFill="1" applyBorder="1" applyAlignment="1" applyProtection="1">
      <alignment vertical="center"/>
      <protection locked="0"/>
    </xf>
    <xf numFmtId="173" fontId="11" fillId="3" borderId="28" xfId="0" applyNumberFormat="1" applyFont="1" applyFill="1" applyBorder="1" applyAlignment="1" applyProtection="1">
      <alignment vertical="center" wrapText="1"/>
      <protection locked="0"/>
    </xf>
    <xf numFmtId="173" fontId="11" fillId="3" borderId="28" xfId="0" applyNumberFormat="1" applyFont="1" applyFill="1" applyBorder="1" applyAlignment="1" applyProtection="1">
      <alignment horizontal="left" vertical="center" wrapText="1"/>
      <protection locked="0"/>
    </xf>
    <xf numFmtId="173" fontId="11" fillId="3" borderId="138" xfId="0" applyNumberFormat="1" applyFont="1" applyFill="1" applyBorder="1" applyAlignment="1" applyProtection="1">
      <alignment horizontal="left" vertical="center" wrapText="1"/>
      <protection locked="0"/>
    </xf>
    <xf numFmtId="0" fontId="0" fillId="141" borderId="0" xfId="0" applyFill="1" applyProtection="1">
      <protection locked="0"/>
    </xf>
    <xf numFmtId="0" fontId="0" fillId="52" borderId="153" xfId="0" applyFill="1" applyBorder="1" applyAlignment="1">
      <alignment horizontal="center"/>
    </xf>
    <xf numFmtId="0" fontId="0" fillId="52" borderId="64" xfId="0" applyFill="1" applyBorder="1" applyAlignment="1">
      <alignment horizontal="center"/>
    </xf>
    <xf numFmtId="0" fontId="0" fillId="52" borderId="155" xfId="0" applyFill="1" applyBorder="1" applyAlignment="1">
      <alignment horizontal="center"/>
    </xf>
    <xf numFmtId="10" fontId="0" fillId="52" borderId="94" xfId="0" applyNumberFormat="1" applyFill="1" applyBorder="1"/>
    <xf numFmtId="10" fontId="0" fillId="52" borderId="152" xfId="0" applyNumberFormat="1" applyFill="1" applyBorder="1"/>
    <xf numFmtId="10" fontId="0" fillId="52" borderId="96" xfId="0" applyNumberFormat="1" applyFill="1" applyBorder="1"/>
    <xf numFmtId="1" fontId="9" fillId="53" borderId="198" xfId="0" applyNumberFormat="1" applyFont="1" applyFill="1" applyBorder="1" applyAlignment="1">
      <alignment horizontal="center" vertical="center"/>
    </xf>
    <xf numFmtId="1" fontId="9" fillId="53" borderId="199" xfId="0" applyNumberFormat="1" applyFont="1" applyFill="1" applyBorder="1" applyAlignment="1">
      <alignment horizontal="center" vertical="center"/>
    </xf>
    <xf numFmtId="178" fontId="0" fillId="117" borderId="200" xfId="0" applyNumberFormat="1" applyFill="1" applyBorder="1" applyAlignment="1">
      <alignment horizontal="right" indent="1"/>
    </xf>
    <xf numFmtId="10" fontId="0" fillId="52" borderId="201" xfId="0" applyNumberFormat="1" applyFill="1" applyBorder="1"/>
    <xf numFmtId="178" fontId="0" fillId="117" borderId="202" xfId="0" applyNumberFormat="1" applyFill="1" applyBorder="1" applyAlignment="1">
      <alignment horizontal="right" indent="1"/>
    </xf>
    <xf numFmtId="10" fontId="0" fillId="52" borderId="203" xfId="0" applyNumberFormat="1" applyFill="1" applyBorder="1"/>
    <xf numFmtId="178" fontId="0" fillId="117" borderId="201" xfId="0" applyNumberFormat="1" applyFill="1" applyBorder="1" applyAlignment="1">
      <alignment horizontal="right" indent="1"/>
    </xf>
    <xf numFmtId="10" fontId="0" fillId="52" borderId="204" xfId="0" applyNumberFormat="1" applyFill="1" applyBorder="1"/>
    <xf numFmtId="10" fontId="0" fillId="52" borderId="173" xfId="0" applyNumberFormat="1" applyFill="1" applyBorder="1"/>
    <xf numFmtId="178" fontId="0" fillId="117" borderId="133" xfId="0" applyNumberFormat="1" applyFill="1" applyBorder="1" applyAlignment="1">
      <alignment horizontal="right" indent="1"/>
    </xf>
    <xf numFmtId="178" fontId="0" fillId="117" borderId="205" xfId="0" applyNumberFormat="1" applyFill="1" applyBorder="1" applyAlignment="1">
      <alignment horizontal="right" indent="1"/>
    </xf>
    <xf numFmtId="0" fontId="0" fillId="0" borderId="156" xfId="0" applyBorder="1"/>
    <xf numFmtId="0" fontId="0" fillId="0" borderId="206" xfId="0" applyBorder="1" applyAlignment="1">
      <alignment horizontal="center" vertical="center"/>
    </xf>
    <xf numFmtId="0" fontId="0" fillId="0" borderId="207" xfId="0" applyBorder="1" applyAlignment="1">
      <alignment horizontal="center" vertical="center"/>
    </xf>
    <xf numFmtId="0" fontId="0" fillId="0" borderId="208" xfId="0" applyBorder="1" applyAlignment="1">
      <alignment horizontal="center" vertical="center"/>
    </xf>
    <xf numFmtId="1" fontId="9" fillId="53" borderId="211" xfId="0" applyNumberFormat="1" applyFont="1" applyFill="1" applyBorder="1" applyAlignment="1">
      <alignment horizontal="center" vertical="center"/>
    </xf>
    <xf numFmtId="1" fontId="9" fillId="53" borderId="212" xfId="0" applyNumberFormat="1" applyFont="1" applyFill="1" applyBorder="1" applyAlignment="1">
      <alignment horizontal="center" vertical="center"/>
    </xf>
    <xf numFmtId="1" fontId="9" fillId="53" borderId="213" xfId="0" applyNumberFormat="1" applyFont="1" applyFill="1" applyBorder="1" applyAlignment="1">
      <alignment horizontal="center" vertical="center"/>
    </xf>
    <xf numFmtId="1" fontId="9" fillId="53" borderId="214" xfId="0" applyNumberFormat="1" applyFont="1" applyFill="1" applyBorder="1" applyAlignment="1">
      <alignment horizontal="center" vertical="center"/>
    </xf>
    <xf numFmtId="178" fontId="0" fillId="117" borderId="215" xfId="0" applyNumberFormat="1" applyFill="1" applyBorder="1" applyAlignment="1">
      <alignment horizontal="right" indent="1"/>
    </xf>
    <xf numFmtId="10" fontId="0" fillId="0" borderId="162"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19"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35"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66" xfId="0" applyBorder="1" applyAlignment="1">
      <alignment horizontal="left" vertical="top" wrapText="1" indent="1"/>
    </xf>
    <xf numFmtId="0" fontId="0" fillId="0" borderId="165" xfId="0" applyBorder="1" applyAlignment="1">
      <alignment vertical="top"/>
    </xf>
    <xf numFmtId="177" fontId="0" fillId="131" borderId="136"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42" borderId="0" xfId="0" applyFill="1" applyAlignment="1" applyProtection="1">
      <alignment horizontal="left" vertical="top"/>
      <protection locked="0"/>
    </xf>
    <xf numFmtId="0" fontId="0" fillId="0" borderId="165"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65" xfId="0" applyBorder="1" applyAlignment="1">
      <alignment vertical="top" wrapText="1"/>
    </xf>
    <xf numFmtId="0" fontId="0" fillId="0" borderId="138" xfId="0" applyBorder="1" applyAlignment="1">
      <alignment vertical="top" wrapText="1"/>
    </xf>
    <xf numFmtId="0" fontId="0" fillId="0" borderId="167" xfId="0" applyBorder="1" applyAlignment="1">
      <alignment vertical="top" wrapText="1"/>
    </xf>
    <xf numFmtId="0" fontId="0" fillId="0" borderId="216"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285" fillId="54" borderId="180" xfId="51694" quotePrefix="1" applyFont="1" applyFill="1" applyBorder="1" applyAlignment="1" applyProtection="1">
      <alignment vertical="center"/>
      <protection locked="0"/>
    </xf>
    <xf numFmtId="0" fontId="0" fillId="0" borderId="6" xfId="0" applyBorder="1" applyAlignment="1">
      <alignment horizontal="left" vertical="center" wrapText="1" indent="1"/>
    </xf>
    <xf numFmtId="178" fontId="292" fillId="54" borderId="0" xfId="75" applyNumberFormat="1" applyFont="1" applyFill="1" applyAlignment="1" applyProtection="1">
      <alignment horizontal="center" vertical="center"/>
      <protection locked="0"/>
    </xf>
    <xf numFmtId="178" fontId="289" fillId="54" borderId="0" xfId="75" applyNumberFormat="1" applyFont="1" applyFill="1" applyAlignment="1" applyProtection="1">
      <alignment horizontal="center" vertical="center"/>
      <protection locked="0"/>
    </xf>
    <xf numFmtId="0" fontId="3" fillId="54" borderId="138" xfId="51694" applyFill="1" applyBorder="1" applyAlignment="1" applyProtection="1">
      <alignment vertical="center"/>
      <protection locked="0"/>
    </xf>
    <xf numFmtId="0" fontId="282" fillId="54" borderId="135" xfId="51694" applyFont="1" applyFill="1" applyBorder="1" applyAlignment="1" applyProtection="1">
      <alignment vertical="center"/>
      <protection locked="0"/>
    </xf>
    <xf numFmtId="0" fontId="282" fillId="54" borderId="135" xfId="51694" applyFont="1" applyFill="1" applyBorder="1" applyAlignment="1" applyProtection="1">
      <alignment horizontal="left" vertical="center"/>
      <protection locked="0"/>
    </xf>
    <xf numFmtId="0" fontId="282" fillId="54" borderId="138" xfId="51694" applyFont="1" applyFill="1" applyBorder="1" applyAlignment="1" applyProtection="1">
      <alignment horizontal="left" vertical="center"/>
      <protection locked="0"/>
    </xf>
    <xf numFmtId="0" fontId="0" fillId="0" borderId="217" xfId="0" applyBorder="1" applyAlignment="1">
      <alignment vertical="top" wrapText="1"/>
    </xf>
    <xf numFmtId="0" fontId="0" fillId="0" borderId="218" xfId="0" applyBorder="1"/>
    <xf numFmtId="0" fontId="0" fillId="0" borderId="218" xfId="0" applyBorder="1" applyAlignment="1">
      <alignment horizontal="left" vertical="top" wrapText="1" indent="1"/>
    </xf>
    <xf numFmtId="0" fontId="0" fillId="0" borderId="138" xfId="0" applyBorder="1" applyAlignment="1">
      <alignment wrapText="1"/>
    </xf>
    <xf numFmtId="43" fontId="0" fillId="0" borderId="0" xfId="0" applyNumberFormat="1" applyAlignment="1" applyProtection="1">
      <alignment horizontal="center" vertical="top"/>
      <protection locked="0"/>
    </xf>
    <xf numFmtId="178" fontId="11" fillId="0" borderId="135" xfId="7" applyNumberFormat="1" applyFont="1" applyBorder="1" applyAlignment="1">
      <alignment horizontal="center" vertical="center"/>
    </xf>
    <xf numFmtId="0" fontId="9" fillId="2" borderId="165" xfId="0" applyFont="1" applyFill="1" applyBorder="1" applyAlignment="1">
      <alignment horizontal="center" vertical="center"/>
    </xf>
    <xf numFmtId="0" fontId="12" fillId="2" borderId="165" xfId="7" applyFont="1" applyFill="1" applyBorder="1" applyAlignment="1">
      <alignment horizontal="center" vertical="center"/>
    </xf>
    <xf numFmtId="178" fontId="0" fillId="0" borderId="6" xfId="0" applyNumberFormat="1" applyBorder="1" applyAlignment="1">
      <alignment horizontal="right" indent="1"/>
    </xf>
    <xf numFmtId="178" fontId="0" fillId="0" borderId="135"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34" xfId="0" applyBorder="1" applyAlignment="1">
      <alignment horizontal="left" vertical="center" wrapText="1" indent="1"/>
    </xf>
    <xf numFmtId="0" fontId="0" fillId="0" borderId="134" xfId="0" applyBorder="1" applyAlignment="1">
      <alignment wrapText="1"/>
    </xf>
    <xf numFmtId="0" fontId="0" fillId="0" borderId="134" xfId="0" applyBorder="1" applyAlignment="1">
      <alignment horizontal="left" vertical="center"/>
    </xf>
    <xf numFmtId="0" fontId="0" fillId="0" borderId="134" xfId="0" applyBorder="1" applyAlignment="1">
      <alignment vertical="center"/>
    </xf>
    <xf numFmtId="0" fontId="0" fillId="0" borderId="134"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34" xfId="0" applyBorder="1" applyAlignment="1">
      <alignment horizontal="left" vertical="center" wrapText="1"/>
    </xf>
    <xf numFmtId="175" fontId="0" fillId="0" borderId="0" xfId="77" applyNumberFormat="1" applyFont="1"/>
    <xf numFmtId="177" fontId="0" fillId="43" borderId="164" xfId="51696" applyNumberFormat="1" applyFont="1" applyBorder="1">
      <alignment vertical="center"/>
    </xf>
    <xf numFmtId="177" fontId="0" fillId="43" borderId="186" xfId="51696" applyNumberFormat="1" applyFont="1" applyBorder="1">
      <alignment vertical="center"/>
    </xf>
    <xf numFmtId="177" fontId="0" fillId="43" borderId="104" xfId="51696" applyNumberFormat="1" applyFont="1" applyBorder="1">
      <alignment vertical="center"/>
    </xf>
    <xf numFmtId="177" fontId="0" fillId="43" borderId="72" xfId="51696" applyNumberFormat="1" applyFont="1" applyBorder="1">
      <alignment vertical="center"/>
    </xf>
    <xf numFmtId="175" fontId="1" fillId="0" borderId="0" xfId="77" applyNumberFormat="1" applyFont="1"/>
    <xf numFmtId="0" fontId="0" fillId="0" borderId="165" xfId="0" applyBorder="1" applyAlignment="1">
      <alignment horizontal="center" vertical="top"/>
    </xf>
    <xf numFmtId="178" fontId="3" fillId="54" borderId="180" xfId="51694" applyNumberFormat="1" applyFill="1" applyBorder="1" applyAlignment="1" applyProtection="1">
      <alignment horizontal="center" vertical="center"/>
      <protection locked="0"/>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8" applyFont="1" applyFill="1"/>
    <xf numFmtId="0" fontId="8" fillId="54" borderId="0" xfId="51698"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700" applyFont="1" applyFill="1"/>
    <xf numFmtId="0" fontId="8" fillId="54" borderId="0" xfId="51701" applyFill="1"/>
    <xf numFmtId="0" fontId="11" fillId="54" borderId="0" xfId="85" applyFont="1" applyFill="1" applyProtection="1">
      <protection locked="0"/>
    </xf>
    <xf numFmtId="0" fontId="11" fillId="54" borderId="0" xfId="85" applyFont="1" applyFill="1" applyAlignment="1">
      <alignment horizontal="left" indent="1"/>
    </xf>
    <xf numFmtId="10" fontId="8" fillId="0" borderId="6" xfId="83" applyNumberFormat="1" applyFont="1" applyFill="1" applyBorder="1" applyProtection="1"/>
    <xf numFmtId="362" fontId="38" fillId="0" borderId="6" xfId="51703" applyNumberFormat="1" applyFont="1" applyBorder="1" applyAlignment="1">
      <alignment vertical="center"/>
    </xf>
    <xf numFmtId="0" fontId="11" fillId="0" borderId="6" xfId="0" applyFont="1" applyBorder="1" applyProtection="1">
      <protection locked="0"/>
    </xf>
    <xf numFmtId="0" fontId="298" fillId="0" borderId="0" xfId="0" applyFont="1"/>
    <xf numFmtId="0" fontId="298" fillId="143" borderId="6" xfId="0" applyFont="1" applyFill="1" applyBorder="1" applyAlignment="1">
      <alignment wrapText="1"/>
    </xf>
    <xf numFmtId="0" fontId="298" fillId="143" borderId="138" xfId="0" applyFont="1" applyFill="1" applyBorder="1" applyAlignment="1">
      <alignment wrapText="1"/>
    </xf>
    <xf numFmtId="348" fontId="0" fillId="3" borderId="71" xfId="0" applyNumberFormat="1" applyFill="1" applyBorder="1" applyAlignment="1" applyProtection="1">
      <alignment horizontal="right" vertical="center"/>
      <protection locked="0"/>
    </xf>
    <xf numFmtId="14" fontId="0" fillId="0" borderId="6" xfId="0" applyNumberFormat="1" applyBorder="1" applyAlignment="1" applyProtection="1">
      <alignment horizontal="right" vertical="top"/>
      <protection locked="0"/>
    </xf>
    <xf numFmtId="0" fontId="1" fillId="0" borderId="6" xfId="51694" applyFont="1" applyBorder="1" applyAlignment="1" applyProtection="1">
      <alignment vertical="center"/>
      <protection locked="0"/>
    </xf>
    <xf numFmtId="0" fontId="299" fillId="0" borderId="180" xfId="51694" applyFont="1" applyBorder="1" applyAlignment="1" applyProtection="1">
      <alignment horizontal="left" vertical="center"/>
      <protection locked="0"/>
    </xf>
    <xf numFmtId="178" fontId="283" fillId="36" borderId="142" xfId="75" applyNumberFormat="1" applyFont="1" applyFill="1" applyBorder="1" applyAlignment="1" applyProtection="1">
      <alignment horizontal="center" vertical="center"/>
      <protection locked="0"/>
    </xf>
    <xf numFmtId="178" fontId="1" fillId="52" borderId="0" xfId="51694" applyNumberFormat="1" applyFont="1" applyFill="1" applyAlignment="1">
      <alignment horizontal="center" vertical="center"/>
    </xf>
    <xf numFmtId="177" fontId="0" fillId="0" borderId="0" xfId="0" applyNumberFormat="1"/>
    <xf numFmtId="43" fontId="0" fillId="0" borderId="0" xfId="0" applyNumberFormat="1" applyProtection="1">
      <protection locked="0"/>
    </xf>
    <xf numFmtId="175" fontId="0" fillId="0" borderId="0" xfId="0" applyNumberFormat="1" applyAlignment="1">
      <alignment horizontal="right"/>
    </xf>
    <xf numFmtId="178" fontId="283" fillId="36" borderId="0" xfId="75" applyNumberFormat="1" applyFont="1" applyFill="1" applyAlignment="1" applyProtection="1">
      <alignment horizontal="center" vertical="center"/>
      <protection locked="0"/>
    </xf>
    <xf numFmtId="177" fontId="0" fillId="3" borderId="168" xfId="0" applyNumberFormat="1" applyFill="1" applyBorder="1" applyAlignment="1" applyProtection="1">
      <alignment horizontal="right" vertical="top"/>
      <protection locked="0"/>
    </xf>
    <xf numFmtId="0" fontId="0" fillId="0" borderId="0" xfId="0" applyAlignment="1">
      <alignment horizontal="center"/>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100" xfId="0" applyBorder="1" applyAlignment="1">
      <alignment horizontal="left" vertical="center" wrapText="1"/>
    </xf>
    <xf numFmtId="0" fontId="0" fillId="0" borderId="79" xfId="0" applyBorder="1" applyAlignment="1">
      <alignment horizontal="left"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178" fontId="0" fillId="117" borderId="102" xfId="0" applyNumberFormat="1" applyFill="1" applyBorder="1" applyAlignment="1">
      <alignment horizontal="center"/>
    </xf>
    <xf numFmtId="178" fontId="0" fillId="117" borderId="96" xfId="0" applyNumberFormat="1" applyFill="1" applyBorder="1" applyAlignment="1">
      <alignment horizontal="center"/>
    </xf>
    <xf numFmtId="178" fontId="0" fillId="117" borderId="61" xfId="0" applyNumberFormat="1" applyFill="1" applyBorder="1" applyAlignment="1">
      <alignment horizontal="center"/>
    </xf>
    <xf numFmtId="0" fontId="0" fillId="0" borderId="0" xfId="0" applyAlignment="1">
      <alignment horizontal="left" vertical="center" wrapText="1" indent="1"/>
    </xf>
    <xf numFmtId="0" fontId="0" fillId="0" borderId="95" xfId="0" applyBorder="1" applyAlignment="1">
      <alignment horizontal="left" vertical="center" wrapText="1"/>
    </xf>
    <xf numFmtId="1" fontId="9" fillId="0" borderId="195" xfId="0" applyNumberFormat="1" applyFont="1" applyBorder="1" applyAlignment="1">
      <alignment horizontal="center" vertical="center"/>
    </xf>
    <xf numFmtId="1" fontId="9" fillId="0" borderId="196" xfId="0" applyNumberFormat="1" applyFont="1" applyBorder="1" applyAlignment="1">
      <alignment horizontal="center" vertical="center"/>
    </xf>
    <xf numFmtId="1" fontId="9" fillId="0" borderId="197" xfId="0" applyNumberFormat="1" applyFont="1" applyBorder="1" applyAlignment="1">
      <alignment horizontal="center" vertical="center"/>
    </xf>
    <xf numFmtId="1" fontId="9" fillId="0" borderId="209" xfId="0" applyNumberFormat="1" applyFont="1" applyBorder="1" applyAlignment="1">
      <alignment horizontal="center" vertical="center"/>
    </xf>
    <xf numFmtId="1" fontId="9" fillId="0" borderId="210" xfId="0" applyNumberFormat="1" applyFont="1" applyBorder="1" applyAlignment="1">
      <alignment horizontal="center" vertical="center"/>
    </xf>
    <xf numFmtId="0" fontId="0" fillId="0" borderId="98" xfId="0" applyBorder="1" applyAlignment="1">
      <alignment horizontal="left" vertical="center" wrapText="1"/>
    </xf>
    <xf numFmtId="0" fontId="0" fillId="0" borderId="80" xfId="0" applyBorder="1" applyAlignment="1">
      <alignment horizontal="left" vertical="center" wrapText="1"/>
    </xf>
    <xf numFmtId="3" fontId="0" fillId="54" borderId="135"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6" xfId="0" applyBorder="1" applyAlignment="1">
      <alignment horizontal="left" vertical="center" wrapText="1" indent="1"/>
    </xf>
    <xf numFmtId="3" fontId="0" fillId="0" borderId="166" xfId="0" applyNumberFormat="1" applyBorder="1" applyAlignment="1">
      <alignment horizontal="center" vertical="center" wrapText="1"/>
    </xf>
    <xf numFmtId="3" fontId="0" fillId="0" borderId="165"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0" xfId="0" applyAlignment="1">
      <alignment horizontal="left" vertical="center" wrapText="1"/>
    </xf>
    <xf numFmtId="0" fontId="0" fillId="0" borderId="97" xfId="0" applyBorder="1"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62" xfId="0" applyBorder="1" applyAlignment="1">
      <alignment horizontal="left" vertical="center" wrapText="1" indent="1"/>
    </xf>
    <xf numFmtId="0" fontId="0" fillId="0" borderId="163" xfId="0" applyBorder="1" applyAlignment="1">
      <alignment horizontal="left" vertical="center" wrapText="1" indent="1"/>
    </xf>
    <xf numFmtId="0" fontId="0" fillId="0" borderId="0" xfId="0" applyAlignment="1">
      <alignment horizontal="center" wrapText="1"/>
    </xf>
    <xf numFmtId="0" fontId="0" fillId="0" borderId="160" xfId="0" applyBorder="1" applyAlignment="1">
      <alignment horizontal="center" vertical="center" wrapText="1"/>
    </xf>
    <xf numFmtId="0" fontId="0" fillId="0" borderId="161" xfId="0" applyBorder="1" applyAlignment="1">
      <alignment horizontal="center"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0" borderId="0" xfId="0" applyAlignment="1" applyProtection="1">
      <alignment horizontal="center"/>
      <protection locked="0"/>
    </xf>
    <xf numFmtId="0" fontId="0" fillId="3" borderId="166"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3" borderId="167"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0" borderId="0" xfId="85" applyFont="1" applyAlignment="1">
      <alignment horizontal="left" vertical="center" wrapText="1"/>
    </xf>
    <xf numFmtId="0" fontId="12" fillId="0" borderId="0" xfId="85" applyFont="1" applyAlignment="1">
      <alignment horizontal="left" vertical="center" wrapText="1"/>
    </xf>
    <xf numFmtId="173" fontId="11" fillId="3" borderId="100" xfId="0" applyNumberFormat="1" applyFont="1" applyFill="1" applyBorder="1" applyAlignment="1" applyProtection="1">
      <alignment horizontal="left" vertical="center" indent="1"/>
      <protection locked="0"/>
    </xf>
    <xf numFmtId="173" fontId="11" fillId="3" borderId="101" xfId="0" applyNumberFormat="1" applyFont="1" applyFill="1" applyBorder="1" applyAlignment="1" applyProtection="1">
      <alignment horizontal="left" vertical="center" indent="1"/>
      <protection locked="0"/>
    </xf>
    <xf numFmtId="173" fontId="11" fillId="3" borderId="95" xfId="0" applyNumberFormat="1" applyFont="1" applyFill="1" applyBorder="1" applyAlignment="1" applyProtection="1">
      <alignment horizontal="left" vertical="center" indent="1"/>
      <protection locked="0"/>
    </xf>
    <xf numFmtId="173" fontId="11" fillId="3" borderId="62" xfId="0" applyNumberFormat="1" applyFont="1" applyFill="1" applyBorder="1" applyAlignment="1" applyProtection="1">
      <alignment horizontal="left" vertical="center" indent="1"/>
      <protection locked="0"/>
    </xf>
    <xf numFmtId="173" fontId="11" fillId="3" borderId="63" xfId="0" applyNumberFormat="1" applyFont="1" applyFill="1" applyBorder="1" applyAlignment="1" applyProtection="1">
      <alignment horizontal="left" vertical="center" indent="1"/>
      <protection locked="0"/>
    </xf>
    <xf numFmtId="173" fontId="11" fillId="3" borderId="64" xfId="0" applyNumberFormat="1" applyFont="1" applyFill="1" applyBorder="1" applyAlignment="1" applyProtection="1">
      <alignment horizontal="left" vertical="center" indent="1"/>
      <protection locked="0"/>
    </xf>
    <xf numFmtId="173" fontId="11" fillId="3" borderId="65" xfId="0" applyNumberFormat="1" applyFont="1" applyFill="1" applyBorder="1" applyAlignment="1" applyProtection="1">
      <alignment horizontal="left" vertical="center" indent="1"/>
      <protection locked="0"/>
    </xf>
    <xf numFmtId="173" fontId="11" fillId="3" borderId="66" xfId="0" applyNumberFormat="1" applyFont="1" applyFill="1" applyBorder="1" applyAlignment="1" applyProtection="1">
      <alignment horizontal="left" vertical="center" indent="1"/>
      <protection locked="0"/>
    </xf>
    <xf numFmtId="173" fontId="11" fillId="3" borderId="67" xfId="0" applyNumberFormat="1" applyFont="1" applyFill="1" applyBorder="1" applyAlignment="1" applyProtection="1">
      <alignment horizontal="left" vertical="center" indent="1"/>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0" fontId="8" fillId="42" borderId="135" xfId="78" applyFont="1" applyFill="1" applyBorder="1" applyAlignment="1">
      <alignment horizontal="center" vertical="center"/>
    </xf>
    <xf numFmtId="0" fontId="8" fillId="42" borderId="28" xfId="78" applyFont="1" applyFill="1" applyBorder="1" applyAlignment="1">
      <alignment horizontal="center" vertical="center"/>
    </xf>
    <xf numFmtId="0" fontId="8" fillId="42" borderId="138" xfId="78" applyFont="1" applyFill="1" applyBorder="1" applyAlignment="1">
      <alignment horizontal="center" vertical="center"/>
    </xf>
    <xf numFmtId="0" fontId="8" fillId="0" borderId="135" xfId="78" applyFont="1" applyBorder="1" applyAlignment="1">
      <alignment horizontal="center" vertical="center"/>
    </xf>
    <xf numFmtId="0" fontId="8" fillId="0" borderId="28" xfId="78" applyFont="1" applyBorder="1" applyAlignment="1">
      <alignment horizontal="center" vertical="center"/>
    </xf>
    <xf numFmtId="0" fontId="8" fillId="0" borderId="138" xfId="78" applyFont="1" applyBorder="1" applyAlignment="1">
      <alignment horizontal="center" vertical="center"/>
    </xf>
    <xf numFmtId="0" fontId="248" fillId="116" borderId="0" xfId="0" applyFont="1" applyFill="1" applyAlignment="1" applyProtection="1">
      <alignment horizontal="left" vertical="top" wrapText="1"/>
      <protection locked="0"/>
    </xf>
    <xf numFmtId="0" fontId="282" fillId="135" borderId="165"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85" fillId="0" borderId="180"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67"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65"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178" fontId="283" fillId="0" borderId="6" xfId="51694" applyNumberFormat="1" applyFont="1" applyBorder="1" applyAlignment="1" applyProtection="1">
      <alignment horizontal="left"/>
      <protection locked="0"/>
    </xf>
    <xf numFmtId="0" fontId="284" fillId="0" borderId="180"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65" xfId="0" applyFill="1" applyBorder="1" applyAlignment="1" applyProtection="1">
      <alignment horizontal="center" vertical="top" wrapText="1"/>
      <protection locked="0"/>
    </xf>
    <xf numFmtId="0" fontId="0" fillId="53" borderId="179"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131">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20.bin"/><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zoomScaleNormal="100" workbookViewId="0">
      <selection activeCell="A5" sqref="A5"/>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1298" customFormat="1" ht="56.9" customHeight="1"/>
    <row r="2" spans="1:10" ht="20">
      <c r="A2" s="106" t="s">
        <v>0</v>
      </c>
      <c r="B2" s="107"/>
      <c r="C2" s="107"/>
      <c r="D2" s="108"/>
      <c r="E2" s="109"/>
      <c r="F2" s="107"/>
      <c r="G2" s="110"/>
      <c r="H2" s="107"/>
      <c r="I2" s="107"/>
    </row>
    <row r="3" spans="1:10" ht="20">
      <c r="A3" s="106" t="str">
        <f>Licensee</f>
        <v>Cadent-London</v>
      </c>
      <c r="B3" s="107"/>
      <c r="C3" s="107"/>
      <c r="D3" s="109"/>
      <c r="E3" s="109"/>
      <c r="F3" s="107"/>
      <c r="G3" s="110"/>
      <c r="H3" s="107"/>
      <c r="I3" s="107"/>
    </row>
    <row r="4" spans="1:10" ht="20">
      <c r="A4" s="106" t="s">
        <v>1</v>
      </c>
      <c r="B4" s="107"/>
      <c r="C4" s="107"/>
      <c r="D4" s="109"/>
      <c r="E4" s="109"/>
      <c r="F4" s="107"/>
      <c r="G4" s="110"/>
      <c r="H4" s="107"/>
      <c r="I4" s="107"/>
    </row>
    <row r="5" spans="1:10" ht="20">
      <c r="A5" s="174"/>
      <c r="B5" s="175"/>
      <c r="C5" s="175"/>
      <c r="D5" s="176"/>
      <c r="E5" s="176"/>
      <c r="F5" s="175"/>
      <c r="G5" s="310"/>
      <c r="H5" s="175"/>
      <c r="I5" s="175"/>
    </row>
    <row r="6" spans="1:10" ht="14">
      <c r="A6" s="7"/>
      <c r="B6" s="209" t="s">
        <v>2</v>
      </c>
      <c r="C6" s="216" cm="1">
        <f t="array" ref="C6">INDEX(Data!$E$63:'Data'!$E$91,MATCH(Licensee,Data!$B$63:$B$91,0),0)</f>
        <v>2022</v>
      </c>
      <c r="D6" s="176"/>
      <c r="E6" s="176"/>
      <c r="H6" s="311"/>
    </row>
    <row r="7" spans="1:10" ht="13.5" customHeight="1">
      <c r="A7" s="7"/>
      <c r="B7" s="209" t="s">
        <v>3</v>
      </c>
      <c r="C7" s="210" t="s">
        <v>4</v>
      </c>
      <c r="D7" s="176"/>
      <c r="E7" s="176"/>
      <c r="F7" s="211"/>
      <c r="G7" s="312" t="s">
        <v>5</v>
      </c>
      <c r="H7" s="311"/>
    </row>
    <row r="8" spans="1:10" ht="13.5" customHeight="1">
      <c r="A8" s="7"/>
      <c r="B8" s="209" t="s">
        <v>6</v>
      </c>
      <c r="C8" s="1203" t="str">
        <f>INDEX(Data!$A$63:$A$91,MATCH($C$7,Data!$B$63:$B$91,0),0)&amp;"2"</f>
        <v>GD2</v>
      </c>
      <c r="D8" s="176"/>
      <c r="E8" s="176"/>
      <c r="F8" s="213"/>
      <c r="G8" s="312" t="s">
        <v>7</v>
      </c>
      <c r="H8" s="311"/>
    </row>
    <row r="9" spans="1:10" ht="27">
      <c r="A9" s="7"/>
      <c r="B9" s="214" t="s">
        <v>8</v>
      </c>
      <c r="C9" s="215">
        <v>2024</v>
      </c>
      <c r="D9" s="176"/>
      <c r="E9" s="176"/>
      <c r="F9" s="216"/>
      <c r="G9" s="313" t="s">
        <v>9</v>
      </c>
      <c r="H9" s="311"/>
    </row>
    <row r="10" spans="1:10" ht="14">
      <c r="A10" s="7"/>
      <c r="B10" s="209" t="s">
        <v>10</v>
      </c>
      <c r="C10" s="215"/>
      <c r="D10" s="176"/>
      <c r="E10" s="176"/>
      <c r="F10" s="217"/>
      <c r="G10" s="312" t="s">
        <v>11</v>
      </c>
      <c r="H10" s="311"/>
    </row>
    <row r="11" spans="1:10" ht="14">
      <c r="A11" s="7"/>
      <c r="B11" s="209" t="s">
        <v>12</v>
      </c>
      <c r="C11" s="218"/>
      <c r="D11" s="176"/>
      <c r="E11" s="176"/>
      <c r="F11" s="219"/>
      <c r="G11" s="312" t="s">
        <v>13</v>
      </c>
      <c r="H11" s="311"/>
    </row>
    <row r="12" spans="1:10" ht="14">
      <c r="A12" s="7"/>
      <c r="D12" s="176"/>
      <c r="E12" s="176"/>
      <c r="F12" s="220"/>
      <c r="G12" s="312" t="s">
        <v>14</v>
      </c>
      <c r="H12" s="311"/>
    </row>
    <row r="13" spans="1:10" ht="14">
      <c r="A13" s="7"/>
      <c r="D13" s="176"/>
      <c r="E13" s="176"/>
      <c r="F13" s="221"/>
      <c r="G13" s="312" t="s">
        <v>15</v>
      </c>
      <c r="H13" s="311"/>
    </row>
    <row r="14" spans="1:10">
      <c r="A14" s="7"/>
      <c r="D14" s="176"/>
      <c r="E14" s="176"/>
      <c r="F14" s="2"/>
      <c r="G14" s="314"/>
    </row>
    <row r="15" spans="1:10">
      <c r="C15" s="176"/>
      <c r="F15" s="176"/>
      <c r="G15"/>
      <c r="H15" s="176"/>
      <c r="J15" s="176"/>
    </row>
    <row r="16" spans="1:10">
      <c r="C16" s="176"/>
      <c r="F16" s="176"/>
      <c r="G16"/>
      <c r="H16" s="176"/>
      <c r="J16" s="176"/>
    </row>
    <row r="17" spans="3:10">
      <c r="C17" s="176"/>
      <c r="F17" s="176"/>
      <c r="G17"/>
      <c r="H17" s="176"/>
      <c r="J17" s="176"/>
    </row>
    <row r="18" spans="3:10">
      <c r="C18" s="176"/>
      <c r="F18" s="176"/>
      <c r="G18"/>
      <c r="H18" s="176"/>
      <c r="J18" s="176"/>
    </row>
    <row r="19" spans="3:10">
      <c r="C19" s="176"/>
      <c r="F19" s="176"/>
      <c r="G19"/>
      <c r="H19" s="176"/>
      <c r="J19" s="176"/>
    </row>
    <row r="20" spans="3:10">
      <c r="C20" s="176"/>
      <c r="F20" s="176"/>
      <c r="G20"/>
      <c r="H20" s="176"/>
      <c r="J20" s="176"/>
    </row>
    <row r="21" spans="3:10">
      <c r="J21" s="176"/>
    </row>
    <row r="22" spans="3:10">
      <c r="C22" s="176"/>
      <c r="F22" s="176"/>
      <c r="G22"/>
      <c r="H22" s="176"/>
      <c r="J22" s="176"/>
    </row>
    <row r="23" spans="3:10">
      <c r="C23" s="176"/>
      <c r="F23" s="176"/>
      <c r="G23"/>
      <c r="H23" s="176"/>
      <c r="J23" s="176"/>
    </row>
    <row r="24" spans="3:10">
      <c r="C24" s="176"/>
      <c r="F24" s="176"/>
      <c r="G24"/>
      <c r="H24" s="176"/>
      <c r="J24" s="176"/>
    </row>
    <row r="25" spans="3:10">
      <c r="C25" s="176"/>
      <c r="F25" s="176"/>
      <c r="G25"/>
      <c r="H25" s="176"/>
      <c r="J25" s="176"/>
    </row>
    <row r="26" spans="3:10">
      <c r="C26" s="176"/>
      <c r="F26" s="176"/>
      <c r="G26"/>
      <c r="H26" s="176"/>
      <c r="J26" s="176"/>
    </row>
    <row r="27" spans="3:10">
      <c r="C27" s="176"/>
      <c r="F27" s="176"/>
      <c r="G27"/>
      <c r="H27" s="176"/>
      <c r="J27" s="176"/>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8"/>
  <sheetViews>
    <sheetView zoomScale="85" zoomScaleNormal="85" workbookViewId="0">
      <selection activeCell="D20" sqref="D20"/>
    </sheetView>
  </sheetViews>
  <sheetFormatPr defaultColWidth="0" defaultRowHeight="13.5" zeroHeight="1" outlineLevelRow="1" outlineLevelCol="1"/>
  <cols>
    <col min="1" max="1" width="9.3828125" style="114" customWidth="1"/>
    <col min="2" max="2" width="5.3828125" style="114" customWidth="1"/>
    <col min="3" max="3" width="13.15234375" style="114" customWidth="1"/>
    <col min="4" max="4" width="16.3828125" style="114" customWidth="1"/>
    <col min="5" max="5" width="17.15234375" style="114" customWidth="1"/>
    <col min="6" max="6" width="16.61328125" style="114" customWidth="1"/>
    <col min="7" max="7" width="6" style="114" customWidth="1"/>
    <col min="8" max="8" width="7.4609375" style="114" customWidth="1"/>
    <col min="9" max="9" width="14.765625" style="114" customWidth="1"/>
    <col min="10" max="11" width="2.84375" style="114" customWidth="1"/>
    <col min="12" max="12" width="9.15234375" style="114" customWidth="1"/>
    <col min="13" max="20" width="10.84375" style="114" customWidth="1" outlineLevel="1"/>
    <col min="21" max="21" width="10.84375" style="114" customWidth="1"/>
    <col min="22" max="22" width="10.84375" style="114" customWidth="1" outlineLevel="1"/>
    <col min="23" max="23" width="5" style="114" customWidth="1"/>
    <col min="24" max="16373" width="0" style="114" hidden="1"/>
    <col min="16374" max="16384" width="9.15234375" style="114" hidden="1"/>
  </cols>
  <sheetData>
    <row r="1" spans="1:34" ht="20">
      <c r="A1" s="324" t="s">
        <v>265</v>
      </c>
      <c r="B1" s="326"/>
      <c r="C1" s="326"/>
      <c r="D1" s="327"/>
      <c r="E1" s="327"/>
      <c r="F1" s="327"/>
      <c r="G1" s="327"/>
      <c r="H1" s="599"/>
      <c r="I1" s="599"/>
      <c r="J1" s="328"/>
      <c r="K1" s="328"/>
      <c r="L1" s="328"/>
      <c r="M1" s="328"/>
      <c r="N1" s="328"/>
      <c r="O1" s="328"/>
      <c r="P1" s="328"/>
      <c r="Q1" s="328"/>
      <c r="R1" s="328"/>
      <c r="S1" s="328"/>
      <c r="T1" s="328"/>
      <c r="U1" s="328"/>
      <c r="V1" s="328"/>
      <c r="W1" s="456"/>
    </row>
    <row r="2" spans="1:34" ht="20">
      <c r="A2" s="329" t="s">
        <v>4</v>
      </c>
      <c r="B2" s="331"/>
      <c r="C2" s="331"/>
      <c r="D2" s="332"/>
      <c r="E2" s="332"/>
      <c r="F2" s="332"/>
      <c r="G2" s="332"/>
      <c r="H2" s="333"/>
      <c r="I2" s="333"/>
      <c r="J2" s="333"/>
      <c r="K2" s="333"/>
      <c r="L2" s="333"/>
      <c r="M2" s="333"/>
      <c r="N2" s="333"/>
      <c r="O2" s="333"/>
      <c r="P2" s="333"/>
      <c r="Q2" s="333"/>
      <c r="R2" s="333"/>
      <c r="S2" s="333"/>
      <c r="T2" s="333"/>
      <c r="U2" s="333"/>
      <c r="V2" s="333"/>
      <c r="W2" s="334"/>
    </row>
    <row r="3" spans="1:34" ht="20">
      <c r="A3" s="555">
        <v>2024</v>
      </c>
      <c r="B3" s="556"/>
      <c r="C3" s="600"/>
      <c r="D3" s="600"/>
      <c r="E3" s="600"/>
      <c r="F3" s="600"/>
      <c r="G3" s="335"/>
      <c r="H3" s="336"/>
      <c r="I3" s="336"/>
      <c r="J3" s="336"/>
      <c r="K3" s="336"/>
      <c r="L3" s="336"/>
      <c r="M3" s="336"/>
      <c r="N3" s="336"/>
      <c r="O3" s="336"/>
      <c r="P3" s="336"/>
      <c r="Q3" s="336"/>
      <c r="R3" s="336"/>
      <c r="S3" s="336"/>
      <c r="T3" s="336"/>
      <c r="U3" s="336"/>
      <c r="V3" s="336"/>
      <c r="W3" s="337"/>
    </row>
    <row r="4" spans="1:34" s="50" customFormat="1" ht="16">
      <c r="A4" s="285"/>
      <c r="B4" s="549" t="s">
        <v>729</v>
      </c>
      <c r="C4" s="158"/>
      <c r="D4" s="601"/>
      <c r="E4" s="159"/>
      <c r="F4" s="159"/>
      <c r="G4" s="159"/>
      <c r="H4" s="159"/>
      <c r="I4" s="159"/>
      <c r="J4" s="159"/>
      <c r="K4" s="159"/>
      <c r="L4" s="160"/>
      <c r="M4" s="160"/>
      <c r="N4" s="160"/>
      <c r="O4" s="160"/>
      <c r="P4" s="160"/>
      <c r="Q4" s="160"/>
      <c r="R4" s="160"/>
      <c r="S4" s="160"/>
      <c r="T4" s="160"/>
      <c r="U4" s="160"/>
      <c r="V4" s="52"/>
      <c r="W4" s="52"/>
    </row>
    <row r="5" spans="1:34" s="602" customFormat="1" ht="16">
      <c r="C5" s="603"/>
      <c r="D5" s="603"/>
      <c r="E5" s="603"/>
      <c r="F5" s="603"/>
      <c r="G5" s="603"/>
      <c r="H5" s="603"/>
      <c r="I5" s="603"/>
      <c r="J5" s="603"/>
      <c r="K5" s="603"/>
      <c r="L5" s="603"/>
      <c r="M5" s="603"/>
      <c r="N5" s="603"/>
      <c r="O5" s="603"/>
      <c r="P5" s="603"/>
      <c r="Q5" s="603"/>
      <c r="R5" s="603"/>
      <c r="S5" s="603"/>
      <c r="T5" s="603"/>
      <c r="U5" s="603"/>
      <c r="V5" s="603"/>
      <c r="W5" s="603"/>
      <c r="X5" s="603"/>
      <c r="Y5" s="603"/>
      <c r="Z5" s="603"/>
      <c r="AA5" s="603"/>
      <c r="AB5" s="603"/>
      <c r="AC5" s="603"/>
      <c r="AD5" s="603"/>
      <c r="AE5" s="603"/>
      <c r="AF5" s="603"/>
      <c r="AG5" s="603"/>
      <c r="AH5" s="603"/>
    </row>
    <row r="6" spans="1:34" s="602" customFormat="1" ht="16">
      <c r="B6" s="603"/>
      <c r="C6" s="603"/>
      <c r="D6" s="603"/>
      <c r="E6" s="603"/>
      <c r="F6" s="603"/>
      <c r="G6" s="603"/>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row>
    <row r="7" spans="1:34" s="51" customFormat="1" ht="15">
      <c r="A7" s="285"/>
      <c r="B7" s="285" t="s">
        <v>522</v>
      </c>
      <c r="C7" s="52"/>
      <c r="D7" s="285"/>
      <c r="E7" s="284"/>
      <c r="F7" s="284"/>
      <c r="G7" s="284"/>
      <c r="H7" s="284"/>
      <c r="I7" s="284"/>
      <c r="J7" s="284"/>
      <c r="K7" s="284"/>
      <c r="L7" s="284"/>
      <c r="M7" s="1362" t="s">
        <v>730</v>
      </c>
      <c r="N7" s="1363"/>
      <c r="O7" s="1363"/>
      <c r="P7" s="1363"/>
      <c r="Q7" s="1364"/>
      <c r="R7" s="1365" t="s">
        <v>731</v>
      </c>
      <c r="S7" s="1366"/>
      <c r="T7" s="1367"/>
      <c r="U7" s="1366"/>
      <c r="V7" s="1368"/>
      <c r="W7" s="284"/>
    </row>
    <row r="8" spans="1:34" s="50" customFormat="1" ht="15">
      <c r="A8" s="52"/>
      <c r="B8" s="604"/>
      <c r="C8" s="605"/>
      <c r="D8" s="606"/>
      <c r="E8" s="606"/>
      <c r="F8" s="606"/>
      <c r="G8" s="606"/>
      <c r="H8" s="606"/>
      <c r="I8" s="606"/>
      <c r="J8" s="606"/>
      <c r="K8" s="606"/>
      <c r="L8" s="606"/>
      <c r="M8" s="607" t="s">
        <v>1250</v>
      </c>
      <c r="N8" s="608" t="s">
        <v>1250</v>
      </c>
      <c r="O8" s="608" t="s">
        <v>1250</v>
      </c>
      <c r="P8" s="608" t="s">
        <v>1251</v>
      </c>
      <c r="Q8" s="608" t="s">
        <v>1251</v>
      </c>
      <c r="R8" s="608" t="s">
        <v>1251</v>
      </c>
      <c r="S8" s="608" t="s">
        <v>1251</v>
      </c>
      <c r="T8" s="609" t="s">
        <v>1251</v>
      </c>
      <c r="U8" s="610" t="s">
        <v>1251</v>
      </c>
      <c r="V8" s="610" t="s">
        <v>1251</v>
      </c>
      <c r="W8" s="52"/>
    </row>
    <row r="9" spans="1:34" s="50" customFormat="1" ht="15">
      <c r="A9" s="606"/>
      <c r="B9" s="606"/>
      <c r="C9" s="606" t="s">
        <v>732</v>
      </c>
      <c r="D9" s="606"/>
      <c r="E9" s="606"/>
      <c r="F9" s="606"/>
      <c r="G9" s="606"/>
      <c r="H9" s="611">
        <v>0</v>
      </c>
      <c r="I9" s="606"/>
      <c r="J9" s="606"/>
      <c r="K9" s="606"/>
      <c r="L9" s="612" t="s">
        <v>733</v>
      </c>
      <c r="M9" s="613">
        <v>2022</v>
      </c>
      <c r="N9" s="614">
        <v>2023</v>
      </c>
      <c r="O9" s="614">
        <v>2024</v>
      </c>
      <c r="P9" s="614">
        <v>2025</v>
      </c>
      <c r="Q9" s="614">
        <v>2026</v>
      </c>
      <c r="R9" s="614">
        <v>2027</v>
      </c>
      <c r="S9" s="615">
        <v>2028</v>
      </c>
      <c r="T9" s="616">
        <v>2029</v>
      </c>
      <c r="U9" s="617">
        <v>2030</v>
      </c>
      <c r="V9" s="614">
        <v>2031</v>
      </c>
      <c r="W9" s="52"/>
    </row>
    <row r="10" spans="1:34" s="606" customFormat="1">
      <c r="O10" s="618"/>
      <c r="P10" s="618"/>
      <c r="Q10" s="618"/>
      <c r="R10" s="618"/>
      <c r="S10" s="618"/>
      <c r="T10" s="619"/>
      <c r="U10" s="620"/>
      <c r="V10" s="618"/>
    </row>
    <row r="11" spans="1:34" s="606" customFormat="1" ht="15">
      <c r="B11" s="621" t="s">
        <v>734</v>
      </c>
      <c r="C11" s="622"/>
      <c r="D11" s="622"/>
      <c r="E11" s="623"/>
      <c r="F11" s="623"/>
      <c r="G11" s="622"/>
      <c r="H11" s="622"/>
      <c r="I11" s="622"/>
      <c r="J11" s="622"/>
      <c r="K11" s="622"/>
      <c r="L11" s="622"/>
      <c r="M11" s="622"/>
      <c r="N11" s="622"/>
      <c r="O11" s="622"/>
      <c r="P11" s="622"/>
      <c r="Q11" s="622"/>
      <c r="R11" s="622"/>
      <c r="S11" s="622"/>
      <c r="T11" s="624"/>
      <c r="U11" s="622"/>
      <c r="V11" s="622"/>
    </row>
    <row r="12" spans="1:34" s="606" customFormat="1" ht="14">
      <c r="B12" s="625"/>
      <c r="C12" s="626"/>
      <c r="D12" s="627"/>
      <c r="E12" s="627"/>
      <c r="F12" s="627"/>
      <c r="G12" s="627"/>
      <c r="H12" s="627"/>
      <c r="I12" s="605" t="s">
        <v>735</v>
      </c>
      <c r="J12" s="627"/>
      <c r="K12" s="627"/>
      <c r="L12" s="627"/>
      <c r="M12" s="627"/>
      <c r="N12" s="627"/>
      <c r="O12" s="627"/>
      <c r="P12" s="627"/>
      <c r="Q12" s="627"/>
      <c r="R12" s="627"/>
      <c r="S12" s="627"/>
      <c r="T12" s="628"/>
      <c r="U12" s="627"/>
      <c r="V12" s="627"/>
    </row>
    <row r="13" spans="1:34" s="606" customFormat="1" outlineLevel="1">
      <c r="B13" s="629" t="s">
        <v>840</v>
      </c>
      <c r="C13" s="629" t="s">
        <v>841</v>
      </c>
      <c r="D13" s="630"/>
      <c r="E13" s="629"/>
      <c r="F13" s="629"/>
      <c r="I13" s="630" t="s">
        <v>176</v>
      </c>
      <c r="L13" s="631" t="s">
        <v>613</v>
      </c>
      <c r="M13" s="700">
        <v>0</v>
      </c>
      <c r="N13" s="701">
        <v>0</v>
      </c>
      <c r="O13" s="701">
        <v>0</v>
      </c>
      <c r="P13" s="701">
        <v>0</v>
      </c>
      <c r="Q13" s="701">
        <v>0</v>
      </c>
      <c r="R13" s="701">
        <v>0</v>
      </c>
      <c r="S13" s="702">
        <v>0</v>
      </c>
      <c r="T13" s="703">
        <v>0</v>
      </c>
      <c r="U13" s="704">
        <v>0</v>
      </c>
      <c r="V13" s="701">
        <v>0</v>
      </c>
    </row>
    <row r="14" spans="1:34" s="606" customFormat="1" outlineLevel="1">
      <c r="B14" s="629" t="s">
        <v>844</v>
      </c>
      <c r="C14" s="629" t="s">
        <v>845</v>
      </c>
      <c r="D14" s="630"/>
      <c r="E14" s="629"/>
      <c r="F14" s="629"/>
      <c r="I14" s="630" t="s">
        <v>186</v>
      </c>
      <c r="L14" s="631" t="s">
        <v>613</v>
      </c>
      <c r="M14" s="700">
        <v>48.206582261571754</v>
      </c>
      <c r="N14" s="701">
        <v>89.502767910062261</v>
      </c>
      <c r="O14" s="701">
        <v>44.636410433039217</v>
      </c>
      <c r="P14" s="701">
        <v>36.146872502694748</v>
      </c>
      <c r="Q14" s="701">
        <v>30.449657252733076</v>
      </c>
      <c r="R14" s="701">
        <v>27.602731907270449</v>
      </c>
      <c r="S14" s="702">
        <v>7.5430769247301406</v>
      </c>
      <c r="T14" s="703">
        <v>7.384898207614798</v>
      </c>
      <c r="U14" s="704">
        <v>7.368272291113998</v>
      </c>
      <c r="V14" s="701">
        <v>4.0498515127013963</v>
      </c>
    </row>
    <row r="15" spans="1:34" s="606" customFormat="1" outlineLevel="1">
      <c r="B15" s="629" t="s">
        <v>847</v>
      </c>
      <c r="C15" s="629" t="s">
        <v>848</v>
      </c>
      <c r="D15" s="630"/>
      <c r="E15" s="629"/>
      <c r="F15" s="629"/>
      <c r="H15" s="632"/>
      <c r="I15" s="630" t="s">
        <v>196</v>
      </c>
      <c r="L15" s="631" t="s">
        <v>613</v>
      </c>
      <c r="M15" s="700">
        <v>0</v>
      </c>
      <c r="N15" s="701">
        <v>0</v>
      </c>
      <c r="O15" s="701">
        <v>0</v>
      </c>
      <c r="P15" s="701">
        <v>0</v>
      </c>
      <c r="Q15" s="701">
        <v>0</v>
      </c>
      <c r="R15" s="701">
        <v>0</v>
      </c>
      <c r="S15" s="702">
        <v>0</v>
      </c>
      <c r="T15" s="703">
        <v>0</v>
      </c>
      <c r="U15" s="704">
        <v>0</v>
      </c>
      <c r="V15" s="701">
        <v>0</v>
      </c>
    </row>
    <row r="16" spans="1:34" s="606" customFormat="1" outlineLevel="1">
      <c r="B16" s="629" t="s">
        <v>850</v>
      </c>
      <c r="C16" s="629" t="s">
        <v>851</v>
      </c>
      <c r="D16" s="630"/>
      <c r="E16" s="629"/>
      <c r="F16" s="629"/>
      <c r="I16" s="630" t="s">
        <v>205</v>
      </c>
      <c r="L16" s="631" t="s">
        <v>613</v>
      </c>
      <c r="M16" s="700">
        <v>0</v>
      </c>
      <c r="N16" s="701">
        <v>0</v>
      </c>
      <c r="O16" s="701">
        <v>0</v>
      </c>
      <c r="P16" s="701">
        <v>0</v>
      </c>
      <c r="Q16" s="701">
        <v>0</v>
      </c>
      <c r="R16" s="701">
        <v>0</v>
      </c>
      <c r="S16" s="702">
        <v>0</v>
      </c>
      <c r="T16" s="703">
        <v>0</v>
      </c>
      <c r="U16" s="704">
        <v>0</v>
      </c>
      <c r="V16" s="701">
        <v>0</v>
      </c>
    </row>
    <row r="17" spans="2:29" s="606" customFormat="1" outlineLevel="1">
      <c r="B17" s="629" t="s">
        <v>853</v>
      </c>
      <c r="C17" s="629" t="s">
        <v>854</v>
      </c>
      <c r="D17" s="630"/>
      <c r="E17" s="629"/>
      <c r="F17" s="629"/>
      <c r="I17" s="630" t="s">
        <v>210</v>
      </c>
      <c r="L17" s="631" t="s">
        <v>613</v>
      </c>
      <c r="M17" s="700">
        <v>0</v>
      </c>
      <c r="N17" s="701">
        <v>0</v>
      </c>
      <c r="O17" s="701">
        <v>0</v>
      </c>
      <c r="P17" s="701">
        <v>0</v>
      </c>
      <c r="Q17" s="701">
        <v>0</v>
      </c>
      <c r="R17" s="701">
        <v>0</v>
      </c>
      <c r="S17" s="702">
        <v>0</v>
      </c>
      <c r="T17" s="703">
        <v>0</v>
      </c>
      <c r="U17" s="704">
        <v>0</v>
      </c>
      <c r="V17" s="701">
        <v>0</v>
      </c>
    </row>
    <row r="18" spans="2:29" s="606" customFormat="1" outlineLevel="1">
      <c r="B18" s="629" t="s">
        <v>856</v>
      </c>
      <c r="C18" s="629" t="s">
        <v>857</v>
      </c>
      <c r="D18" s="630"/>
      <c r="E18" s="629"/>
      <c r="F18" s="629"/>
      <c r="I18" s="630" t="s">
        <v>215</v>
      </c>
      <c r="L18" s="631" t="s">
        <v>613</v>
      </c>
      <c r="M18" s="700">
        <v>143.04521032512551</v>
      </c>
      <c r="N18" s="701">
        <v>181.95730572714837</v>
      </c>
      <c r="O18" s="701">
        <v>220.02064482083117</v>
      </c>
      <c r="P18" s="701">
        <v>206.86089980542033</v>
      </c>
      <c r="Q18" s="701">
        <v>202.06559879914795</v>
      </c>
      <c r="R18" s="701">
        <v>205.46309130262858</v>
      </c>
      <c r="S18" s="702">
        <v>208.88349365540063</v>
      </c>
      <c r="T18" s="703">
        <v>200.21086351149759</v>
      </c>
      <c r="U18" s="704">
        <v>177.78546007556747</v>
      </c>
      <c r="V18" s="701">
        <v>159.6771796027659</v>
      </c>
    </row>
    <row r="19" spans="2:29" s="606" customFormat="1">
      <c r="B19" s="629" t="s">
        <v>859</v>
      </c>
      <c r="C19" s="629" t="s">
        <v>860</v>
      </c>
      <c r="D19" s="630"/>
      <c r="E19" s="629"/>
      <c r="F19" s="633"/>
      <c r="G19" s="632"/>
      <c r="H19" s="632"/>
      <c r="I19" s="630" t="s">
        <v>219</v>
      </c>
      <c r="L19" s="631" t="s">
        <v>613</v>
      </c>
      <c r="M19" s="705">
        <v>111.47969843707931</v>
      </c>
      <c r="N19" s="706">
        <v>182.61881028457162</v>
      </c>
      <c r="O19" s="706">
        <v>125.16581073317019</v>
      </c>
      <c r="P19" s="706">
        <v>130.54125766147541</v>
      </c>
      <c r="Q19" s="706">
        <v>111.58637263082299</v>
      </c>
      <c r="R19" s="706">
        <v>113.8918067858412</v>
      </c>
      <c r="S19" s="707">
        <v>108.79717286576076</v>
      </c>
      <c r="T19" s="708">
        <v>103.82510487903198</v>
      </c>
      <c r="U19" s="709">
        <v>73.837711949243115</v>
      </c>
      <c r="V19" s="706">
        <v>47.375488106079509</v>
      </c>
    </row>
    <row r="20" spans="2:29" s="606" customFormat="1">
      <c r="B20" s="629" t="s">
        <v>863</v>
      </c>
      <c r="C20" s="629" t="s">
        <v>864</v>
      </c>
      <c r="D20" s="630"/>
      <c r="E20" s="629"/>
      <c r="F20" s="633"/>
      <c r="G20" s="632"/>
      <c r="H20" s="632"/>
      <c r="I20" s="630" t="s">
        <v>222</v>
      </c>
      <c r="L20" s="631" t="s">
        <v>613</v>
      </c>
      <c r="M20" s="700">
        <v>-40.324713147912973</v>
      </c>
      <c r="N20" s="701">
        <v>-54.449633429880741</v>
      </c>
      <c r="O20" s="701">
        <v>-93.229698294671252</v>
      </c>
      <c r="P20" s="701">
        <v>-123.98988325932149</v>
      </c>
      <c r="Q20" s="701">
        <v>-119.34156721286774</v>
      </c>
      <c r="R20" s="701">
        <v>-115.6452292286901</v>
      </c>
      <c r="S20" s="702">
        <v>-97.568975357811397</v>
      </c>
      <c r="T20" s="703">
        <v>-91.857595863962956</v>
      </c>
      <c r="U20" s="704">
        <v>-65.795332250784099</v>
      </c>
      <c r="V20" s="701">
        <v>-47.814577986282167</v>
      </c>
    </row>
    <row r="21" spans="2:29" s="606" customFormat="1">
      <c r="B21" s="629" t="s">
        <v>866</v>
      </c>
      <c r="C21" s="629" t="s">
        <v>216</v>
      </c>
      <c r="D21" s="630"/>
      <c r="E21" s="629"/>
      <c r="F21" s="633"/>
      <c r="G21" s="632"/>
      <c r="H21" s="632"/>
      <c r="I21" s="630" t="s">
        <v>216</v>
      </c>
      <c r="L21" s="631" t="s">
        <v>613</v>
      </c>
      <c r="M21" s="700">
        <v>0</v>
      </c>
      <c r="N21" s="701">
        <v>0</v>
      </c>
      <c r="O21" s="701">
        <v>0</v>
      </c>
      <c r="P21" s="701">
        <v>0</v>
      </c>
      <c r="Q21" s="701">
        <v>0</v>
      </c>
      <c r="R21" s="701">
        <v>0</v>
      </c>
      <c r="S21" s="702">
        <v>0</v>
      </c>
      <c r="T21" s="703">
        <v>0</v>
      </c>
      <c r="U21" s="704">
        <v>0</v>
      </c>
      <c r="V21" s="701">
        <v>0</v>
      </c>
    </row>
    <row r="22" spans="2:29" s="606" customFormat="1" outlineLevel="1">
      <c r="C22" s="634" t="s">
        <v>557</v>
      </c>
      <c r="M22" s="710" t="s">
        <v>1258</v>
      </c>
      <c r="N22" s="710" t="s">
        <v>1258</v>
      </c>
      <c r="O22" s="710" t="s">
        <v>1258</v>
      </c>
      <c r="P22" s="710" t="s">
        <v>1258</v>
      </c>
      <c r="Q22" s="710" t="s">
        <v>1258</v>
      </c>
      <c r="R22" s="710" t="s">
        <v>1258</v>
      </c>
      <c r="S22" s="710" t="s">
        <v>1258</v>
      </c>
      <c r="T22" s="711" t="s">
        <v>1258</v>
      </c>
      <c r="U22" s="710" t="s">
        <v>1258</v>
      </c>
      <c r="V22" s="710" t="s">
        <v>1258</v>
      </c>
      <c r="W22" s="53"/>
      <c r="X22" s="53"/>
      <c r="Y22" s="53"/>
      <c r="Z22" s="53"/>
      <c r="AA22" s="53"/>
      <c r="AB22" s="53"/>
      <c r="AC22" s="53"/>
    </row>
    <row r="23" spans="2:29" s="606" customFormat="1" outlineLevel="1">
      <c r="C23" s="634"/>
      <c r="T23" s="319"/>
      <c r="U23" s="53"/>
      <c r="V23" s="53"/>
      <c r="W23" s="53"/>
      <c r="X23" s="53"/>
      <c r="Y23" s="53"/>
      <c r="Z23" s="53"/>
      <c r="AA23" s="53"/>
      <c r="AB23" s="53"/>
      <c r="AC23" s="53"/>
    </row>
    <row r="24" spans="2:29" s="606" customFormat="1" ht="15">
      <c r="B24" s="621" t="s">
        <v>736</v>
      </c>
      <c r="C24" s="622"/>
      <c r="D24" s="622"/>
      <c r="E24" s="623"/>
      <c r="F24" s="623"/>
      <c r="G24" s="622"/>
      <c r="H24" s="622"/>
      <c r="I24" s="622"/>
      <c r="J24" s="622"/>
      <c r="K24" s="622"/>
      <c r="L24" s="622"/>
      <c r="M24" s="622"/>
      <c r="N24" s="622"/>
      <c r="O24" s="622"/>
      <c r="P24" s="622"/>
      <c r="Q24" s="622"/>
      <c r="R24" s="622"/>
      <c r="S24" s="622"/>
      <c r="T24" s="624"/>
      <c r="U24" s="622"/>
      <c r="V24" s="622"/>
    </row>
    <row r="25" spans="2:29" s="606" customFormat="1" ht="14">
      <c r="B25" s="625"/>
      <c r="C25" s="626"/>
      <c r="D25" s="627"/>
      <c r="E25" s="627"/>
      <c r="F25" s="627"/>
      <c r="G25" s="627"/>
      <c r="H25" s="627"/>
      <c r="I25" s="627"/>
      <c r="J25" s="627"/>
      <c r="K25" s="627"/>
      <c r="L25" s="627"/>
      <c r="M25" s="627"/>
      <c r="N25" s="627"/>
      <c r="O25" s="627"/>
      <c r="P25" s="627"/>
      <c r="Q25" s="627"/>
      <c r="R25" s="627"/>
      <c r="S25" s="627"/>
      <c r="T25" s="628"/>
      <c r="U25" s="627"/>
      <c r="V25" s="627"/>
    </row>
    <row r="26" spans="2:29" s="606" customFormat="1" outlineLevel="1">
      <c r="B26" s="629" t="s">
        <v>840</v>
      </c>
      <c r="C26" s="629" t="s">
        <v>841</v>
      </c>
      <c r="D26" s="629"/>
      <c r="E26" s="629"/>
      <c r="F26" s="605"/>
      <c r="L26" s="631" t="s">
        <v>613</v>
      </c>
      <c r="M26" s="635">
        <v>0</v>
      </c>
      <c r="N26" s="635">
        <v>0</v>
      </c>
      <c r="O26" s="635">
        <v>0</v>
      </c>
      <c r="P26" s="635">
        <v>0</v>
      </c>
      <c r="Q26" s="635">
        <v>0</v>
      </c>
      <c r="R26" s="635">
        <v>0</v>
      </c>
      <c r="S26" s="635">
        <v>0</v>
      </c>
      <c r="T26" s="635">
        <v>0</v>
      </c>
      <c r="U26" s="635">
        <v>0</v>
      </c>
      <c r="V26" s="635">
        <v>0</v>
      </c>
    </row>
    <row r="27" spans="2:29" s="606" customFormat="1" outlineLevel="1">
      <c r="B27" s="629" t="s">
        <v>844</v>
      </c>
      <c r="C27" s="629" t="s">
        <v>845</v>
      </c>
      <c r="D27" s="629"/>
      <c r="E27" s="629"/>
      <c r="F27" s="605"/>
      <c r="L27" s="631" t="s">
        <v>613</v>
      </c>
      <c r="M27" s="635">
        <v>9.8337062500000023</v>
      </c>
      <c r="N27" s="635">
        <v>18.42896189</v>
      </c>
      <c r="O27" s="635">
        <v>29.072996990000004</v>
      </c>
      <c r="P27" s="635">
        <v>43.006661150000006</v>
      </c>
      <c r="Q27" s="635">
        <v>37.215538970000004</v>
      </c>
      <c r="R27" s="635">
        <v>34.326546749999999</v>
      </c>
      <c r="S27" s="635">
        <v>14.47966884</v>
      </c>
      <c r="T27" s="635">
        <v>14.28971617</v>
      </c>
      <c r="U27" s="635">
        <v>14.2349742</v>
      </c>
      <c r="V27" s="635">
        <v>9.4195763100000001</v>
      </c>
    </row>
    <row r="28" spans="2:29" s="606" customFormat="1" outlineLevel="1">
      <c r="B28" s="629" t="s">
        <v>847</v>
      </c>
      <c r="C28" s="629" t="s">
        <v>848</v>
      </c>
      <c r="D28" s="629"/>
      <c r="E28" s="629"/>
      <c r="F28" s="605"/>
      <c r="L28" s="631" t="s">
        <v>613</v>
      </c>
      <c r="M28" s="635">
        <v>0</v>
      </c>
      <c r="N28" s="635">
        <v>0</v>
      </c>
      <c r="O28" s="635">
        <v>0</v>
      </c>
      <c r="P28" s="635">
        <v>0</v>
      </c>
      <c r="Q28" s="635">
        <v>0</v>
      </c>
      <c r="R28" s="635">
        <v>0</v>
      </c>
      <c r="S28" s="635">
        <v>0</v>
      </c>
      <c r="T28" s="635">
        <v>0</v>
      </c>
      <c r="U28" s="635">
        <v>0</v>
      </c>
      <c r="V28" s="635">
        <v>0</v>
      </c>
    </row>
    <row r="29" spans="2:29" s="606" customFormat="1" outlineLevel="1">
      <c r="B29" s="629" t="s">
        <v>850</v>
      </c>
      <c r="C29" s="629" t="s">
        <v>851</v>
      </c>
      <c r="D29" s="629"/>
      <c r="E29" s="629"/>
      <c r="F29" s="605"/>
      <c r="L29" s="631" t="s">
        <v>613</v>
      </c>
      <c r="M29" s="635">
        <v>0</v>
      </c>
      <c r="N29" s="635">
        <v>0</v>
      </c>
      <c r="O29" s="635">
        <v>0</v>
      </c>
      <c r="P29" s="635">
        <v>0</v>
      </c>
      <c r="Q29" s="635">
        <v>0</v>
      </c>
      <c r="R29" s="635">
        <v>0</v>
      </c>
      <c r="S29" s="635">
        <v>0</v>
      </c>
      <c r="T29" s="635">
        <v>0</v>
      </c>
      <c r="U29" s="635">
        <v>0</v>
      </c>
      <c r="V29" s="635">
        <v>0</v>
      </c>
    </row>
    <row r="30" spans="2:29" s="606" customFormat="1" outlineLevel="1">
      <c r="B30" s="629" t="s">
        <v>853</v>
      </c>
      <c r="C30" s="629" t="s">
        <v>854</v>
      </c>
      <c r="D30" s="629"/>
      <c r="E30" s="629"/>
      <c r="F30" s="605"/>
      <c r="L30" s="631" t="s">
        <v>613</v>
      </c>
      <c r="M30" s="635">
        <v>0</v>
      </c>
      <c r="N30" s="635">
        <v>0</v>
      </c>
      <c r="O30" s="635">
        <v>0</v>
      </c>
      <c r="P30" s="635">
        <v>0</v>
      </c>
      <c r="Q30" s="635">
        <v>0</v>
      </c>
      <c r="R30" s="635">
        <v>0</v>
      </c>
      <c r="S30" s="635">
        <v>0</v>
      </c>
      <c r="T30" s="635">
        <v>0</v>
      </c>
      <c r="U30" s="635">
        <v>0</v>
      </c>
      <c r="V30" s="635">
        <v>0</v>
      </c>
    </row>
    <row r="31" spans="2:29" s="606" customFormat="1" outlineLevel="1">
      <c r="B31" s="629" t="s">
        <v>856</v>
      </c>
      <c r="C31" s="629" t="s">
        <v>857</v>
      </c>
      <c r="D31" s="629"/>
      <c r="E31" s="629"/>
      <c r="F31" s="605"/>
      <c r="L31" s="631" t="s">
        <v>613</v>
      </c>
      <c r="M31" s="635">
        <v>119.88925359999999</v>
      </c>
      <c r="N31" s="635">
        <v>119.12272179</v>
      </c>
      <c r="O31" s="635">
        <v>151.09334562999999</v>
      </c>
      <c r="P31" s="635">
        <v>190.7003993661036</v>
      </c>
      <c r="Q31" s="635">
        <v>209.43415302659395</v>
      </c>
      <c r="R31" s="635">
        <v>209.94995120659399</v>
      </c>
      <c r="S31" s="635">
        <v>210.467545316594</v>
      </c>
      <c r="T31" s="635">
        <v>211.02149393659397</v>
      </c>
      <c r="U31" s="635">
        <v>193.53148605659399</v>
      </c>
      <c r="V31" s="635">
        <v>162.34880791660402</v>
      </c>
    </row>
    <row r="32" spans="2:29" s="606" customFormat="1">
      <c r="B32" s="629" t="s">
        <v>859</v>
      </c>
      <c r="C32" s="629" t="s">
        <v>860</v>
      </c>
      <c r="D32" s="630"/>
      <c r="E32" s="629"/>
      <c r="F32" s="632"/>
      <c r="G32" s="632"/>
      <c r="H32" s="632"/>
      <c r="L32" s="631" t="s">
        <v>613</v>
      </c>
      <c r="M32" s="635">
        <v>25.418624380000008</v>
      </c>
      <c r="N32" s="635">
        <v>22.830925359999998</v>
      </c>
      <c r="O32" s="635">
        <v>25.675510009999996</v>
      </c>
      <c r="P32" s="635">
        <v>76.175925990000053</v>
      </c>
      <c r="Q32" s="635">
        <v>150.14115381000013</v>
      </c>
      <c r="R32" s="635">
        <v>388.8810039600001</v>
      </c>
      <c r="S32" s="635">
        <v>162.99090110999998</v>
      </c>
      <c r="T32" s="635">
        <v>203.02627786999997</v>
      </c>
      <c r="U32" s="635">
        <v>105.98706225999996</v>
      </c>
      <c r="V32" s="635">
        <v>277.86838763999998</v>
      </c>
    </row>
    <row r="33" spans="2:24" s="606" customFormat="1">
      <c r="B33" s="629" t="s">
        <v>863</v>
      </c>
      <c r="C33" s="629" t="s">
        <v>864</v>
      </c>
      <c r="D33" s="630"/>
      <c r="E33" s="629"/>
      <c r="F33" s="632"/>
      <c r="G33" s="632"/>
      <c r="H33" s="632"/>
      <c r="L33" s="631" t="s">
        <v>613</v>
      </c>
      <c r="M33" s="635">
        <v>-26.113130309999999</v>
      </c>
      <c r="N33" s="635">
        <v>-54.918364619999998</v>
      </c>
      <c r="O33" s="635">
        <v>-57.898341330000001</v>
      </c>
      <c r="P33" s="635">
        <v>-101.27302629610358</v>
      </c>
      <c r="Q33" s="635">
        <v>-179.55653311659418</v>
      </c>
      <c r="R33" s="635">
        <v>-180.81449053659404</v>
      </c>
      <c r="S33" s="635">
        <v>-135.79447023659401</v>
      </c>
      <c r="T33" s="635">
        <v>-131.41507561659404</v>
      </c>
      <c r="U33" s="635">
        <v>-118.02552589659398</v>
      </c>
      <c r="V33" s="635">
        <v>-105.073134646604</v>
      </c>
    </row>
    <row r="34" spans="2:24" s="606" customFormat="1">
      <c r="B34" s="629" t="s">
        <v>866</v>
      </c>
      <c r="C34" s="629" t="s">
        <v>216</v>
      </c>
      <c r="D34" s="630"/>
      <c r="E34" s="629"/>
      <c r="F34" s="632"/>
      <c r="G34" s="632"/>
      <c r="H34" s="632"/>
      <c r="L34" s="631" t="s">
        <v>613</v>
      </c>
      <c r="M34" s="635">
        <v>0</v>
      </c>
      <c r="N34" s="635">
        <v>0</v>
      </c>
      <c r="O34" s="635">
        <v>6.6242929490685748E-2</v>
      </c>
      <c r="P34" s="635">
        <v>3.8688810708036904E-2</v>
      </c>
      <c r="Q34" s="635">
        <v>1.1134691925388037E-2</v>
      </c>
      <c r="R34" s="635">
        <v>0</v>
      </c>
      <c r="S34" s="635">
        <v>0</v>
      </c>
      <c r="T34" s="635">
        <v>0</v>
      </c>
      <c r="U34" s="635">
        <v>0</v>
      </c>
      <c r="V34" s="635">
        <v>0</v>
      </c>
    </row>
    <row r="35" spans="2:24" s="606" customFormat="1" outlineLevel="1">
      <c r="B35" s="636"/>
      <c r="C35" s="605"/>
      <c r="L35" s="637"/>
      <c r="T35" s="638"/>
    </row>
    <row r="36" spans="2:24" s="606" customFormat="1" outlineLevel="1">
      <c r="B36" s="636"/>
      <c r="C36" s="605"/>
      <c r="L36" s="637"/>
      <c r="T36" s="638"/>
    </row>
    <row r="37" spans="2:24" s="606" customFormat="1" ht="15">
      <c r="B37" s="621" t="s">
        <v>737</v>
      </c>
      <c r="C37" s="622"/>
      <c r="D37" s="622"/>
      <c r="E37" s="623"/>
      <c r="F37" s="623"/>
      <c r="G37" s="622"/>
      <c r="H37" s="622"/>
      <c r="I37" s="622"/>
      <c r="J37" s="622"/>
      <c r="K37" s="622"/>
      <c r="L37" s="622"/>
      <c r="M37" s="622"/>
      <c r="N37" s="622"/>
      <c r="O37" s="622"/>
      <c r="P37" s="622"/>
      <c r="Q37" s="622"/>
      <c r="R37" s="622"/>
      <c r="S37" s="622"/>
      <c r="T37" s="624"/>
      <c r="U37" s="622"/>
      <c r="V37" s="622"/>
    </row>
    <row r="38" spans="2:24" s="606" customFormat="1" ht="15">
      <c r="B38" s="639"/>
      <c r="E38" s="640"/>
      <c r="F38" s="640"/>
      <c r="T38" s="638"/>
    </row>
    <row r="39" spans="2:24" s="606" customFormat="1" outlineLevel="1">
      <c r="B39" s="641" t="s">
        <v>738</v>
      </c>
      <c r="D39" s="640"/>
      <c r="M39" s="642" t="s">
        <v>739</v>
      </c>
      <c r="N39" s="643" t="s">
        <v>739</v>
      </c>
      <c r="O39" s="643" t="s">
        <v>739</v>
      </c>
      <c r="P39" s="643" t="s">
        <v>739</v>
      </c>
      <c r="Q39" s="643" t="s">
        <v>739</v>
      </c>
      <c r="R39" s="643" t="s">
        <v>739</v>
      </c>
      <c r="S39" s="644" t="s">
        <v>739</v>
      </c>
      <c r="T39" s="645" t="s">
        <v>739</v>
      </c>
      <c r="U39" s="646" t="s">
        <v>739</v>
      </c>
      <c r="V39" s="643" t="s">
        <v>739</v>
      </c>
    </row>
    <row r="40" spans="2:24" s="606" customFormat="1" outlineLevel="1">
      <c r="C40" s="647" t="s">
        <v>740</v>
      </c>
      <c r="D40" s="648"/>
      <c r="E40" s="649"/>
      <c r="F40" s="648"/>
      <c r="G40" s="648"/>
      <c r="H40" s="648"/>
      <c r="I40" s="648"/>
      <c r="J40" s="648"/>
      <c r="K40" s="648"/>
      <c r="L40" s="648"/>
      <c r="M40" s="635">
        <v>0</v>
      </c>
      <c r="N40" s="635">
        <v>0</v>
      </c>
      <c r="O40" s="635">
        <v>0</v>
      </c>
      <c r="P40" s="635">
        <v>0</v>
      </c>
      <c r="Q40" s="635">
        <v>0</v>
      </c>
      <c r="R40" s="635">
        <v>0</v>
      </c>
      <c r="S40" s="635">
        <v>0</v>
      </c>
      <c r="T40" s="635">
        <v>0</v>
      </c>
      <c r="U40" s="635">
        <v>0</v>
      </c>
      <c r="V40" s="635">
        <v>0</v>
      </c>
      <c r="X40" s="241"/>
    </row>
    <row r="41" spans="2:24" s="606" customFormat="1" outlineLevel="1">
      <c r="C41" s="647" t="s">
        <v>741</v>
      </c>
      <c r="D41" s="648"/>
      <c r="E41" s="649"/>
      <c r="F41" s="649"/>
      <c r="G41" s="648"/>
      <c r="H41" s="648"/>
      <c r="I41" s="648"/>
      <c r="J41" s="648"/>
      <c r="K41" s="648"/>
      <c r="L41" s="648"/>
      <c r="M41" s="635">
        <v>0</v>
      </c>
      <c r="N41" s="635">
        <v>0</v>
      </c>
      <c r="O41" s="635">
        <v>0</v>
      </c>
      <c r="P41" s="635">
        <v>0</v>
      </c>
      <c r="Q41" s="635">
        <v>0</v>
      </c>
      <c r="R41" s="635">
        <v>0</v>
      </c>
      <c r="S41" s="635">
        <v>0</v>
      </c>
      <c r="T41" s="635">
        <v>0</v>
      </c>
      <c r="U41" s="635">
        <v>0</v>
      </c>
      <c r="V41" s="635">
        <v>0</v>
      </c>
      <c r="X41" s="241"/>
    </row>
    <row r="42" spans="2:24" s="606" customFormat="1" outlineLevel="1">
      <c r="B42" s="629" t="s">
        <v>840</v>
      </c>
      <c r="C42" s="650" t="s">
        <v>841</v>
      </c>
      <c r="D42" s="650"/>
      <c r="E42" s="651"/>
      <c r="F42" s="651"/>
      <c r="G42" s="648"/>
      <c r="H42" s="648"/>
      <c r="I42" s="648"/>
      <c r="J42" s="648"/>
      <c r="K42" s="648"/>
      <c r="L42" s="648"/>
      <c r="M42" s="712">
        <v>0</v>
      </c>
      <c r="N42" s="713">
        <v>0</v>
      </c>
      <c r="O42" s="713">
        <v>0</v>
      </c>
      <c r="P42" s="713">
        <v>0</v>
      </c>
      <c r="Q42" s="713">
        <v>0</v>
      </c>
      <c r="R42" s="713">
        <v>0</v>
      </c>
      <c r="S42" s="714">
        <v>0</v>
      </c>
      <c r="T42" s="715">
        <v>0</v>
      </c>
      <c r="U42" s="716">
        <v>0</v>
      </c>
      <c r="V42" s="713">
        <v>0</v>
      </c>
      <c r="X42" s="652">
        <v>0</v>
      </c>
    </row>
    <row r="43" spans="2:24" s="606" customFormat="1" outlineLevel="1">
      <c r="B43" s="629" t="s">
        <v>844</v>
      </c>
      <c r="C43" s="653" t="s">
        <v>845</v>
      </c>
      <c r="D43" s="650"/>
      <c r="E43" s="651"/>
      <c r="F43" s="651"/>
      <c r="G43" s="648"/>
      <c r="H43" s="648"/>
      <c r="I43" s="648"/>
      <c r="J43" s="648"/>
      <c r="K43" s="648"/>
      <c r="L43" s="648"/>
      <c r="M43" s="712">
        <v>48.206582261571754</v>
      </c>
      <c r="N43" s="713">
        <v>89.502767910062261</v>
      </c>
      <c r="O43" s="713">
        <v>44.636410433039217</v>
      </c>
      <c r="P43" s="713">
        <v>36.146872502694748</v>
      </c>
      <c r="Q43" s="713">
        <v>30.449657252733076</v>
      </c>
      <c r="R43" s="713">
        <v>27.602731907270449</v>
      </c>
      <c r="S43" s="714">
        <v>7.5430769247301406</v>
      </c>
      <c r="T43" s="715">
        <v>7.384898207614798</v>
      </c>
      <c r="U43" s="716">
        <v>7.368272291113998</v>
      </c>
      <c r="V43" s="713">
        <v>4.0498515127013963</v>
      </c>
      <c r="X43" s="652">
        <v>0</v>
      </c>
    </row>
    <row r="44" spans="2:24" s="606" customFormat="1" outlineLevel="1">
      <c r="B44" s="629" t="s">
        <v>847</v>
      </c>
      <c r="C44" s="653" t="s">
        <v>848</v>
      </c>
      <c r="D44" s="650"/>
      <c r="E44" s="651"/>
      <c r="F44" s="651"/>
      <c r="G44" s="648"/>
      <c r="H44" s="648"/>
      <c r="I44" s="648"/>
      <c r="J44" s="648"/>
      <c r="K44" s="648"/>
      <c r="L44" s="648"/>
      <c r="M44" s="712">
        <v>0</v>
      </c>
      <c r="N44" s="713">
        <v>0</v>
      </c>
      <c r="O44" s="713">
        <v>0</v>
      </c>
      <c r="P44" s="713">
        <v>0</v>
      </c>
      <c r="Q44" s="713">
        <v>0</v>
      </c>
      <c r="R44" s="713">
        <v>0</v>
      </c>
      <c r="S44" s="714">
        <v>0</v>
      </c>
      <c r="T44" s="715">
        <v>0</v>
      </c>
      <c r="U44" s="716">
        <v>0</v>
      </c>
      <c r="V44" s="713">
        <v>0</v>
      </c>
      <c r="X44" s="652">
        <v>0</v>
      </c>
    </row>
    <row r="45" spans="2:24" s="606" customFormat="1" outlineLevel="1">
      <c r="B45" s="629" t="s">
        <v>853</v>
      </c>
      <c r="C45" s="653" t="s">
        <v>854</v>
      </c>
      <c r="D45" s="650"/>
      <c r="E45" s="651"/>
      <c r="F45" s="651"/>
      <c r="G45" s="648"/>
      <c r="H45" s="648"/>
      <c r="I45" s="648"/>
      <c r="J45" s="648"/>
      <c r="K45" s="648"/>
      <c r="L45" s="648"/>
      <c r="M45" s="712">
        <v>0</v>
      </c>
      <c r="N45" s="716">
        <v>0</v>
      </c>
      <c r="O45" s="716">
        <v>0</v>
      </c>
      <c r="P45" s="716">
        <v>0</v>
      </c>
      <c r="Q45" s="716">
        <v>0</v>
      </c>
      <c r="R45" s="716">
        <v>0</v>
      </c>
      <c r="S45" s="717">
        <v>0</v>
      </c>
      <c r="T45" s="718">
        <v>0</v>
      </c>
      <c r="U45" s="716">
        <v>0</v>
      </c>
      <c r="V45" s="716">
        <v>0</v>
      </c>
      <c r="X45" s="652"/>
    </row>
    <row r="46" spans="2:24" s="606" customFormat="1" outlineLevel="1">
      <c r="B46" s="629" t="s">
        <v>856</v>
      </c>
      <c r="C46" s="653" t="s">
        <v>857</v>
      </c>
      <c r="D46" s="650"/>
      <c r="E46" s="651"/>
      <c r="F46" s="651"/>
      <c r="G46" s="648"/>
      <c r="H46" s="648"/>
      <c r="I46" s="648"/>
      <c r="J46" s="648"/>
      <c r="K46" s="648"/>
      <c r="L46" s="648"/>
      <c r="M46" s="712">
        <v>143.04521032512551</v>
      </c>
      <c r="N46" s="716">
        <v>181.95730572714837</v>
      </c>
      <c r="O46" s="716">
        <v>220.02064482083117</v>
      </c>
      <c r="P46" s="716">
        <v>206.86089980542033</v>
      </c>
      <c r="Q46" s="716">
        <v>202.06559879914795</v>
      </c>
      <c r="R46" s="716">
        <v>205.46309130262858</v>
      </c>
      <c r="S46" s="717">
        <v>208.88349365540063</v>
      </c>
      <c r="T46" s="718">
        <v>200.21086351149759</v>
      </c>
      <c r="U46" s="716">
        <v>177.78546007556747</v>
      </c>
      <c r="V46" s="716">
        <v>159.6771796027659</v>
      </c>
      <c r="X46" s="652"/>
    </row>
    <row r="47" spans="2:24" s="606" customFormat="1" outlineLevel="1">
      <c r="B47" s="629" t="s">
        <v>742</v>
      </c>
      <c r="C47" s="653" t="s">
        <v>743</v>
      </c>
      <c r="D47" s="650"/>
      <c r="E47" s="651"/>
      <c r="F47" s="651"/>
      <c r="G47" s="648"/>
      <c r="H47" s="648"/>
      <c r="I47" s="648"/>
      <c r="J47" s="648"/>
      <c r="K47" s="648"/>
      <c r="L47" s="648"/>
      <c r="M47" s="719">
        <v>71.154985289166333</v>
      </c>
      <c r="N47" s="719">
        <v>128.16917685469087</v>
      </c>
      <c r="O47" s="719">
        <v>31.936112438498938</v>
      </c>
      <c r="P47" s="719">
        <v>6.5513744021539253</v>
      </c>
      <c r="Q47" s="719">
        <v>-7.7551945820447514</v>
      </c>
      <c r="R47" s="719">
        <v>-1.7534224428489011</v>
      </c>
      <c r="S47" s="720">
        <v>11.228197507949361</v>
      </c>
      <c r="T47" s="721">
        <v>11.967509015069027</v>
      </c>
      <c r="U47" s="722">
        <v>8.0423796984590155</v>
      </c>
      <c r="V47" s="719">
        <v>-0.43908988020265838</v>
      </c>
      <c r="X47" s="652"/>
    </row>
    <row r="48" spans="2:24" s="606" customFormat="1" outlineLevel="1">
      <c r="B48" s="629" t="s">
        <v>866</v>
      </c>
      <c r="C48" s="653" t="s">
        <v>216</v>
      </c>
      <c r="D48" s="650"/>
      <c r="E48" s="651"/>
      <c r="F48" s="651"/>
      <c r="G48" s="648"/>
      <c r="H48" s="648"/>
      <c r="I48" s="648"/>
      <c r="J48" s="648"/>
      <c r="K48" s="648"/>
      <c r="L48" s="648"/>
      <c r="M48" s="712">
        <v>0</v>
      </c>
      <c r="N48" s="716">
        <v>0</v>
      </c>
      <c r="O48" s="716">
        <v>0</v>
      </c>
      <c r="P48" s="716">
        <v>0</v>
      </c>
      <c r="Q48" s="716">
        <v>0</v>
      </c>
      <c r="R48" s="716">
        <v>0</v>
      </c>
      <c r="S48" s="717">
        <v>0</v>
      </c>
      <c r="T48" s="718">
        <v>0</v>
      </c>
      <c r="U48" s="716">
        <v>0</v>
      </c>
      <c r="V48" s="716">
        <v>0</v>
      </c>
      <c r="X48" s="652"/>
    </row>
    <row r="49" spans="3:24" s="606" customFormat="1" outlineLevel="1">
      <c r="C49" s="654" t="s">
        <v>744</v>
      </c>
      <c r="D49" s="655"/>
      <c r="E49" s="656"/>
      <c r="F49" s="656"/>
      <c r="G49" s="648"/>
      <c r="H49" s="648"/>
      <c r="I49" s="648"/>
      <c r="J49" s="648"/>
      <c r="K49" s="648"/>
      <c r="L49" s="648"/>
      <c r="M49" s="635">
        <v>0</v>
      </c>
      <c r="N49" s="635">
        <v>0</v>
      </c>
      <c r="O49" s="635">
        <v>0</v>
      </c>
      <c r="P49" s="635">
        <v>0</v>
      </c>
      <c r="Q49" s="635">
        <v>0</v>
      </c>
      <c r="R49" s="635">
        <v>0</v>
      </c>
      <c r="S49" s="635">
        <v>0</v>
      </c>
      <c r="T49" s="635">
        <v>0</v>
      </c>
      <c r="U49" s="635">
        <v>0</v>
      </c>
      <c r="V49" s="635">
        <v>0</v>
      </c>
      <c r="X49" s="241"/>
    </row>
    <row r="50" spans="3:24" s="606" customFormat="1" outlineLevel="1">
      <c r="C50" s="654" t="s">
        <v>744</v>
      </c>
      <c r="D50" s="655"/>
      <c r="E50" s="656"/>
      <c r="F50" s="656"/>
      <c r="G50" s="648"/>
      <c r="H50" s="648"/>
      <c r="I50" s="648"/>
      <c r="J50" s="648"/>
      <c r="K50" s="648"/>
      <c r="L50" s="648"/>
      <c r="M50" s="635">
        <v>0</v>
      </c>
      <c r="N50" s="635">
        <v>0</v>
      </c>
      <c r="O50" s="635">
        <v>0</v>
      </c>
      <c r="P50" s="635">
        <v>0</v>
      </c>
      <c r="Q50" s="635">
        <v>0</v>
      </c>
      <c r="R50" s="635">
        <v>0</v>
      </c>
      <c r="S50" s="635">
        <v>0</v>
      </c>
      <c r="T50" s="635">
        <v>0</v>
      </c>
      <c r="U50" s="635">
        <v>0</v>
      </c>
      <c r="V50" s="635">
        <v>0</v>
      </c>
      <c r="X50" s="241"/>
    </row>
    <row r="51" spans="3:24" s="606" customFormat="1" outlineLevel="1">
      <c r="C51" s="654" t="s">
        <v>744</v>
      </c>
      <c r="D51" s="655"/>
      <c r="E51" s="656"/>
      <c r="F51" s="656"/>
      <c r="G51" s="648"/>
      <c r="H51" s="648"/>
      <c r="I51" s="648"/>
      <c r="J51" s="648"/>
      <c r="K51" s="648"/>
      <c r="L51" s="648"/>
      <c r="M51" s="635">
        <v>0</v>
      </c>
      <c r="N51" s="635">
        <v>0</v>
      </c>
      <c r="O51" s="635">
        <v>0</v>
      </c>
      <c r="P51" s="635">
        <v>0</v>
      </c>
      <c r="Q51" s="635">
        <v>0</v>
      </c>
      <c r="R51" s="635">
        <v>0</v>
      </c>
      <c r="S51" s="635">
        <v>0</v>
      </c>
      <c r="T51" s="635">
        <v>0</v>
      </c>
      <c r="U51" s="635">
        <v>0</v>
      </c>
      <c r="V51" s="635">
        <v>0</v>
      </c>
      <c r="X51" s="241"/>
    </row>
    <row r="52" spans="3:24" s="606" customFormat="1" outlineLevel="1">
      <c r="C52" s="654" t="s">
        <v>744</v>
      </c>
      <c r="D52" s="655"/>
      <c r="E52" s="656"/>
      <c r="F52" s="656"/>
      <c r="G52" s="648"/>
      <c r="H52" s="648"/>
      <c r="I52" s="648"/>
      <c r="J52" s="648"/>
      <c r="K52" s="648"/>
      <c r="L52" s="648"/>
      <c r="M52" s="635">
        <v>0</v>
      </c>
      <c r="N52" s="635">
        <v>0</v>
      </c>
      <c r="O52" s="635">
        <v>0</v>
      </c>
      <c r="P52" s="635">
        <v>0</v>
      </c>
      <c r="Q52" s="635">
        <v>0</v>
      </c>
      <c r="R52" s="635">
        <v>0</v>
      </c>
      <c r="S52" s="635">
        <v>0</v>
      </c>
      <c r="T52" s="635">
        <v>0</v>
      </c>
      <c r="U52" s="635">
        <v>0</v>
      </c>
      <c r="V52" s="635">
        <v>0</v>
      </c>
      <c r="X52" s="241"/>
    </row>
    <row r="53" spans="3:24" s="606" customFormat="1" outlineLevel="1">
      <c r="C53" s="654" t="s">
        <v>744</v>
      </c>
      <c r="D53" s="655"/>
      <c r="E53" s="656"/>
      <c r="F53" s="656"/>
      <c r="G53" s="648"/>
      <c r="H53" s="648"/>
      <c r="I53" s="648"/>
      <c r="J53" s="648"/>
      <c r="K53" s="648"/>
      <c r="L53" s="648"/>
      <c r="M53" s="635">
        <v>0</v>
      </c>
      <c r="N53" s="635">
        <v>0</v>
      </c>
      <c r="O53" s="635">
        <v>0</v>
      </c>
      <c r="P53" s="635">
        <v>0</v>
      </c>
      <c r="Q53" s="635">
        <v>0</v>
      </c>
      <c r="R53" s="635">
        <v>0</v>
      </c>
      <c r="S53" s="635">
        <v>0</v>
      </c>
      <c r="T53" s="635">
        <v>0</v>
      </c>
      <c r="U53" s="635">
        <v>0</v>
      </c>
      <c r="V53" s="635">
        <v>0</v>
      </c>
      <c r="X53" s="241"/>
    </row>
    <row r="54" spans="3:24" s="606" customFormat="1" outlineLevel="1">
      <c r="C54" s="654" t="s">
        <v>744</v>
      </c>
      <c r="D54" s="655"/>
      <c r="E54" s="656"/>
      <c r="F54" s="656"/>
      <c r="G54" s="648"/>
      <c r="H54" s="648"/>
      <c r="I54" s="648"/>
      <c r="J54" s="648"/>
      <c r="K54" s="648"/>
      <c r="L54" s="648"/>
      <c r="M54" s="635">
        <v>0</v>
      </c>
      <c r="N54" s="635">
        <v>0</v>
      </c>
      <c r="O54" s="635">
        <v>0</v>
      </c>
      <c r="P54" s="635">
        <v>0</v>
      </c>
      <c r="Q54" s="635">
        <v>0</v>
      </c>
      <c r="R54" s="635">
        <v>0</v>
      </c>
      <c r="S54" s="635">
        <v>0</v>
      </c>
      <c r="T54" s="635">
        <v>0</v>
      </c>
      <c r="U54" s="635">
        <v>0</v>
      </c>
      <c r="V54" s="635">
        <v>0</v>
      </c>
      <c r="X54" s="241"/>
    </row>
    <row r="55" spans="3:24" s="606" customFormat="1" outlineLevel="1">
      <c r="C55" s="654" t="s">
        <v>744</v>
      </c>
      <c r="D55" s="655"/>
      <c r="E55" s="656"/>
      <c r="F55" s="656"/>
      <c r="G55" s="648"/>
      <c r="H55" s="648"/>
      <c r="I55" s="648"/>
      <c r="J55" s="648"/>
      <c r="K55" s="648"/>
      <c r="L55" s="648"/>
      <c r="M55" s="635">
        <v>0</v>
      </c>
      <c r="N55" s="635">
        <v>0</v>
      </c>
      <c r="O55" s="635">
        <v>0</v>
      </c>
      <c r="P55" s="635">
        <v>0</v>
      </c>
      <c r="Q55" s="635">
        <v>0</v>
      </c>
      <c r="R55" s="635">
        <v>0</v>
      </c>
      <c r="S55" s="635">
        <v>0</v>
      </c>
      <c r="T55" s="635">
        <v>0</v>
      </c>
      <c r="U55" s="635">
        <v>0</v>
      </c>
      <c r="V55" s="635">
        <v>0</v>
      </c>
      <c r="X55" s="241"/>
    </row>
    <row r="56" spans="3:24" s="606" customFormat="1" outlineLevel="1">
      <c r="C56" s="654" t="s">
        <v>744</v>
      </c>
      <c r="D56" s="655"/>
      <c r="E56" s="656"/>
      <c r="F56" s="656"/>
      <c r="G56" s="648"/>
      <c r="H56" s="648"/>
      <c r="I56" s="648"/>
      <c r="J56" s="648"/>
      <c r="K56" s="648"/>
      <c r="L56" s="648"/>
      <c r="M56" s="635">
        <v>0</v>
      </c>
      <c r="N56" s="635">
        <v>0</v>
      </c>
      <c r="O56" s="635">
        <v>0</v>
      </c>
      <c r="P56" s="635">
        <v>0</v>
      </c>
      <c r="Q56" s="635">
        <v>0</v>
      </c>
      <c r="R56" s="635">
        <v>0</v>
      </c>
      <c r="S56" s="635">
        <v>0</v>
      </c>
      <c r="T56" s="635">
        <v>0</v>
      </c>
      <c r="U56" s="635">
        <v>0</v>
      </c>
      <c r="V56" s="635">
        <v>0</v>
      </c>
      <c r="X56" s="241"/>
    </row>
    <row r="57" spans="3:24" s="606" customFormat="1" outlineLevel="1">
      <c r="C57" s="654" t="s">
        <v>744</v>
      </c>
      <c r="D57" s="655"/>
      <c r="E57" s="656"/>
      <c r="F57" s="656"/>
      <c r="G57" s="648"/>
      <c r="H57" s="648"/>
      <c r="I57" s="648"/>
      <c r="J57" s="648"/>
      <c r="K57" s="648"/>
      <c r="L57" s="648"/>
      <c r="M57" s="635">
        <v>0</v>
      </c>
      <c r="N57" s="635">
        <v>0</v>
      </c>
      <c r="O57" s="635">
        <v>0</v>
      </c>
      <c r="P57" s="635">
        <v>0</v>
      </c>
      <c r="Q57" s="635">
        <v>0</v>
      </c>
      <c r="R57" s="635">
        <v>0</v>
      </c>
      <c r="S57" s="635">
        <v>0</v>
      </c>
      <c r="T57" s="635">
        <v>0</v>
      </c>
      <c r="U57" s="635">
        <v>0</v>
      </c>
      <c r="V57" s="635">
        <v>0</v>
      </c>
      <c r="X57" s="241"/>
    </row>
    <row r="58" spans="3:24" s="606" customFormat="1" outlineLevel="1">
      <c r="C58" s="654" t="s">
        <v>744</v>
      </c>
      <c r="D58" s="655"/>
      <c r="E58" s="656"/>
      <c r="F58" s="656"/>
      <c r="G58" s="648"/>
      <c r="H58" s="648"/>
      <c r="I58" s="648"/>
      <c r="J58" s="648"/>
      <c r="K58" s="648"/>
      <c r="L58" s="648"/>
      <c r="M58" s="635">
        <v>0</v>
      </c>
      <c r="N58" s="635">
        <v>0</v>
      </c>
      <c r="O58" s="635">
        <v>0</v>
      </c>
      <c r="P58" s="635">
        <v>0</v>
      </c>
      <c r="Q58" s="635">
        <v>0</v>
      </c>
      <c r="R58" s="635">
        <v>0</v>
      </c>
      <c r="S58" s="635">
        <v>0</v>
      </c>
      <c r="T58" s="635">
        <v>0</v>
      </c>
      <c r="U58" s="635">
        <v>0</v>
      </c>
      <c r="V58" s="635">
        <v>0</v>
      </c>
      <c r="X58" s="241"/>
    </row>
    <row r="59" spans="3:24" s="606" customFormat="1" outlineLevel="1">
      <c r="C59" s="657" t="s">
        <v>745</v>
      </c>
      <c r="D59" s="648"/>
      <c r="E59" s="649"/>
      <c r="F59" s="649"/>
      <c r="G59" s="648"/>
      <c r="H59" s="648"/>
      <c r="I59" s="648"/>
      <c r="J59" s="648"/>
      <c r="K59" s="648"/>
      <c r="L59" s="648"/>
      <c r="M59" s="723">
        <v>262.40677787586361</v>
      </c>
      <c r="N59" s="724">
        <v>399.62925049190147</v>
      </c>
      <c r="O59" s="724">
        <v>296.59316769236932</v>
      </c>
      <c r="P59" s="724">
        <v>249.559146710269</v>
      </c>
      <c r="Q59" s="724">
        <v>224.76006146983627</v>
      </c>
      <c r="R59" s="724">
        <v>231.31240076705012</v>
      </c>
      <c r="S59" s="725">
        <v>227.65476808808012</v>
      </c>
      <c r="T59" s="726">
        <v>219.56327073418143</v>
      </c>
      <c r="U59" s="727">
        <v>193.19611206514048</v>
      </c>
      <c r="V59" s="724">
        <v>163.28794123526464</v>
      </c>
      <c r="X59" s="658">
        <v>0</v>
      </c>
    </row>
    <row r="60" spans="3:24" s="606" customFormat="1" outlineLevel="1">
      <c r="C60" s="647" t="s">
        <v>746</v>
      </c>
      <c r="D60" s="648"/>
      <c r="E60" s="649"/>
      <c r="F60" s="649"/>
      <c r="G60" s="648"/>
      <c r="H60" s="648"/>
      <c r="I60" s="648"/>
      <c r="J60" s="648"/>
      <c r="K60" s="648"/>
      <c r="L60" s="648"/>
      <c r="M60" s="635">
        <v>0</v>
      </c>
      <c r="N60" s="635">
        <v>0</v>
      </c>
      <c r="O60" s="635">
        <v>0</v>
      </c>
      <c r="P60" s="635">
        <v>0</v>
      </c>
      <c r="Q60" s="635">
        <v>0</v>
      </c>
      <c r="R60" s="635">
        <v>0</v>
      </c>
      <c r="S60" s="635">
        <v>0</v>
      </c>
      <c r="T60" s="635">
        <v>0</v>
      </c>
      <c r="U60" s="635">
        <v>0</v>
      </c>
      <c r="V60" s="635">
        <v>0</v>
      </c>
      <c r="X60" s="241"/>
    </row>
    <row r="61" spans="3:24" s="606" customFormat="1" outlineLevel="1">
      <c r="C61" s="647" t="s">
        <v>747</v>
      </c>
      <c r="D61" s="648"/>
      <c r="E61" s="649"/>
      <c r="F61" s="649"/>
      <c r="G61" s="648"/>
      <c r="H61" s="648"/>
      <c r="I61" s="648"/>
      <c r="J61" s="648"/>
      <c r="K61" s="648"/>
      <c r="L61" s="648"/>
      <c r="M61" s="635">
        <v>0.28329284999999998</v>
      </c>
      <c r="N61" s="635">
        <v>0.30700746999999995</v>
      </c>
      <c r="O61" s="635">
        <v>0.28404590000000002</v>
      </c>
      <c r="P61" s="635">
        <v>0.27436445682940558</v>
      </c>
      <c r="Q61" s="635">
        <v>0</v>
      </c>
      <c r="R61" s="635">
        <v>0.1</v>
      </c>
      <c r="S61" s="635">
        <v>0.1</v>
      </c>
      <c r="T61" s="635">
        <v>0.1</v>
      </c>
      <c r="U61" s="635">
        <v>0.1</v>
      </c>
      <c r="V61" s="635">
        <v>0.1</v>
      </c>
      <c r="X61" s="241"/>
    </row>
    <row r="62" spans="3:24" s="606" customFormat="1" outlineLevel="1">
      <c r="C62" s="647" t="s">
        <v>748</v>
      </c>
      <c r="D62" s="648"/>
      <c r="E62" s="649"/>
      <c r="F62" s="649"/>
      <c r="G62" s="648"/>
      <c r="H62" s="648"/>
      <c r="I62" s="648"/>
      <c r="J62" s="648"/>
      <c r="K62" s="648"/>
      <c r="L62" s="648"/>
      <c r="M62" s="635">
        <v>0</v>
      </c>
      <c r="N62" s="635">
        <v>0</v>
      </c>
      <c r="O62" s="635">
        <v>0</v>
      </c>
      <c r="P62" s="635">
        <v>0</v>
      </c>
      <c r="Q62" s="635">
        <v>0</v>
      </c>
      <c r="R62" s="635">
        <v>0</v>
      </c>
      <c r="S62" s="635">
        <v>0</v>
      </c>
      <c r="T62" s="635">
        <v>0</v>
      </c>
      <c r="U62" s="635">
        <v>0</v>
      </c>
      <c r="V62" s="635">
        <v>0</v>
      </c>
      <c r="X62" s="241"/>
    </row>
    <row r="63" spans="3:24" s="606" customFormat="1" outlineLevel="1">
      <c r="C63" s="647" t="s">
        <v>749</v>
      </c>
      <c r="D63" s="648"/>
      <c r="E63" s="649"/>
      <c r="F63" s="649"/>
      <c r="G63" s="648"/>
      <c r="H63" s="648"/>
      <c r="I63" s="648"/>
      <c r="J63" s="648"/>
      <c r="K63" s="648"/>
      <c r="L63" s="648"/>
      <c r="M63" s="635">
        <v>0</v>
      </c>
      <c r="N63" s="635">
        <v>0</v>
      </c>
      <c r="O63" s="635">
        <v>0</v>
      </c>
      <c r="P63" s="635">
        <v>0</v>
      </c>
      <c r="Q63" s="635">
        <v>0</v>
      </c>
      <c r="R63" s="635">
        <v>0</v>
      </c>
      <c r="S63" s="635">
        <v>0</v>
      </c>
      <c r="T63" s="635">
        <v>0</v>
      </c>
      <c r="U63" s="635">
        <v>0</v>
      </c>
      <c r="V63" s="635">
        <v>0</v>
      </c>
      <c r="X63" s="241"/>
    </row>
    <row r="64" spans="3:24" s="606" customFormat="1" outlineLevel="1">
      <c r="C64" s="647" t="s">
        <v>750</v>
      </c>
      <c r="D64" s="648"/>
      <c r="E64" s="649"/>
      <c r="F64" s="649"/>
      <c r="G64" s="648"/>
      <c r="H64" s="648"/>
      <c r="I64" s="648"/>
      <c r="J64" s="648"/>
      <c r="K64" s="648"/>
      <c r="L64" s="648"/>
      <c r="M64" s="635">
        <v>0.2824158799999999</v>
      </c>
      <c r="N64" s="635">
        <v>3.0097344699999997</v>
      </c>
      <c r="O64" s="635">
        <v>1.9666726999999986</v>
      </c>
      <c r="P64" s="635">
        <v>0.57600000000000007</v>
      </c>
      <c r="Q64" s="635">
        <v>0.57600000000000007</v>
      </c>
      <c r="R64" s="635">
        <v>0.57600000000000007</v>
      </c>
      <c r="S64" s="635">
        <v>0.57600000000000007</v>
      </c>
      <c r="T64" s="635">
        <v>0.57600000000000007</v>
      </c>
      <c r="U64" s="635">
        <v>0.57600000000000007</v>
      </c>
      <c r="V64" s="635">
        <v>0.57600000000000007</v>
      </c>
      <c r="X64" s="241"/>
    </row>
    <row r="65" spans="3:24" s="606" customFormat="1" outlineLevel="1">
      <c r="C65" s="647" t="s">
        <v>751</v>
      </c>
      <c r="D65" s="648"/>
      <c r="E65" s="649"/>
      <c r="F65" s="649"/>
      <c r="G65" s="648"/>
      <c r="H65" s="648"/>
      <c r="I65" s="648"/>
      <c r="J65" s="648"/>
      <c r="K65" s="648"/>
      <c r="L65" s="648"/>
      <c r="M65" s="635">
        <v>0</v>
      </c>
      <c r="N65" s="635">
        <v>0</v>
      </c>
      <c r="O65" s="635">
        <v>0</v>
      </c>
      <c r="P65" s="635">
        <v>0</v>
      </c>
      <c r="Q65" s="635">
        <v>0</v>
      </c>
      <c r="R65" s="635">
        <v>0</v>
      </c>
      <c r="S65" s="635">
        <v>0</v>
      </c>
      <c r="T65" s="635">
        <v>0</v>
      </c>
      <c r="U65" s="635">
        <v>0</v>
      </c>
      <c r="V65" s="635">
        <v>0</v>
      </c>
      <c r="X65" s="241"/>
    </row>
    <row r="66" spans="3:24" s="606" customFormat="1" outlineLevel="1">
      <c r="C66" s="647" t="s">
        <v>752</v>
      </c>
      <c r="D66" s="648"/>
      <c r="E66" s="656"/>
      <c r="F66" s="656"/>
      <c r="G66" s="648"/>
      <c r="H66" s="648"/>
      <c r="I66" s="648"/>
      <c r="J66" s="648"/>
      <c r="K66" s="648"/>
      <c r="L66" s="648"/>
      <c r="M66" s="635">
        <v>0</v>
      </c>
      <c r="N66" s="635">
        <v>0</v>
      </c>
      <c r="O66" s="635">
        <v>0</v>
      </c>
      <c r="P66" s="635">
        <v>0</v>
      </c>
      <c r="Q66" s="635">
        <v>0</v>
      </c>
      <c r="R66" s="635">
        <v>0</v>
      </c>
      <c r="S66" s="635">
        <v>0</v>
      </c>
      <c r="T66" s="635">
        <v>0</v>
      </c>
      <c r="U66" s="635">
        <v>0</v>
      </c>
      <c r="V66" s="635">
        <v>0</v>
      </c>
      <c r="X66" s="241"/>
    </row>
    <row r="67" spans="3:24" s="606" customFormat="1" outlineLevel="1">
      <c r="C67" s="647" t="s">
        <v>753</v>
      </c>
      <c r="D67" s="648"/>
      <c r="E67" s="656"/>
      <c r="F67" s="656"/>
      <c r="G67" s="648"/>
      <c r="H67" s="648"/>
      <c r="I67" s="648"/>
      <c r="J67" s="648"/>
      <c r="K67" s="648"/>
      <c r="L67" s="648"/>
      <c r="M67" s="635">
        <v>0</v>
      </c>
      <c r="N67" s="635">
        <v>0</v>
      </c>
      <c r="O67" s="635">
        <v>0</v>
      </c>
      <c r="P67" s="635">
        <v>0</v>
      </c>
      <c r="Q67" s="635">
        <v>0</v>
      </c>
      <c r="R67" s="635">
        <v>0</v>
      </c>
      <c r="S67" s="635">
        <v>0</v>
      </c>
      <c r="T67" s="635">
        <v>0</v>
      </c>
      <c r="U67" s="635">
        <v>0</v>
      </c>
      <c r="V67" s="635">
        <v>0</v>
      </c>
      <c r="X67" s="241"/>
    </row>
    <row r="68" spans="3:24" s="606" customFormat="1" outlineLevel="1">
      <c r="C68" s="647" t="s">
        <v>1233</v>
      </c>
      <c r="D68" s="648"/>
      <c r="E68" s="656"/>
      <c r="F68" s="656"/>
      <c r="G68" s="648"/>
      <c r="H68" s="648"/>
      <c r="I68" s="648"/>
      <c r="J68" s="648"/>
      <c r="K68" s="648"/>
      <c r="L68" s="648"/>
      <c r="M68" s="635">
        <v>2.0715935500000002</v>
      </c>
      <c r="N68" s="635">
        <v>0.47992902999999987</v>
      </c>
      <c r="O68" s="635">
        <v>0</v>
      </c>
      <c r="P68" s="635">
        <v>1.3724999999999998</v>
      </c>
      <c r="Q68" s="635">
        <v>1.3724999999999998</v>
      </c>
      <c r="R68" s="635">
        <v>1.3724999999999998</v>
      </c>
      <c r="S68" s="635">
        <v>1.3724999999999998</v>
      </c>
      <c r="T68" s="635">
        <v>1.2374999999999998</v>
      </c>
      <c r="U68" s="635">
        <v>1.9375</v>
      </c>
      <c r="V68" s="635">
        <v>1.9375</v>
      </c>
      <c r="X68" s="241"/>
    </row>
    <row r="69" spans="3:24" s="606" customFormat="1" outlineLevel="1">
      <c r="C69" s="647" t="s">
        <v>1234</v>
      </c>
      <c r="D69" s="648"/>
      <c r="E69" s="656"/>
      <c r="F69" s="656"/>
      <c r="G69" s="648"/>
      <c r="H69" s="648"/>
      <c r="I69" s="648"/>
      <c r="J69" s="648"/>
      <c r="K69" s="648"/>
      <c r="L69" s="648"/>
      <c r="M69" s="635">
        <v>2.2028046199999936</v>
      </c>
      <c r="N69" s="635">
        <v>4.8071688899999998</v>
      </c>
      <c r="O69" s="635">
        <v>3.0948219199999998</v>
      </c>
      <c r="P69" s="635">
        <v>3.1435497985872614</v>
      </c>
      <c r="Q69" s="635">
        <v>3.0911244600216339</v>
      </c>
      <c r="R69" s="635">
        <v>3.1004100004414052</v>
      </c>
      <c r="S69" s="635">
        <v>3.4267767935017908</v>
      </c>
      <c r="T69" s="635">
        <v>3.2667140631180303</v>
      </c>
      <c r="U69" s="635">
        <v>4.1699994759278569</v>
      </c>
      <c r="V69" s="635">
        <v>4.1885232203278999</v>
      </c>
      <c r="X69" s="241"/>
    </row>
    <row r="70" spans="3:24" s="606" customFormat="1" outlineLevel="1">
      <c r="C70" s="647" t="s">
        <v>1235</v>
      </c>
      <c r="D70" s="648"/>
      <c r="E70" s="656"/>
      <c r="F70" s="656"/>
      <c r="G70" s="648"/>
      <c r="H70" s="648"/>
      <c r="I70" s="648"/>
      <c r="J70" s="648"/>
      <c r="K70" s="648"/>
      <c r="L70" s="648"/>
      <c r="M70" s="635">
        <v>77.819520879999999</v>
      </c>
      <c r="N70" s="635">
        <v>-158</v>
      </c>
      <c r="O70" s="635">
        <v>-27.193917420000091</v>
      </c>
      <c r="P70" s="635">
        <v>0</v>
      </c>
      <c r="Q70" s="635">
        <v>0</v>
      </c>
      <c r="R70" s="635">
        <v>0</v>
      </c>
      <c r="S70" s="635">
        <v>0</v>
      </c>
      <c r="T70" s="635">
        <v>0</v>
      </c>
      <c r="U70" s="635">
        <v>0</v>
      </c>
      <c r="V70" s="635">
        <v>0</v>
      </c>
      <c r="X70" s="241"/>
    </row>
    <row r="71" spans="3:24" s="606" customFormat="1" outlineLevel="1">
      <c r="C71" s="647" t="s">
        <v>1236</v>
      </c>
      <c r="D71" s="648"/>
      <c r="E71" s="656"/>
      <c r="F71" s="656"/>
      <c r="G71" s="648"/>
      <c r="H71" s="648"/>
      <c r="I71" s="648"/>
      <c r="J71" s="648"/>
      <c r="K71" s="648"/>
      <c r="L71" s="648"/>
      <c r="M71" s="635">
        <v>0</v>
      </c>
      <c r="N71" s="635">
        <v>0</v>
      </c>
      <c r="O71" s="635">
        <v>0</v>
      </c>
      <c r="P71" s="635">
        <v>0</v>
      </c>
      <c r="Q71" s="635">
        <v>0</v>
      </c>
      <c r="R71" s="635">
        <v>0</v>
      </c>
      <c r="S71" s="635">
        <v>0</v>
      </c>
      <c r="T71" s="635">
        <v>0</v>
      </c>
      <c r="U71" s="635">
        <v>0</v>
      </c>
      <c r="V71" s="635">
        <v>0</v>
      </c>
      <c r="X71" s="241"/>
    </row>
    <row r="72" spans="3:24" s="606" customFormat="1" outlineLevel="1">
      <c r="C72" s="647" t="s">
        <v>1237</v>
      </c>
      <c r="D72" s="648"/>
      <c r="E72" s="656"/>
      <c r="F72" s="656"/>
      <c r="G72" s="648"/>
      <c r="H72" s="648"/>
      <c r="I72" s="648"/>
      <c r="J72" s="648"/>
      <c r="K72" s="648"/>
      <c r="L72" s="648"/>
      <c r="M72" s="635">
        <v>8.356848999999987E-2</v>
      </c>
      <c r="N72" s="635">
        <v>0</v>
      </c>
      <c r="O72" s="635">
        <v>0</v>
      </c>
      <c r="P72" s="635">
        <v>0</v>
      </c>
      <c r="Q72" s="635">
        <v>0</v>
      </c>
      <c r="R72" s="635">
        <v>0</v>
      </c>
      <c r="S72" s="635">
        <v>0</v>
      </c>
      <c r="T72" s="635">
        <v>0</v>
      </c>
      <c r="U72" s="635">
        <v>0</v>
      </c>
      <c r="V72" s="635">
        <v>0</v>
      </c>
      <c r="X72" s="241"/>
    </row>
    <row r="73" spans="3:24" s="606" customFormat="1" outlineLevel="1">
      <c r="C73" s="647" t="s">
        <v>1238</v>
      </c>
      <c r="D73" s="648"/>
      <c r="E73" s="656"/>
      <c r="F73" s="656"/>
      <c r="G73" s="648"/>
      <c r="H73" s="648"/>
      <c r="I73" s="648"/>
      <c r="J73" s="648"/>
      <c r="K73" s="648"/>
      <c r="L73" s="648"/>
      <c r="M73" s="635">
        <v>-5.1306416658636884</v>
      </c>
      <c r="N73" s="635">
        <v>1.9080176180983983</v>
      </c>
      <c r="O73" s="635">
        <v>-1.6039496476337907</v>
      </c>
      <c r="P73" s="635">
        <v>0</v>
      </c>
      <c r="Q73" s="635">
        <v>0</v>
      </c>
      <c r="R73" s="635">
        <v>0</v>
      </c>
      <c r="S73" s="635">
        <v>0</v>
      </c>
      <c r="T73" s="635">
        <v>0</v>
      </c>
      <c r="U73" s="635">
        <v>0</v>
      </c>
      <c r="V73" s="635">
        <v>0</v>
      </c>
      <c r="X73" s="241"/>
    </row>
    <row r="74" spans="3:24" s="606" customFormat="1" outlineLevel="1">
      <c r="C74" s="647" t="s">
        <v>1239</v>
      </c>
      <c r="D74" s="648"/>
      <c r="E74" s="656"/>
      <c r="F74" s="656"/>
      <c r="G74" s="648"/>
      <c r="H74" s="648"/>
      <c r="I74" s="648"/>
      <c r="J74" s="648"/>
      <c r="K74" s="648"/>
      <c r="L74" s="648"/>
      <c r="M74" s="635">
        <v>-13.819698439999998</v>
      </c>
      <c r="N74" s="635">
        <v>-14.963229609999999</v>
      </c>
      <c r="O74" s="635">
        <v>-15.535199629999999</v>
      </c>
      <c r="P74" s="635">
        <v>-3.7789985591600463</v>
      </c>
      <c r="Q74" s="635">
        <v>-3.2317871291445792</v>
      </c>
      <c r="R74" s="635">
        <v>-4.0239993791731523</v>
      </c>
      <c r="S74" s="635">
        <v>-5.3863195624922664</v>
      </c>
      <c r="T74" s="635">
        <v>-6.5059967502672222</v>
      </c>
      <c r="U74" s="635">
        <v>-7.838763557430573</v>
      </c>
      <c r="V74" s="635">
        <v>-9.1375961505129712</v>
      </c>
      <c r="X74" s="241"/>
    </row>
    <row r="75" spans="3:24" s="606" customFormat="1" outlineLevel="1">
      <c r="C75" s="657" t="s">
        <v>754</v>
      </c>
      <c r="D75" s="648"/>
      <c r="E75" s="659"/>
      <c r="F75" s="659"/>
      <c r="G75" s="648"/>
      <c r="H75" s="648"/>
      <c r="I75" s="648"/>
      <c r="J75" s="648"/>
      <c r="K75" s="648"/>
      <c r="L75" s="648"/>
      <c r="M75" s="700">
        <v>326.19963403999992</v>
      </c>
      <c r="N75" s="701">
        <v>237.17787835999985</v>
      </c>
      <c r="O75" s="701">
        <v>257.60564151473545</v>
      </c>
      <c r="P75" s="701">
        <v>251.14656240652562</v>
      </c>
      <c r="Q75" s="701">
        <v>226.56789880071332</v>
      </c>
      <c r="R75" s="701">
        <v>232.43731138831836</v>
      </c>
      <c r="S75" s="702">
        <v>227.74372531908963</v>
      </c>
      <c r="T75" s="703">
        <v>218.23748804703223</v>
      </c>
      <c r="U75" s="704">
        <v>192.14084798363774</v>
      </c>
      <c r="V75" s="701">
        <v>160.95236830507957</v>
      </c>
      <c r="X75" s="658">
        <v>0</v>
      </c>
    </row>
    <row r="76" spans="3:24" s="606" customFormat="1" outlineLevel="1">
      <c r="C76" s="660"/>
      <c r="D76" s="661"/>
      <c r="E76" s="662"/>
      <c r="F76" s="662"/>
      <c r="G76" s="661"/>
      <c r="H76" s="661"/>
      <c r="I76" s="661"/>
      <c r="J76" s="661"/>
      <c r="K76" s="661"/>
      <c r="L76" s="661"/>
      <c r="M76" s="663"/>
      <c r="N76" s="663"/>
      <c r="O76" s="663"/>
      <c r="P76" s="663"/>
      <c r="Q76" s="663"/>
      <c r="R76" s="663"/>
      <c r="S76" s="663"/>
      <c r="T76" s="664"/>
      <c r="U76" s="663"/>
      <c r="V76" s="663"/>
      <c r="X76" s="663"/>
    </row>
    <row r="77" spans="3:24" s="606" customFormat="1" outlineLevel="1">
      <c r="C77" s="665" t="s">
        <v>755</v>
      </c>
      <c r="D77" s="666"/>
      <c r="E77" s="666"/>
      <c r="F77" s="667"/>
      <c r="G77" s="666"/>
      <c r="H77" s="666"/>
      <c r="I77" s="666"/>
      <c r="J77" s="666"/>
      <c r="K77" s="666"/>
      <c r="L77" s="666"/>
      <c r="M77" s="663"/>
      <c r="N77" s="663"/>
      <c r="O77" s="663"/>
      <c r="P77" s="663"/>
      <c r="Q77" s="663"/>
      <c r="R77" s="663"/>
      <c r="S77" s="663"/>
      <c r="T77" s="664"/>
      <c r="U77" s="663"/>
      <c r="V77" s="663"/>
      <c r="X77" s="663"/>
    </row>
    <row r="78" spans="3:24" s="606" customFormat="1" outlineLevel="1">
      <c r="C78" s="647" t="s">
        <v>756</v>
      </c>
      <c r="D78" s="648"/>
      <c r="E78" s="649"/>
      <c r="F78" s="649"/>
      <c r="G78" s="648"/>
      <c r="H78" s="648"/>
      <c r="I78" s="648"/>
      <c r="J78" s="648"/>
      <c r="K78" s="648"/>
      <c r="L78" s="649"/>
      <c r="M78" s="635">
        <v>0</v>
      </c>
      <c r="N78" s="635">
        <v>0</v>
      </c>
      <c r="O78" s="635">
        <v>0</v>
      </c>
      <c r="P78" s="635">
        <v>0</v>
      </c>
      <c r="Q78" s="635">
        <v>0</v>
      </c>
      <c r="R78" s="635">
        <v>0</v>
      </c>
      <c r="S78" s="635">
        <v>0</v>
      </c>
      <c r="T78" s="635">
        <v>0</v>
      </c>
      <c r="U78" s="635">
        <v>0</v>
      </c>
      <c r="V78" s="635">
        <v>0</v>
      </c>
      <c r="X78" s="241"/>
    </row>
    <row r="79" spans="3:24" s="606" customFormat="1" outlineLevel="1">
      <c r="C79" s="649" t="s">
        <v>757</v>
      </c>
      <c r="D79" s="648"/>
      <c r="E79" s="649"/>
      <c r="F79" s="649"/>
      <c r="G79" s="648"/>
      <c r="H79" s="648"/>
      <c r="I79" s="648"/>
      <c r="J79" s="648"/>
      <c r="K79" s="648"/>
      <c r="L79" s="649"/>
      <c r="M79" s="635">
        <v>0</v>
      </c>
      <c r="N79" s="635">
        <v>0</v>
      </c>
      <c r="O79" s="635">
        <v>0</v>
      </c>
      <c r="P79" s="635">
        <v>0</v>
      </c>
      <c r="Q79" s="635">
        <v>0</v>
      </c>
      <c r="R79" s="635">
        <v>0</v>
      </c>
      <c r="S79" s="635">
        <v>0</v>
      </c>
      <c r="T79" s="635">
        <v>0</v>
      </c>
      <c r="U79" s="635">
        <v>0</v>
      </c>
      <c r="V79" s="635">
        <v>0</v>
      </c>
      <c r="X79" s="241"/>
    </row>
    <row r="80" spans="3:24" s="606" customFormat="1" outlineLevel="1">
      <c r="C80" s="649" t="s">
        <v>758</v>
      </c>
      <c r="D80" s="648"/>
      <c r="E80" s="649"/>
      <c r="F80" s="649"/>
      <c r="G80" s="648"/>
      <c r="H80" s="648"/>
      <c r="I80" s="648"/>
      <c r="J80" s="648"/>
      <c r="K80" s="648"/>
      <c r="L80" s="649"/>
      <c r="M80" s="635">
        <v>0</v>
      </c>
      <c r="N80" s="635">
        <v>0</v>
      </c>
      <c r="O80" s="635">
        <v>0</v>
      </c>
      <c r="P80" s="635">
        <v>0</v>
      </c>
      <c r="Q80" s="635">
        <v>0</v>
      </c>
      <c r="R80" s="635">
        <v>0</v>
      </c>
      <c r="S80" s="635">
        <v>0</v>
      </c>
      <c r="T80" s="635">
        <v>0</v>
      </c>
      <c r="U80" s="635">
        <v>0</v>
      </c>
      <c r="V80" s="635">
        <v>0</v>
      </c>
      <c r="X80" s="241"/>
    </row>
    <row r="81" spans="2:24" s="606" customFormat="1" outlineLevel="1">
      <c r="B81" s="629" t="s">
        <v>850</v>
      </c>
      <c r="C81" s="653" t="s">
        <v>851</v>
      </c>
      <c r="D81" s="650"/>
      <c r="E81" s="651"/>
      <c r="F81" s="651"/>
      <c r="G81" s="648"/>
      <c r="H81" s="648"/>
      <c r="I81" s="648"/>
      <c r="J81" s="648"/>
      <c r="K81" s="648"/>
      <c r="L81" s="649"/>
      <c r="M81" s="728">
        <v>0</v>
      </c>
      <c r="N81" s="729">
        <v>0</v>
      </c>
      <c r="O81" s="729">
        <v>0</v>
      </c>
      <c r="P81" s="729">
        <v>0</v>
      </c>
      <c r="Q81" s="729">
        <v>0</v>
      </c>
      <c r="R81" s="729">
        <v>0</v>
      </c>
      <c r="S81" s="730">
        <v>0</v>
      </c>
      <c r="T81" s="731">
        <v>0</v>
      </c>
      <c r="U81" s="732">
        <v>0</v>
      </c>
      <c r="V81" s="729">
        <v>0</v>
      </c>
      <c r="X81" s="668">
        <v>0</v>
      </c>
    </row>
    <row r="82" spans="2:24" s="606" customFormat="1" outlineLevel="1">
      <c r="C82" s="657" t="s">
        <v>759</v>
      </c>
      <c r="D82" s="648"/>
      <c r="E82" s="649"/>
      <c r="F82" s="649"/>
      <c r="G82" s="648"/>
      <c r="H82" s="648"/>
      <c r="I82" s="648"/>
      <c r="J82" s="648"/>
      <c r="K82" s="648"/>
      <c r="L82" s="649"/>
      <c r="M82" s="723">
        <v>0</v>
      </c>
      <c r="N82" s="724">
        <v>0</v>
      </c>
      <c r="O82" s="724">
        <v>0</v>
      </c>
      <c r="P82" s="724">
        <v>0</v>
      </c>
      <c r="Q82" s="724">
        <v>0</v>
      </c>
      <c r="R82" s="724">
        <v>0</v>
      </c>
      <c r="S82" s="725">
        <v>0</v>
      </c>
      <c r="T82" s="726">
        <v>0</v>
      </c>
      <c r="U82" s="727">
        <v>0</v>
      </c>
      <c r="V82" s="724">
        <v>0</v>
      </c>
      <c r="X82" s="658">
        <v>0</v>
      </c>
    </row>
    <row r="83" spans="2:24" s="606" customFormat="1" outlineLevel="1">
      <c r="C83" s="647" t="s">
        <v>760</v>
      </c>
      <c r="D83" s="648"/>
      <c r="E83" s="649"/>
      <c r="F83" s="649"/>
      <c r="G83" s="648"/>
      <c r="H83" s="648"/>
      <c r="I83" s="648"/>
      <c r="J83" s="648"/>
      <c r="K83" s="648"/>
      <c r="L83" s="649"/>
      <c r="M83" s="635">
        <v>-9</v>
      </c>
      <c r="N83" s="635">
        <v>-29</v>
      </c>
      <c r="O83" s="635">
        <v>-33</v>
      </c>
      <c r="P83" s="635">
        <v>-35</v>
      </c>
      <c r="Q83" s="635">
        <v>-35</v>
      </c>
      <c r="R83" s="635">
        <v>-35</v>
      </c>
      <c r="S83" s="635">
        <v>-35</v>
      </c>
      <c r="T83" s="635">
        <v>-35</v>
      </c>
      <c r="U83" s="635">
        <v>-35</v>
      </c>
      <c r="V83" s="635">
        <v>-35</v>
      </c>
      <c r="X83" s="241"/>
    </row>
    <row r="84" spans="2:24" s="606" customFormat="1" outlineLevel="1">
      <c r="C84" s="647" t="s">
        <v>761</v>
      </c>
      <c r="D84" s="648"/>
      <c r="E84" s="649"/>
      <c r="F84" s="649"/>
      <c r="G84" s="648"/>
      <c r="H84" s="648"/>
      <c r="I84" s="648"/>
      <c r="J84" s="648"/>
      <c r="K84" s="648"/>
      <c r="L84" s="649"/>
      <c r="M84" s="635">
        <v>-0.68099082999999994</v>
      </c>
      <c r="N84" s="635">
        <v>2.2581284099999999</v>
      </c>
      <c r="O84" s="635">
        <v>3.6939941599999995</v>
      </c>
      <c r="P84" s="635">
        <v>0</v>
      </c>
      <c r="Q84" s="635">
        <v>0</v>
      </c>
      <c r="R84" s="635">
        <v>0</v>
      </c>
      <c r="S84" s="635">
        <v>0</v>
      </c>
      <c r="T84" s="635">
        <v>0</v>
      </c>
      <c r="U84" s="635">
        <v>0</v>
      </c>
      <c r="V84" s="635">
        <v>0</v>
      </c>
      <c r="X84" s="241"/>
    </row>
    <row r="85" spans="2:24" s="606" customFormat="1" outlineLevel="1">
      <c r="C85" s="647" t="s">
        <v>762</v>
      </c>
      <c r="D85" s="648"/>
      <c r="E85" s="656"/>
      <c r="F85" s="656"/>
      <c r="G85" s="648"/>
      <c r="H85" s="648"/>
      <c r="I85" s="648"/>
      <c r="J85" s="648"/>
      <c r="K85" s="648"/>
      <c r="L85" s="648"/>
      <c r="M85" s="635">
        <v>0</v>
      </c>
      <c r="N85" s="635">
        <v>0</v>
      </c>
      <c r="O85" s="635">
        <v>0</v>
      </c>
      <c r="P85" s="635">
        <v>0</v>
      </c>
      <c r="Q85" s="635">
        <v>0</v>
      </c>
      <c r="R85" s="635">
        <v>0</v>
      </c>
      <c r="S85" s="635">
        <v>0</v>
      </c>
      <c r="T85" s="635">
        <v>0</v>
      </c>
      <c r="U85" s="635">
        <v>0</v>
      </c>
      <c r="V85" s="635">
        <v>0</v>
      </c>
      <c r="X85" s="241"/>
    </row>
    <row r="86" spans="2:24" s="606" customFormat="1" outlineLevel="1">
      <c r="C86" s="654" t="s">
        <v>763</v>
      </c>
      <c r="D86" s="655"/>
      <c r="E86" s="656"/>
      <c r="F86" s="656"/>
      <c r="G86" s="648"/>
      <c r="H86" s="648"/>
      <c r="I86" s="648"/>
      <c r="J86" s="648"/>
      <c r="K86" s="648"/>
      <c r="L86" s="649"/>
      <c r="M86" s="635">
        <v>-0.16517507999999997</v>
      </c>
      <c r="N86" s="635">
        <v>-5.4610124200000003</v>
      </c>
      <c r="O86" s="635">
        <v>-25.441515750000001</v>
      </c>
      <c r="P86" s="635">
        <v>-34.462000000000003</v>
      </c>
      <c r="Q86" s="635">
        <v>-2.7540472468890598</v>
      </c>
      <c r="R86" s="635">
        <v>-0.95583592665683836</v>
      </c>
      <c r="S86" s="635">
        <v>-1.4013225</v>
      </c>
      <c r="T86" s="635">
        <v>-1.41024375</v>
      </c>
      <c r="U86" s="635">
        <v>-1.44568125</v>
      </c>
      <c r="V86" s="635">
        <v>-1.49961375</v>
      </c>
      <c r="X86" s="241"/>
    </row>
    <row r="87" spans="2:24" s="606" customFormat="1" outlineLevel="1">
      <c r="C87" s="657" t="s">
        <v>764</v>
      </c>
      <c r="D87" s="648"/>
      <c r="E87" s="649"/>
      <c r="F87" s="649"/>
      <c r="G87" s="648"/>
      <c r="H87" s="648"/>
      <c r="I87" s="648"/>
      <c r="J87" s="648"/>
      <c r="K87" s="648"/>
      <c r="L87" s="649"/>
      <c r="M87" s="700">
        <v>-9.8461659099999999</v>
      </c>
      <c r="N87" s="701">
        <v>-32.202884009999998</v>
      </c>
      <c r="O87" s="701">
        <v>-54.747521590000005</v>
      </c>
      <c r="P87" s="701">
        <v>-69.462000000000003</v>
      </c>
      <c r="Q87" s="701">
        <v>-37.754047246889058</v>
      </c>
      <c r="R87" s="701">
        <v>-35.955835926656839</v>
      </c>
      <c r="S87" s="702">
        <v>-36.401322499999999</v>
      </c>
      <c r="T87" s="703">
        <v>-36.410243749999999</v>
      </c>
      <c r="U87" s="704">
        <v>-36.44568125</v>
      </c>
      <c r="V87" s="701">
        <v>-36.499613750000002</v>
      </c>
      <c r="X87" s="658">
        <v>0</v>
      </c>
    </row>
    <row r="88" spans="2:24" s="606" customFormat="1" outlineLevel="1">
      <c r="C88" s="669"/>
      <c r="D88" s="661"/>
      <c r="E88" s="662"/>
      <c r="F88" s="662"/>
      <c r="G88" s="661"/>
      <c r="H88" s="661"/>
      <c r="I88" s="661"/>
      <c r="J88" s="661"/>
      <c r="K88" s="661"/>
      <c r="L88" s="662"/>
      <c r="M88" s="663"/>
      <c r="N88" s="663"/>
      <c r="O88" s="663"/>
      <c r="P88" s="663"/>
      <c r="Q88" s="663"/>
      <c r="R88" s="663"/>
      <c r="S88" s="663"/>
      <c r="T88" s="664"/>
      <c r="U88" s="663"/>
      <c r="V88" s="663"/>
      <c r="X88" s="663"/>
    </row>
    <row r="89" spans="2:24" s="606" customFormat="1" outlineLevel="1">
      <c r="C89" s="670" t="s">
        <v>765</v>
      </c>
      <c r="D89" s="671"/>
      <c r="E89" s="671"/>
      <c r="F89" s="671"/>
      <c r="G89" s="666"/>
      <c r="H89" s="666"/>
      <c r="I89" s="666"/>
      <c r="J89" s="666"/>
      <c r="K89" s="666"/>
      <c r="L89" s="667"/>
      <c r="T89" s="638"/>
    </row>
    <row r="90" spans="2:24" s="606" customFormat="1" outlineLevel="1">
      <c r="C90" s="672" t="s">
        <v>766</v>
      </c>
      <c r="D90" s="672"/>
      <c r="E90" s="672"/>
      <c r="F90" s="672"/>
      <c r="G90" s="648"/>
      <c r="H90" s="648"/>
      <c r="I90" s="648"/>
      <c r="J90" s="648"/>
      <c r="K90" s="648"/>
      <c r="L90" s="648"/>
      <c r="M90" s="733">
        <v>326.19963403999992</v>
      </c>
      <c r="N90" s="734">
        <v>237.17787835999985</v>
      </c>
      <c r="O90" s="734">
        <v>257.60564151473545</v>
      </c>
      <c r="P90" s="734">
        <v>251.14656240652562</v>
      </c>
      <c r="Q90" s="734">
        <v>226.56789880071332</v>
      </c>
      <c r="R90" s="734">
        <v>232.43731138831836</v>
      </c>
      <c r="S90" s="735">
        <v>227.74372531908963</v>
      </c>
      <c r="T90" s="736">
        <v>218.23748804703223</v>
      </c>
      <c r="U90" s="737">
        <v>192.14084798363774</v>
      </c>
      <c r="V90" s="734">
        <v>160.95236830507957</v>
      </c>
      <c r="X90" s="652">
        <v>0</v>
      </c>
    </row>
    <row r="91" spans="2:24" s="606" customFormat="1" ht="12.75" customHeight="1" outlineLevel="1">
      <c r="C91" s="672" t="s">
        <v>767</v>
      </c>
      <c r="D91" s="673"/>
      <c r="E91" s="673"/>
      <c r="F91" s="673"/>
      <c r="G91" s="648"/>
      <c r="H91" s="648"/>
      <c r="I91" s="648"/>
      <c r="J91" s="648"/>
      <c r="K91" s="648"/>
      <c r="L91" s="648"/>
      <c r="M91" s="712">
        <v>-9.8461659099999999</v>
      </c>
      <c r="N91" s="713">
        <v>-32.202884009999998</v>
      </c>
      <c r="O91" s="713">
        <v>-54.747521590000005</v>
      </c>
      <c r="P91" s="713">
        <v>-69.462000000000003</v>
      </c>
      <c r="Q91" s="713">
        <v>-37.754047246889058</v>
      </c>
      <c r="R91" s="713">
        <v>-35.955835926656839</v>
      </c>
      <c r="S91" s="714">
        <v>-36.401322499999999</v>
      </c>
      <c r="T91" s="715">
        <v>-36.410243749999999</v>
      </c>
      <c r="U91" s="716">
        <v>-36.44568125</v>
      </c>
      <c r="V91" s="713">
        <v>-36.499613750000002</v>
      </c>
      <c r="X91" s="652">
        <v>0</v>
      </c>
    </row>
    <row r="92" spans="2:24" s="606" customFormat="1" outlineLevel="1">
      <c r="C92" s="672" t="s">
        <v>768</v>
      </c>
      <c r="D92" s="672"/>
      <c r="E92" s="672"/>
      <c r="F92" s="672"/>
      <c r="G92" s="648"/>
      <c r="H92" s="648"/>
      <c r="I92" s="648"/>
      <c r="J92" s="648"/>
      <c r="K92" s="648"/>
      <c r="L92" s="648"/>
      <c r="M92" s="705">
        <v>316.3534681299999</v>
      </c>
      <c r="N92" s="706">
        <v>204.97499434999986</v>
      </c>
      <c r="O92" s="706">
        <v>202.85811992473543</v>
      </c>
      <c r="P92" s="706">
        <v>181.68456240652563</v>
      </c>
      <c r="Q92" s="706">
        <v>188.81385155382426</v>
      </c>
      <c r="R92" s="706">
        <v>196.48147546166152</v>
      </c>
      <c r="S92" s="707">
        <v>191.34240281908964</v>
      </c>
      <c r="T92" s="708">
        <v>181.82724429703222</v>
      </c>
      <c r="U92" s="709">
        <v>155.69516673363773</v>
      </c>
      <c r="V92" s="706">
        <v>124.45275455507957</v>
      </c>
      <c r="X92" s="658">
        <v>0</v>
      </c>
    </row>
    <row r="93" spans="2:24" s="606" customFormat="1" outlineLevel="1">
      <c r="C93" s="661"/>
      <c r="D93" s="661"/>
      <c r="E93" s="661"/>
      <c r="F93" s="661"/>
      <c r="G93" s="661"/>
      <c r="H93" s="661"/>
      <c r="I93" s="661"/>
      <c r="J93" s="661"/>
      <c r="K93" s="661"/>
      <c r="L93" s="661"/>
      <c r="T93" s="638"/>
    </row>
    <row r="94" spans="2:24" s="606" customFormat="1" outlineLevel="1">
      <c r="B94" s="674"/>
      <c r="C94" s="675" t="s">
        <v>769</v>
      </c>
      <c r="D94" s="675"/>
      <c r="E94" s="666"/>
      <c r="F94" s="666"/>
      <c r="G94" s="666"/>
      <c r="H94" s="666"/>
      <c r="I94" s="666"/>
      <c r="J94" s="666"/>
      <c r="K94" s="666"/>
      <c r="L94" s="666"/>
      <c r="T94" s="638"/>
    </row>
    <row r="95" spans="2:24" s="606" customFormat="1" outlineLevel="1">
      <c r="B95" s="674"/>
      <c r="C95" s="648" t="s">
        <v>770</v>
      </c>
      <c r="D95" s="648"/>
      <c r="E95" s="648"/>
      <c r="F95" s="648"/>
      <c r="G95" s="648"/>
      <c r="H95" s="648"/>
      <c r="I95" s="648"/>
      <c r="J95" s="648"/>
      <c r="K95" s="648"/>
      <c r="L95" s="648"/>
      <c r="M95" s="635">
        <v>0</v>
      </c>
      <c r="N95" s="635">
        <v>0</v>
      </c>
      <c r="O95" s="635">
        <v>0</v>
      </c>
      <c r="P95" s="635">
        <v>0</v>
      </c>
      <c r="Q95" s="635">
        <v>0</v>
      </c>
      <c r="R95" s="635">
        <v>0</v>
      </c>
      <c r="S95" s="635">
        <v>0</v>
      </c>
      <c r="T95" s="635">
        <v>0</v>
      </c>
      <c r="U95" s="635">
        <v>0</v>
      </c>
      <c r="V95" s="635">
        <v>0</v>
      </c>
    </row>
    <row r="96" spans="2:24" s="606" customFormat="1" outlineLevel="1">
      <c r="B96" s="674"/>
      <c r="C96" s="648" t="s">
        <v>660</v>
      </c>
      <c r="D96" s="648"/>
      <c r="E96" s="648"/>
      <c r="F96" s="648"/>
      <c r="G96" s="648"/>
      <c r="H96" s="648"/>
      <c r="I96" s="648"/>
      <c r="J96" s="648"/>
      <c r="K96" s="648"/>
      <c r="L96" s="648"/>
      <c r="M96" s="55">
        <v>1</v>
      </c>
      <c r="N96" s="56">
        <v>1</v>
      </c>
      <c r="O96" s="56">
        <v>1</v>
      </c>
      <c r="P96" s="56">
        <v>1</v>
      </c>
      <c r="Q96" s="56">
        <v>1</v>
      </c>
      <c r="R96" s="56">
        <v>1</v>
      </c>
      <c r="S96" s="57">
        <v>1</v>
      </c>
      <c r="T96" s="320">
        <v>1</v>
      </c>
      <c r="U96" s="318">
        <v>1</v>
      </c>
      <c r="V96" s="56">
        <v>1</v>
      </c>
    </row>
    <row r="97" spans="3:22" s="606" customFormat="1" outlineLevel="1">
      <c r="C97" s="661"/>
      <c r="D97" s="661"/>
      <c r="E97" s="661"/>
      <c r="F97" s="661"/>
      <c r="G97" s="661"/>
      <c r="H97" s="661"/>
      <c r="I97" s="661"/>
      <c r="J97" s="661"/>
      <c r="K97" s="661"/>
      <c r="L97" s="661"/>
      <c r="T97" s="638"/>
    </row>
    <row r="98" spans="3:22" s="606" customFormat="1" outlineLevel="1">
      <c r="C98" s="670" t="s">
        <v>771</v>
      </c>
      <c r="D98" s="671"/>
      <c r="E98" s="671"/>
      <c r="F98" s="671"/>
      <c r="G98" s="666"/>
      <c r="H98" s="666"/>
      <c r="I98" s="666"/>
      <c r="J98" s="666"/>
      <c r="K98" s="666"/>
      <c r="L98" s="666"/>
      <c r="T98" s="638"/>
    </row>
    <row r="99" spans="3:22" s="606" customFormat="1" outlineLevel="1">
      <c r="C99" s="672" t="s">
        <v>768</v>
      </c>
      <c r="D99" s="672"/>
      <c r="E99" s="672"/>
      <c r="F99" s="672"/>
      <c r="G99" s="648"/>
      <c r="H99" s="648"/>
      <c r="I99" s="648"/>
      <c r="J99" s="648"/>
      <c r="K99" s="648"/>
      <c r="L99" s="648"/>
      <c r="M99" s="733">
        <v>316.3534681299999</v>
      </c>
      <c r="N99" s="734">
        <v>204.97499434999986</v>
      </c>
      <c r="O99" s="734">
        <v>202.85811992473543</v>
      </c>
      <c r="P99" s="734">
        <v>181.68456240652563</v>
      </c>
      <c r="Q99" s="734">
        <v>188.81385155382426</v>
      </c>
      <c r="R99" s="734">
        <v>196.48147546166152</v>
      </c>
      <c r="S99" s="735">
        <v>191.34240281908964</v>
      </c>
      <c r="T99" s="736">
        <v>181.82724429703222</v>
      </c>
      <c r="U99" s="737">
        <v>155.69516673363773</v>
      </c>
      <c r="V99" s="734">
        <v>124.45275455507957</v>
      </c>
    </row>
    <row r="100" spans="3:22" s="606" customFormat="1" ht="12.75" customHeight="1" outlineLevel="1">
      <c r="C100" s="672" t="s">
        <v>772</v>
      </c>
      <c r="D100" s="673"/>
      <c r="E100" s="673"/>
      <c r="F100" s="673"/>
      <c r="G100" s="648"/>
      <c r="H100" s="648"/>
      <c r="I100" s="648"/>
      <c r="J100" s="648"/>
      <c r="K100" s="648"/>
      <c r="L100" s="648"/>
      <c r="M100" s="635">
        <v>0</v>
      </c>
      <c r="N100" s="635">
        <v>0</v>
      </c>
      <c r="O100" s="635">
        <v>0</v>
      </c>
      <c r="P100" s="635">
        <v>0</v>
      </c>
      <c r="Q100" s="635">
        <v>0</v>
      </c>
      <c r="R100" s="635">
        <v>0</v>
      </c>
      <c r="S100" s="635">
        <v>0</v>
      </c>
      <c r="T100" s="635">
        <v>0</v>
      </c>
      <c r="U100" s="635">
        <v>0</v>
      </c>
      <c r="V100" s="635">
        <v>0</v>
      </c>
    </row>
    <row r="101" spans="3:22" s="606" customFormat="1" ht="12.75" customHeight="1" outlineLevel="1">
      <c r="C101" s="672" t="s">
        <v>773</v>
      </c>
      <c r="D101" s="673"/>
      <c r="E101" s="673"/>
      <c r="F101" s="673"/>
      <c r="G101" s="648"/>
      <c r="H101" s="648"/>
      <c r="I101" s="648"/>
      <c r="J101" s="648"/>
      <c r="K101" s="648"/>
      <c r="L101" s="648"/>
      <c r="M101" s="635">
        <v>13.819698439999998</v>
      </c>
      <c r="N101" s="635">
        <v>14.963229609999999</v>
      </c>
      <c r="O101" s="635">
        <v>15.535199629999999</v>
      </c>
      <c r="P101" s="635">
        <v>3.7789985591600463</v>
      </c>
      <c r="Q101" s="635">
        <v>3.2317871291445792</v>
      </c>
      <c r="R101" s="635">
        <v>4.0239993791731523</v>
      </c>
      <c r="S101" s="635">
        <v>5.3863195624922664</v>
      </c>
      <c r="T101" s="635">
        <v>6.5059967502672222</v>
      </c>
      <c r="U101" s="635">
        <v>7.838763557430573</v>
      </c>
      <c r="V101" s="635">
        <v>9.1375961505129712</v>
      </c>
    </row>
    <row r="102" spans="3:22" s="606" customFormat="1" ht="12.75" customHeight="1" outlineLevel="1">
      <c r="C102" s="672" t="s">
        <v>774</v>
      </c>
      <c r="D102" s="673"/>
      <c r="E102" s="673"/>
      <c r="F102" s="673"/>
      <c r="G102" s="648"/>
      <c r="H102" s="648"/>
      <c r="I102" s="648"/>
      <c r="J102" s="648"/>
      <c r="K102" s="648"/>
      <c r="L102" s="648"/>
      <c r="M102" s="635">
        <v>0</v>
      </c>
      <c r="N102" s="635">
        <v>0</v>
      </c>
      <c r="O102" s="635">
        <v>0</v>
      </c>
      <c r="P102" s="635">
        <v>0</v>
      </c>
      <c r="Q102" s="635">
        <v>0</v>
      </c>
      <c r="R102" s="635">
        <v>0</v>
      </c>
      <c r="S102" s="635">
        <v>0</v>
      </c>
      <c r="T102" s="635">
        <v>0</v>
      </c>
      <c r="U102" s="635">
        <v>0</v>
      </c>
      <c r="V102" s="635">
        <v>0</v>
      </c>
    </row>
    <row r="103" spans="3:22" s="606" customFormat="1" ht="12.75" customHeight="1" outlineLevel="1">
      <c r="C103" s="672" t="s">
        <v>775</v>
      </c>
      <c r="D103" s="673"/>
      <c r="E103" s="673"/>
      <c r="F103" s="673"/>
      <c r="G103" s="648"/>
      <c r="H103" s="648"/>
      <c r="I103" s="648"/>
      <c r="J103" s="648"/>
      <c r="K103" s="648"/>
      <c r="L103" s="648"/>
      <c r="M103" s="635">
        <v>0</v>
      </c>
      <c r="N103" s="635">
        <v>0</v>
      </c>
      <c r="O103" s="635">
        <v>0</v>
      </c>
      <c r="P103" s="635">
        <v>0</v>
      </c>
      <c r="Q103" s="635">
        <v>0</v>
      </c>
      <c r="R103" s="635">
        <v>0</v>
      </c>
      <c r="S103" s="635">
        <v>0</v>
      </c>
      <c r="T103" s="635">
        <v>0</v>
      </c>
      <c r="U103" s="635">
        <v>0</v>
      </c>
      <c r="V103" s="635">
        <v>0</v>
      </c>
    </row>
    <row r="104" spans="3:22" s="606" customFormat="1" ht="12.75" customHeight="1" outlineLevel="1">
      <c r="C104" s="672" t="s">
        <v>776</v>
      </c>
      <c r="D104" s="673"/>
      <c r="E104" s="673"/>
      <c r="F104" s="673"/>
      <c r="G104" s="648"/>
      <c r="H104" s="648"/>
      <c r="I104" s="648"/>
      <c r="J104" s="648"/>
      <c r="K104" s="648"/>
      <c r="L104" s="648"/>
      <c r="M104" s="635">
        <v>0</v>
      </c>
      <c r="N104" s="635">
        <v>0</v>
      </c>
      <c r="O104" s="635">
        <v>0</v>
      </c>
      <c r="P104" s="635">
        <v>0</v>
      </c>
      <c r="Q104" s="635">
        <v>0</v>
      </c>
      <c r="R104" s="635">
        <v>0</v>
      </c>
      <c r="S104" s="635">
        <v>0</v>
      </c>
      <c r="T104" s="635">
        <v>0</v>
      </c>
      <c r="U104" s="635">
        <v>0</v>
      </c>
      <c r="V104" s="635">
        <v>0</v>
      </c>
    </row>
    <row r="105" spans="3:22" s="606" customFormat="1" ht="12.75" customHeight="1" outlineLevel="1">
      <c r="C105" s="672" t="s">
        <v>777</v>
      </c>
      <c r="D105" s="673"/>
      <c r="E105" s="673"/>
      <c r="F105" s="673"/>
      <c r="G105" s="648"/>
      <c r="H105" s="648"/>
      <c r="I105" s="648"/>
      <c r="J105" s="648"/>
      <c r="K105" s="648"/>
      <c r="L105" s="648"/>
      <c r="M105" s="635">
        <v>9</v>
      </c>
      <c r="N105" s="635">
        <v>29</v>
      </c>
      <c r="O105" s="635">
        <v>33</v>
      </c>
      <c r="P105" s="635">
        <v>35</v>
      </c>
      <c r="Q105" s="635">
        <v>35</v>
      </c>
      <c r="R105" s="635">
        <v>35</v>
      </c>
      <c r="S105" s="635">
        <v>35</v>
      </c>
      <c r="T105" s="635">
        <v>35</v>
      </c>
      <c r="U105" s="635">
        <v>35</v>
      </c>
      <c r="V105" s="635">
        <v>35</v>
      </c>
    </row>
    <row r="106" spans="3:22" s="606" customFormat="1" ht="12.75" customHeight="1" outlineLevel="1">
      <c r="C106" s="672" t="s">
        <v>778</v>
      </c>
      <c r="D106" s="673"/>
      <c r="E106" s="673"/>
      <c r="F106" s="673"/>
      <c r="G106" s="648"/>
      <c r="H106" s="648"/>
      <c r="I106" s="648"/>
      <c r="J106" s="648"/>
      <c r="K106" s="648"/>
      <c r="L106" s="648"/>
      <c r="M106" s="635">
        <v>-4.5332836099999936</v>
      </c>
      <c r="N106" s="635">
        <v>-7.2766104899999995</v>
      </c>
      <c r="O106" s="635">
        <v>3.9201389299999989</v>
      </c>
      <c r="P106" s="635">
        <v>-5.5044040992774139</v>
      </c>
      <c r="Q106" s="635">
        <v>-5.1790534673784503</v>
      </c>
      <c r="R106" s="635">
        <v>-5.1883390077982217</v>
      </c>
      <c r="S106" s="635">
        <v>-5.5204261543034203</v>
      </c>
      <c r="T106" s="635">
        <v>-5.2119876466639026</v>
      </c>
      <c r="U106" s="635">
        <v>-5.9718338146528334</v>
      </c>
      <c r="V106" s="635">
        <v>-5.7424762039101314</v>
      </c>
    </row>
    <row r="107" spans="3:22" s="606" customFormat="1" ht="12.75" customHeight="1" outlineLevel="1">
      <c r="C107" s="672" t="s">
        <v>779</v>
      </c>
      <c r="D107" s="673"/>
      <c r="E107" s="673"/>
      <c r="F107" s="673"/>
      <c r="G107" s="648"/>
      <c r="H107" s="648"/>
      <c r="I107" s="648"/>
      <c r="J107" s="648"/>
      <c r="K107" s="648"/>
      <c r="L107" s="648"/>
      <c r="M107" s="635">
        <v>-0.2824158799999999</v>
      </c>
      <c r="N107" s="635">
        <v>-3.0097344699999997</v>
      </c>
      <c r="O107" s="635">
        <v>-1.9666726999999986</v>
      </c>
      <c r="P107" s="635">
        <v>-0.57600000000000007</v>
      </c>
      <c r="Q107" s="635">
        <v>-0.57600000000000007</v>
      </c>
      <c r="R107" s="635">
        <v>-0.57600000000000007</v>
      </c>
      <c r="S107" s="635">
        <v>-0.57600000000000007</v>
      </c>
      <c r="T107" s="635">
        <v>-0.57600000000000007</v>
      </c>
      <c r="U107" s="635">
        <v>-0.57600000000000007</v>
      </c>
      <c r="V107" s="635">
        <v>-0.57600000000000007</v>
      </c>
    </row>
    <row r="108" spans="3:22" s="606" customFormat="1" outlineLevel="1">
      <c r="C108" s="647" t="s">
        <v>1240</v>
      </c>
      <c r="D108" s="648"/>
      <c r="E108" s="297"/>
      <c r="F108" s="297"/>
      <c r="G108" s="648"/>
      <c r="H108" s="648"/>
      <c r="I108" s="648"/>
      <c r="J108" s="648"/>
      <c r="K108" s="648"/>
      <c r="L108" s="648"/>
      <c r="M108" s="635">
        <v>-0.28329284999999998</v>
      </c>
      <c r="N108" s="635">
        <v>-0.30700746999999995</v>
      </c>
      <c r="O108" s="635">
        <v>-0.28404590000000002</v>
      </c>
      <c r="P108" s="635">
        <v>-0.27436445682940558</v>
      </c>
      <c r="Q108" s="635">
        <v>0</v>
      </c>
      <c r="R108" s="635">
        <v>-0.1</v>
      </c>
      <c r="S108" s="635">
        <v>-0.1</v>
      </c>
      <c r="T108" s="635">
        <v>-0.1</v>
      </c>
      <c r="U108" s="635">
        <v>-0.1</v>
      </c>
      <c r="V108" s="635">
        <v>-0.1</v>
      </c>
    </row>
    <row r="109" spans="3:22" s="606" customFormat="1" outlineLevel="1">
      <c r="C109" s="647" t="s">
        <v>1241</v>
      </c>
      <c r="D109" s="648"/>
      <c r="E109" s="297"/>
      <c r="F109" s="297"/>
      <c r="G109" s="648"/>
      <c r="H109" s="648"/>
      <c r="I109" s="648"/>
      <c r="J109" s="648"/>
      <c r="K109" s="648"/>
      <c r="L109" s="648"/>
      <c r="M109" s="635">
        <v>-2.0715935500000002</v>
      </c>
      <c r="N109" s="635">
        <v>-0.47992902999999987</v>
      </c>
      <c r="O109" s="635">
        <v>0</v>
      </c>
      <c r="P109" s="635">
        <v>-1.3724999999999998</v>
      </c>
      <c r="Q109" s="635">
        <v>-1.3724999999999998</v>
      </c>
      <c r="R109" s="635">
        <v>-1.3724999999999998</v>
      </c>
      <c r="S109" s="635">
        <v>-1.3724999999999998</v>
      </c>
      <c r="T109" s="635">
        <v>-1.2374999999999998</v>
      </c>
      <c r="U109" s="635">
        <v>-1.9375</v>
      </c>
      <c r="V109" s="635">
        <v>-1.9375</v>
      </c>
    </row>
    <row r="110" spans="3:22" s="606" customFormat="1" outlineLevel="1">
      <c r="C110" s="647" t="s">
        <v>1242</v>
      </c>
      <c r="D110" s="648"/>
      <c r="E110" s="297"/>
      <c r="F110" s="297"/>
      <c r="G110" s="648"/>
      <c r="H110" s="648"/>
      <c r="I110" s="648"/>
      <c r="J110" s="648"/>
      <c r="K110" s="648"/>
      <c r="L110" s="648"/>
      <c r="M110" s="635">
        <v>-77.819520879999999</v>
      </c>
      <c r="N110" s="635">
        <v>158</v>
      </c>
      <c r="O110" s="635">
        <v>27.193917420000091</v>
      </c>
      <c r="P110" s="635">
        <v>0</v>
      </c>
      <c r="Q110" s="635">
        <v>0</v>
      </c>
      <c r="R110" s="635">
        <v>0</v>
      </c>
      <c r="S110" s="635">
        <v>0</v>
      </c>
      <c r="T110" s="635">
        <v>0</v>
      </c>
      <c r="U110" s="635">
        <v>0</v>
      </c>
      <c r="V110" s="635">
        <v>0</v>
      </c>
    </row>
    <row r="111" spans="3:22" s="606" customFormat="1" outlineLevel="1">
      <c r="C111" s="647" t="s">
        <v>1243</v>
      </c>
      <c r="D111" s="648"/>
      <c r="E111" s="297"/>
      <c r="F111" s="297"/>
      <c r="G111" s="648"/>
      <c r="H111" s="648"/>
      <c r="I111" s="648"/>
      <c r="J111" s="648"/>
      <c r="K111" s="648"/>
      <c r="L111" s="648"/>
      <c r="M111" s="635">
        <v>0</v>
      </c>
      <c r="N111" s="635">
        <v>0</v>
      </c>
      <c r="O111" s="635">
        <v>0</v>
      </c>
      <c r="P111" s="635">
        <v>0</v>
      </c>
      <c r="Q111" s="635">
        <v>0</v>
      </c>
      <c r="R111" s="635">
        <v>0</v>
      </c>
      <c r="S111" s="635">
        <v>0</v>
      </c>
      <c r="T111" s="635">
        <v>0</v>
      </c>
      <c r="U111" s="635">
        <v>0</v>
      </c>
      <c r="V111" s="635">
        <v>0</v>
      </c>
    </row>
    <row r="112" spans="3:22" s="606" customFormat="1" outlineLevel="1">
      <c r="C112" s="647" t="s">
        <v>794</v>
      </c>
      <c r="D112" s="648"/>
      <c r="E112" s="297"/>
      <c r="F112" s="297"/>
      <c r="G112" s="648"/>
      <c r="H112" s="648"/>
      <c r="I112" s="648"/>
      <c r="J112" s="648"/>
      <c r="K112" s="648"/>
      <c r="L112" s="648"/>
      <c r="M112" s="635">
        <v>-193.10013529229883</v>
      </c>
      <c r="N112" s="635">
        <v>-300.14193062347829</v>
      </c>
      <c r="O112" s="635">
        <v>-211.91143491908556</v>
      </c>
      <c r="P112" s="635">
        <v>-160.58765953048595</v>
      </c>
      <c r="Q112" s="635">
        <v>-165.87473490320602</v>
      </c>
      <c r="R112" s="635">
        <v>-172.1731953895584</v>
      </c>
      <c r="S112" s="635">
        <v>-169.0740747342619</v>
      </c>
      <c r="T112" s="635">
        <v>-163.07619150189717</v>
      </c>
      <c r="U112" s="635">
        <v>-143.27004100128386</v>
      </c>
      <c r="V112" s="635">
        <v>-120.85788381974955</v>
      </c>
    </row>
    <row r="113" spans="3:23" s="606" customFormat="1" outlineLevel="1">
      <c r="C113" s="647" t="s">
        <v>780</v>
      </c>
      <c r="D113" s="648"/>
      <c r="E113" s="297"/>
      <c r="F113" s="297"/>
      <c r="G113" s="648"/>
      <c r="H113" s="648"/>
      <c r="I113" s="648"/>
      <c r="J113" s="648"/>
      <c r="K113" s="648"/>
      <c r="L113" s="648"/>
      <c r="M113" s="635">
        <v>0</v>
      </c>
      <c r="N113" s="635">
        <v>0</v>
      </c>
      <c r="O113" s="635">
        <v>0</v>
      </c>
      <c r="P113" s="635">
        <v>0</v>
      </c>
      <c r="Q113" s="635">
        <v>0</v>
      </c>
      <c r="R113" s="635">
        <v>0</v>
      </c>
      <c r="S113" s="635">
        <v>0</v>
      </c>
      <c r="T113" s="635">
        <v>0</v>
      </c>
      <c r="U113" s="635">
        <v>0</v>
      </c>
      <c r="V113" s="635">
        <v>0</v>
      </c>
    </row>
    <row r="114" spans="3:23" s="606" customFormat="1" outlineLevel="1">
      <c r="C114" s="298" t="s">
        <v>780</v>
      </c>
      <c r="D114" s="676"/>
      <c r="E114" s="297"/>
      <c r="F114" s="297"/>
      <c r="G114" s="648"/>
      <c r="H114" s="648"/>
      <c r="I114" s="648"/>
      <c r="J114" s="648"/>
      <c r="K114" s="648"/>
      <c r="L114" s="648"/>
      <c r="M114" s="635">
        <v>0</v>
      </c>
      <c r="N114" s="635">
        <v>0</v>
      </c>
      <c r="O114" s="635">
        <v>0</v>
      </c>
      <c r="P114" s="635">
        <v>0</v>
      </c>
      <c r="Q114" s="635">
        <v>0</v>
      </c>
      <c r="R114" s="635">
        <v>0</v>
      </c>
      <c r="S114" s="635">
        <v>0</v>
      </c>
      <c r="T114" s="635">
        <v>0</v>
      </c>
      <c r="U114" s="635">
        <v>0</v>
      </c>
      <c r="V114" s="635">
        <v>0</v>
      </c>
    </row>
    <row r="115" spans="3:23" s="606" customFormat="1" outlineLevel="1">
      <c r="C115" s="298" t="s">
        <v>780</v>
      </c>
      <c r="D115" s="676"/>
      <c r="E115" s="297"/>
      <c r="F115" s="297"/>
      <c r="G115" s="648"/>
      <c r="H115" s="648"/>
      <c r="I115" s="648"/>
      <c r="J115" s="648"/>
      <c r="K115" s="648"/>
      <c r="L115" s="648"/>
      <c r="M115" s="635">
        <v>0</v>
      </c>
      <c r="N115" s="635">
        <v>0</v>
      </c>
      <c r="O115" s="635">
        <v>0</v>
      </c>
      <c r="P115" s="635">
        <v>0</v>
      </c>
      <c r="Q115" s="635">
        <v>0</v>
      </c>
      <c r="R115" s="635">
        <v>0</v>
      </c>
      <c r="S115" s="635">
        <v>0</v>
      </c>
      <c r="T115" s="635">
        <v>0</v>
      </c>
      <c r="U115" s="635">
        <v>0</v>
      </c>
      <c r="V115" s="635">
        <v>0</v>
      </c>
    </row>
    <row r="116" spans="3:23" s="606" customFormat="1" outlineLevel="1">
      <c r="C116" s="298" t="s">
        <v>780</v>
      </c>
      <c r="D116" s="676"/>
      <c r="E116" s="297"/>
      <c r="F116" s="297"/>
      <c r="G116" s="648"/>
      <c r="H116" s="648"/>
      <c r="I116" s="648"/>
      <c r="J116" s="648"/>
      <c r="K116" s="648"/>
      <c r="L116" s="648"/>
      <c r="M116" s="635">
        <v>0</v>
      </c>
      <c r="N116" s="635">
        <v>0</v>
      </c>
      <c r="O116" s="635">
        <v>0</v>
      </c>
      <c r="P116" s="635">
        <v>0</v>
      </c>
      <c r="Q116" s="635">
        <v>0</v>
      </c>
      <c r="R116" s="635">
        <v>0</v>
      </c>
      <c r="S116" s="635">
        <v>0</v>
      </c>
      <c r="T116" s="635">
        <v>0</v>
      </c>
      <c r="U116" s="635">
        <v>0</v>
      </c>
      <c r="V116" s="635">
        <v>0</v>
      </c>
    </row>
    <row r="117" spans="3:23" s="606" customFormat="1" ht="12.75" customHeight="1" outlineLevel="1">
      <c r="C117" s="677" t="s">
        <v>579</v>
      </c>
      <c r="D117" s="678"/>
      <c r="E117" s="678"/>
      <c r="F117" s="678"/>
      <c r="G117" s="648"/>
      <c r="H117" s="648"/>
      <c r="I117" s="648"/>
      <c r="J117" s="648"/>
      <c r="K117" s="648"/>
      <c r="L117" s="648"/>
      <c r="M117" s="700">
        <v>61.082924507701108</v>
      </c>
      <c r="N117" s="701">
        <v>95.723011876521582</v>
      </c>
      <c r="O117" s="701">
        <v>68.345222385649976</v>
      </c>
      <c r="P117" s="701">
        <v>52.148632879092901</v>
      </c>
      <c r="Q117" s="701">
        <v>54.043350312384376</v>
      </c>
      <c r="R117" s="701">
        <v>56.095440443478054</v>
      </c>
      <c r="S117" s="702">
        <v>55.085721493016621</v>
      </c>
      <c r="T117" s="703">
        <v>53.131561898738369</v>
      </c>
      <c r="U117" s="704">
        <v>46.678555475131645</v>
      </c>
      <c r="V117" s="701">
        <v>39.37649068193285</v>
      </c>
    </row>
    <row r="118" spans="3:23" s="606" customFormat="1" outlineLevel="1">
      <c r="C118" s="679"/>
      <c r="D118" s="680"/>
      <c r="E118" s="680"/>
      <c r="F118" s="680"/>
      <c r="G118" s="661"/>
      <c r="H118" s="661"/>
      <c r="I118" s="661"/>
      <c r="J118" s="661"/>
      <c r="K118" s="661"/>
      <c r="L118" s="661"/>
      <c r="T118" s="638"/>
    </row>
    <row r="119" spans="3:23" s="606" customFormat="1" outlineLevel="1">
      <c r="C119" s="672" t="s">
        <v>781</v>
      </c>
      <c r="D119" s="672"/>
      <c r="E119" s="672"/>
      <c r="F119" s="672"/>
      <c r="M119" s="738">
        <v>4.5332836099999936</v>
      </c>
      <c r="N119" s="738">
        <v>7.2766104899999995</v>
      </c>
      <c r="O119" s="738">
        <v>-3.9201389299999989</v>
      </c>
      <c r="P119" s="738">
        <v>5.5044040992774139</v>
      </c>
      <c r="Q119" s="738">
        <v>5.1790534673784503</v>
      </c>
      <c r="R119" s="738">
        <v>5.1883390077982217</v>
      </c>
      <c r="S119" s="739">
        <v>5.5204261543034203</v>
      </c>
      <c r="T119" s="740">
        <v>5.2119876466639026</v>
      </c>
      <c r="U119" s="741">
        <v>5.9718338146528334</v>
      </c>
      <c r="V119" s="738">
        <v>5.7424762039101314</v>
      </c>
    </row>
    <row r="120" spans="3:23" s="606" customFormat="1" ht="12.75" customHeight="1" outlineLevel="1">
      <c r="C120" s="672" t="s">
        <v>782</v>
      </c>
      <c r="D120" s="673"/>
      <c r="E120" s="673"/>
      <c r="F120" s="673"/>
      <c r="G120" s="648"/>
      <c r="H120" s="648"/>
      <c r="I120" s="648"/>
      <c r="J120" s="648"/>
      <c r="K120" s="648"/>
      <c r="L120" s="648"/>
      <c r="M120" s="635">
        <v>0</v>
      </c>
      <c r="N120" s="635">
        <v>0</v>
      </c>
      <c r="O120" s="635">
        <v>0</v>
      </c>
      <c r="P120" s="635">
        <v>0</v>
      </c>
      <c r="Q120" s="635">
        <v>0</v>
      </c>
      <c r="R120" s="635">
        <v>0</v>
      </c>
      <c r="S120" s="635">
        <v>0</v>
      </c>
      <c r="T120" s="635">
        <v>0</v>
      </c>
      <c r="U120" s="635">
        <v>0</v>
      </c>
      <c r="V120" s="635">
        <v>0</v>
      </c>
    </row>
    <row r="121" spans="3:23" s="606" customFormat="1" outlineLevel="1">
      <c r="C121" s="672" t="s">
        <v>783</v>
      </c>
      <c r="D121" s="672"/>
      <c r="E121" s="672"/>
      <c r="F121" s="672"/>
      <c r="G121" s="648"/>
      <c r="H121" s="648"/>
      <c r="I121" s="648"/>
      <c r="J121" s="648"/>
      <c r="K121" s="648"/>
      <c r="L121" s="648"/>
      <c r="M121" s="635">
        <v>0</v>
      </c>
      <c r="N121" s="635">
        <v>0</v>
      </c>
      <c r="O121" s="635">
        <v>0</v>
      </c>
      <c r="P121" s="635">
        <v>0</v>
      </c>
      <c r="Q121" s="635">
        <v>0</v>
      </c>
      <c r="R121" s="635">
        <v>0</v>
      </c>
      <c r="S121" s="635">
        <v>0</v>
      </c>
      <c r="T121" s="635">
        <v>0</v>
      </c>
      <c r="U121" s="635">
        <v>0</v>
      </c>
      <c r="V121" s="635">
        <v>0</v>
      </c>
    </row>
    <row r="122" spans="3:23" s="606" customFormat="1" outlineLevel="1">
      <c r="C122" s="647" t="s">
        <v>1244</v>
      </c>
      <c r="D122" s="648"/>
      <c r="E122" s="681"/>
      <c r="F122" s="681"/>
      <c r="M122" s="635">
        <v>-3.4438867763183634</v>
      </c>
      <c r="N122" s="635">
        <v>-5.5170733408999828</v>
      </c>
      <c r="O122" s="635">
        <v>2.9641481980397248</v>
      </c>
      <c r="P122" s="635">
        <v>-4.155094372478457</v>
      </c>
      <c r="Q122" s="635">
        <v>-3.9063368531458509</v>
      </c>
      <c r="R122" s="635">
        <v>-3.9133405361492413</v>
      </c>
      <c r="S122" s="635">
        <v>-4.1638195603609658</v>
      </c>
      <c r="T122" s="635">
        <v>-3.9311776853715115</v>
      </c>
      <c r="U122" s="635">
        <v>-4.5042969063706479</v>
      </c>
      <c r="V122" s="635">
        <v>-4.3313023441331566</v>
      </c>
    </row>
    <row r="123" spans="3:23" s="606" customFormat="1" outlineLevel="1">
      <c r="C123" s="647" t="s">
        <v>780</v>
      </c>
      <c r="D123" s="648"/>
      <c r="E123" s="681"/>
      <c r="F123" s="681"/>
      <c r="M123" s="635">
        <v>0</v>
      </c>
      <c r="N123" s="635">
        <v>0</v>
      </c>
      <c r="O123" s="635">
        <v>0</v>
      </c>
      <c r="P123" s="635">
        <v>0</v>
      </c>
      <c r="Q123" s="635">
        <v>0</v>
      </c>
      <c r="R123" s="635">
        <v>0</v>
      </c>
      <c r="S123" s="635">
        <v>0</v>
      </c>
      <c r="T123" s="635">
        <v>0</v>
      </c>
      <c r="U123" s="635">
        <v>0</v>
      </c>
      <c r="V123" s="635">
        <v>0</v>
      </c>
    </row>
    <row r="124" spans="3:23" s="606" customFormat="1" outlineLevel="1">
      <c r="C124" s="298" t="s">
        <v>780</v>
      </c>
      <c r="D124" s="676"/>
      <c r="E124" s="681"/>
      <c r="F124" s="681"/>
      <c r="M124" s="635">
        <v>0</v>
      </c>
      <c r="N124" s="635">
        <v>0</v>
      </c>
      <c r="O124" s="635">
        <v>0</v>
      </c>
      <c r="P124" s="635">
        <v>0</v>
      </c>
      <c r="Q124" s="635">
        <v>0</v>
      </c>
      <c r="R124" s="635">
        <v>0</v>
      </c>
      <c r="S124" s="635">
        <v>0</v>
      </c>
      <c r="T124" s="635">
        <v>0</v>
      </c>
      <c r="U124" s="635">
        <v>0</v>
      </c>
      <c r="V124" s="635">
        <v>0</v>
      </c>
    </row>
    <row r="125" spans="3:23" s="606" customFormat="1" outlineLevel="1">
      <c r="C125" s="298" t="s">
        <v>780</v>
      </c>
      <c r="D125" s="298"/>
      <c r="E125" s="296"/>
      <c r="F125" s="296"/>
      <c r="M125" s="635">
        <v>0</v>
      </c>
      <c r="N125" s="635">
        <v>0</v>
      </c>
      <c r="O125" s="635">
        <v>0</v>
      </c>
      <c r="P125" s="635">
        <v>0</v>
      </c>
      <c r="Q125" s="635">
        <v>0</v>
      </c>
      <c r="R125" s="635">
        <v>0</v>
      </c>
      <c r="S125" s="635">
        <v>0</v>
      </c>
      <c r="T125" s="635">
        <v>0</v>
      </c>
      <c r="U125" s="635">
        <v>0</v>
      </c>
      <c r="V125" s="635">
        <v>0</v>
      </c>
    </row>
    <row r="126" spans="3:23" s="683" customFormat="1" outlineLevel="1">
      <c r="C126" s="682" t="s">
        <v>710</v>
      </c>
      <c r="D126" s="99"/>
      <c r="E126" s="99"/>
      <c r="F126" s="99"/>
      <c r="M126" s="700">
        <v>1.0893968336816302</v>
      </c>
      <c r="N126" s="700">
        <v>1.7595371491000167</v>
      </c>
      <c r="O126" s="700">
        <v>-0.95599073196027406</v>
      </c>
      <c r="P126" s="700">
        <v>1.3493097267989569</v>
      </c>
      <c r="Q126" s="700">
        <v>1.2727166142325994</v>
      </c>
      <c r="R126" s="700">
        <v>1.2749984716489804</v>
      </c>
      <c r="S126" s="742">
        <v>1.3566065939424545</v>
      </c>
      <c r="T126" s="743">
        <v>1.2808099612923911</v>
      </c>
      <c r="U126" s="704">
        <v>1.4675369082821854</v>
      </c>
      <c r="V126" s="700">
        <v>1.4111738597769747</v>
      </c>
      <c r="W126" s="606"/>
    </row>
    <row r="127" spans="3:23" s="683" customFormat="1" outlineLevel="1">
      <c r="C127" s="682"/>
      <c r="D127" s="99"/>
      <c r="E127" s="99"/>
      <c r="F127" s="99"/>
      <c r="M127" s="684"/>
      <c r="N127" s="684"/>
      <c r="O127" s="684"/>
      <c r="P127" s="684"/>
      <c r="Q127" s="684"/>
      <c r="R127" s="684"/>
      <c r="S127" s="684"/>
      <c r="T127" s="685"/>
      <c r="U127" s="684"/>
      <c r="V127" s="684"/>
      <c r="W127" s="606"/>
    </row>
    <row r="128" spans="3:23" s="606" customFormat="1" outlineLevel="1">
      <c r="C128" s="675" t="s">
        <v>784</v>
      </c>
      <c r="D128" s="666"/>
      <c r="E128" s="666"/>
      <c r="F128" s="666"/>
      <c r="G128" s="666"/>
      <c r="H128" s="666"/>
      <c r="I128" s="666"/>
      <c r="J128" s="666"/>
      <c r="K128" s="666"/>
      <c r="L128" s="666"/>
      <c r="T128" s="638"/>
    </row>
    <row r="129" spans="2:22" s="606" customFormat="1" outlineLevel="1">
      <c r="C129" s="648" t="s">
        <v>785</v>
      </c>
      <c r="D129" s="648"/>
      <c r="E129" s="648"/>
      <c r="F129" s="648"/>
      <c r="G129" s="648"/>
      <c r="H129" s="648"/>
      <c r="I129" s="648"/>
      <c r="J129" s="648"/>
      <c r="K129" s="648"/>
      <c r="L129" s="648"/>
      <c r="M129" s="635">
        <v>0</v>
      </c>
      <c r="N129" s="635">
        <v>0</v>
      </c>
      <c r="O129" s="635">
        <v>0</v>
      </c>
      <c r="P129" s="635">
        <v>0</v>
      </c>
      <c r="Q129" s="635">
        <v>0</v>
      </c>
      <c r="R129" s="635">
        <v>0</v>
      </c>
      <c r="S129" s="635">
        <v>0</v>
      </c>
      <c r="T129" s="635">
        <v>0</v>
      </c>
      <c r="U129" s="635">
        <v>0</v>
      </c>
      <c r="V129" s="635">
        <v>0</v>
      </c>
    </row>
    <row r="130" spans="2:22" s="606" customFormat="1" outlineLevel="1">
      <c r="C130" s="648" t="s">
        <v>660</v>
      </c>
      <c r="D130" s="648"/>
      <c r="E130" s="648"/>
      <c r="F130" s="648"/>
      <c r="G130" s="648"/>
      <c r="H130" s="648"/>
      <c r="I130" s="648"/>
      <c r="J130" s="648"/>
      <c r="K130" s="648"/>
      <c r="L130" s="648"/>
      <c r="M130" s="55">
        <v>1</v>
      </c>
      <c r="N130" s="56">
        <v>1</v>
      </c>
      <c r="O130" s="56">
        <v>1</v>
      </c>
      <c r="P130" s="56">
        <v>1</v>
      </c>
      <c r="Q130" s="56">
        <v>1</v>
      </c>
      <c r="R130" s="56">
        <v>1</v>
      </c>
      <c r="S130" s="57">
        <v>1</v>
      </c>
      <c r="T130" s="320">
        <v>1</v>
      </c>
      <c r="U130" s="318">
        <v>1</v>
      </c>
      <c r="V130" s="56">
        <v>1</v>
      </c>
    </row>
    <row r="131" spans="2:22" s="606" customFormat="1" outlineLevel="1">
      <c r="C131" s="679"/>
      <c r="D131" s="680"/>
      <c r="E131" s="680"/>
      <c r="F131" s="680"/>
      <c r="G131" s="661"/>
      <c r="H131" s="661"/>
      <c r="I131" s="661"/>
      <c r="J131" s="661"/>
      <c r="K131" s="661"/>
      <c r="L131" s="661"/>
      <c r="T131" s="638"/>
    </row>
    <row r="132" spans="2:22" s="606" customFormat="1" outlineLevel="1">
      <c r="C132" s="670" t="s">
        <v>786</v>
      </c>
      <c r="D132" s="671"/>
      <c r="E132" s="671"/>
      <c r="F132" s="671"/>
      <c r="G132" s="666"/>
      <c r="H132" s="666"/>
      <c r="I132" s="666"/>
      <c r="J132" s="666"/>
      <c r="K132" s="666"/>
      <c r="L132" s="666"/>
      <c r="T132" s="638"/>
    </row>
    <row r="133" spans="2:22" s="606" customFormat="1" ht="12.75" customHeight="1" outlineLevel="1">
      <c r="C133" s="672" t="s">
        <v>787</v>
      </c>
      <c r="D133" s="673"/>
      <c r="E133" s="673"/>
      <c r="F133" s="673"/>
      <c r="G133" s="648"/>
      <c r="H133" s="648"/>
      <c r="I133" s="648"/>
      <c r="J133" s="648"/>
      <c r="K133" s="648"/>
      <c r="L133" s="648"/>
      <c r="M133" s="744">
        <v>1613.6798701616171</v>
      </c>
      <c r="N133" s="745">
        <v>1700.4023996092437</v>
      </c>
      <c r="O133" s="745">
        <v>1819.5328169592422</v>
      </c>
      <c r="P133" s="745">
        <v>1798.3144623670651</v>
      </c>
      <c r="Q133" s="745">
        <v>1848.5595220713012</v>
      </c>
      <c r="R133" s="745">
        <v>1764.436569862055</v>
      </c>
      <c r="S133" s="746">
        <v>1775.658900431129</v>
      </c>
      <c r="T133" s="747">
        <v>1577.262044059019</v>
      </c>
      <c r="U133" s="748">
        <v>1324.9991817764289</v>
      </c>
      <c r="V133" s="745">
        <v>1204.6065515832784</v>
      </c>
    </row>
    <row r="134" spans="2:22" s="606" customFormat="1" ht="12.75" customHeight="1" outlineLevel="1">
      <c r="C134" s="672" t="s">
        <v>579</v>
      </c>
      <c r="D134" s="673"/>
      <c r="E134" s="673"/>
      <c r="F134" s="673"/>
      <c r="G134" s="648"/>
      <c r="H134" s="648"/>
      <c r="I134" s="648"/>
      <c r="J134" s="648"/>
      <c r="K134" s="648"/>
      <c r="L134" s="648"/>
      <c r="M134" s="749">
        <v>61.082924507701108</v>
      </c>
      <c r="N134" s="750">
        <v>95.723011876521582</v>
      </c>
      <c r="O134" s="750">
        <v>68.345222385649976</v>
      </c>
      <c r="P134" s="750">
        <v>52.148632879092901</v>
      </c>
      <c r="Q134" s="750">
        <v>54.043350312384376</v>
      </c>
      <c r="R134" s="750">
        <v>56.095440443478054</v>
      </c>
      <c r="S134" s="751">
        <v>55.085721493016621</v>
      </c>
      <c r="T134" s="752">
        <v>53.131561898738369</v>
      </c>
      <c r="U134" s="753">
        <v>46.678555475131645</v>
      </c>
      <c r="V134" s="750">
        <v>39.37649068193285</v>
      </c>
    </row>
    <row r="135" spans="2:22" s="606" customFormat="1">
      <c r="C135" s="661"/>
      <c r="D135" s="661"/>
      <c r="E135" s="661"/>
      <c r="F135" s="661"/>
      <c r="G135" s="661"/>
      <c r="H135" s="661"/>
      <c r="I135" s="661"/>
      <c r="J135" s="661"/>
      <c r="K135" s="661"/>
      <c r="L135" s="661"/>
      <c r="T135" s="638"/>
    </row>
    <row r="136" spans="2:22" s="606" customFormat="1">
      <c r="T136" s="638"/>
    </row>
    <row r="137" spans="2:22" s="606" customFormat="1" ht="15">
      <c r="B137" s="621" t="s">
        <v>788</v>
      </c>
      <c r="C137" s="622"/>
      <c r="D137" s="622"/>
      <c r="E137" s="622"/>
      <c r="F137" s="622"/>
      <c r="G137" s="622"/>
      <c r="H137" s="622"/>
      <c r="I137" s="622"/>
      <c r="J137" s="622"/>
      <c r="K137" s="622"/>
      <c r="L137" s="622"/>
      <c r="M137" s="622"/>
      <c r="N137" s="622"/>
      <c r="O137" s="622"/>
      <c r="P137" s="622"/>
      <c r="Q137" s="622"/>
      <c r="R137" s="622"/>
      <c r="S137" s="622"/>
      <c r="T137" s="624"/>
      <c r="U137" s="622"/>
      <c r="V137" s="622"/>
    </row>
    <row r="138" spans="2:22" s="606" customFormat="1" outlineLevel="1">
      <c r="B138" s="641" t="s">
        <v>789</v>
      </c>
      <c r="T138" s="638"/>
    </row>
    <row r="139" spans="2:22" s="606" customFormat="1" outlineLevel="1">
      <c r="C139" s="665" t="s">
        <v>790</v>
      </c>
      <c r="D139" s="666"/>
      <c r="E139" s="665"/>
      <c r="F139" s="667"/>
      <c r="G139" s="666"/>
      <c r="H139" s="666"/>
      <c r="I139" s="666"/>
      <c r="J139" s="666"/>
      <c r="K139" s="666"/>
      <c r="L139" s="666"/>
      <c r="M139" s="663"/>
      <c r="N139" s="663"/>
      <c r="O139" s="663"/>
      <c r="P139" s="663"/>
      <c r="Q139" s="663"/>
      <c r="R139" s="663"/>
      <c r="S139" s="663"/>
      <c r="T139" s="664"/>
      <c r="U139" s="663"/>
      <c r="V139" s="663"/>
    </row>
    <row r="140" spans="2:22" s="606" customFormat="1" outlineLevel="1">
      <c r="C140" s="647" t="s">
        <v>740</v>
      </c>
      <c r="D140" s="648"/>
      <c r="E140" s="649"/>
      <c r="F140" s="648"/>
      <c r="G140" s="648"/>
      <c r="H140" s="648"/>
      <c r="I140" s="648"/>
      <c r="J140" s="648"/>
      <c r="K140" s="648"/>
      <c r="L140" s="648"/>
      <c r="M140" s="635">
        <v>0</v>
      </c>
      <c r="N140" s="635">
        <v>0</v>
      </c>
      <c r="O140" s="635">
        <v>0</v>
      </c>
      <c r="P140" s="635">
        <v>0</v>
      </c>
      <c r="Q140" s="635">
        <v>0</v>
      </c>
      <c r="R140" s="635">
        <v>0</v>
      </c>
      <c r="S140" s="635">
        <v>0</v>
      </c>
      <c r="T140" s="635">
        <v>0</v>
      </c>
      <c r="U140" s="635">
        <v>0</v>
      </c>
      <c r="V140" s="635">
        <v>0</v>
      </c>
    </row>
    <row r="141" spans="2:22" s="606" customFormat="1" outlineLevel="1">
      <c r="C141" s="647" t="s">
        <v>741</v>
      </c>
      <c r="D141" s="648"/>
      <c r="E141" s="649"/>
      <c r="F141" s="649"/>
      <c r="G141" s="648"/>
      <c r="H141" s="648"/>
      <c r="I141" s="648"/>
      <c r="J141" s="648"/>
      <c r="K141" s="648"/>
      <c r="L141" s="648"/>
      <c r="M141" s="635">
        <v>0</v>
      </c>
      <c r="N141" s="635">
        <v>0</v>
      </c>
      <c r="O141" s="635">
        <v>0</v>
      </c>
      <c r="P141" s="635">
        <v>0</v>
      </c>
      <c r="Q141" s="635">
        <v>0</v>
      </c>
      <c r="R141" s="635">
        <v>0</v>
      </c>
      <c r="S141" s="635">
        <v>0</v>
      </c>
      <c r="T141" s="635">
        <v>0</v>
      </c>
      <c r="U141" s="635">
        <v>0</v>
      </c>
      <c r="V141" s="635">
        <v>0</v>
      </c>
    </row>
    <row r="142" spans="2:22" s="606" customFormat="1" outlineLevel="1">
      <c r="B142" s="629" t="s">
        <v>840</v>
      </c>
      <c r="C142" s="650" t="s">
        <v>841</v>
      </c>
      <c r="D142" s="650"/>
      <c r="E142" s="651"/>
      <c r="F142" s="651"/>
      <c r="G142" s="648"/>
      <c r="H142" s="648"/>
      <c r="I142" s="648"/>
      <c r="J142" s="648"/>
      <c r="K142" s="648"/>
      <c r="L142" s="648"/>
      <c r="M142" s="754">
        <v>0</v>
      </c>
      <c r="N142" s="754">
        <v>0</v>
      </c>
      <c r="O142" s="754">
        <v>0</v>
      </c>
      <c r="P142" s="754">
        <v>0</v>
      </c>
      <c r="Q142" s="754">
        <v>0</v>
      </c>
      <c r="R142" s="754">
        <v>0</v>
      </c>
      <c r="S142" s="755">
        <v>0</v>
      </c>
      <c r="T142" s="756">
        <v>0</v>
      </c>
      <c r="U142" s="757">
        <v>0</v>
      </c>
      <c r="V142" s="754">
        <v>0</v>
      </c>
    </row>
    <row r="143" spans="2:22" s="606" customFormat="1" outlineLevel="1">
      <c r="B143" s="629" t="s">
        <v>844</v>
      </c>
      <c r="C143" s="653" t="s">
        <v>845</v>
      </c>
      <c r="D143" s="650"/>
      <c r="E143" s="651"/>
      <c r="F143" s="651"/>
      <c r="G143" s="648"/>
      <c r="H143" s="648"/>
      <c r="I143" s="648"/>
      <c r="J143" s="648"/>
      <c r="K143" s="648"/>
      <c r="L143" s="648"/>
      <c r="M143" s="754">
        <v>9.8337062500000023</v>
      </c>
      <c r="N143" s="754">
        <v>18.42896189</v>
      </c>
      <c r="O143" s="754">
        <v>29.072996990000004</v>
      </c>
      <c r="P143" s="754">
        <v>43.006661150000006</v>
      </c>
      <c r="Q143" s="754">
        <v>37.215538970000004</v>
      </c>
      <c r="R143" s="754">
        <v>34.326546749999999</v>
      </c>
      <c r="S143" s="755">
        <v>14.47966884</v>
      </c>
      <c r="T143" s="756">
        <v>14.28971617</v>
      </c>
      <c r="U143" s="757">
        <v>14.2349742</v>
      </c>
      <c r="V143" s="754">
        <v>9.4195763100000001</v>
      </c>
    </row>
    <row r="144" spans="2:22" s="606" customFormat="1" outlineLevel="1">
      <c r="B144" s="629" t="s">
        <v>847</v>
      </c>
      <c r="C144" s="653" t="s">
        <v>848</v>
      </c>
      <c r="D144" s="650"/>
      <c r="E144" s="651"/>
      <c r="F144" s="651"/>
      <c r="G144" s="648"/>
      <c r="H144" s="648"/>
      <c r="I144" s="648"/>
      <c r="J144" s="648"/>
      <c r="K144" s="648"/>
      <c r="L144" s="648"/>
      <c r="M144" s="754">
        <v>0</v>
      </c>
      <c r="N144" s="754">
        <v>0</v>
      </c>
      <c r="O144" s="754">
        <v>0</v>
      </c>
      <c r="P144" s="754">
        <v>0</v>
      </c>
      <c r="Q144" s="754">
        <v>0</v>
      </c>
      <c r="R144" s="754">
        <v>0</v>
      </c>
      <c r="S144" s="755">
        <v>0</v>
      </c>
      <c r="T144" s="756">
        <v>0</v>
      </c>
      <c r="U144" s="757">
        <v>0</v>
      </c>
      <c r="V144" s="754">
        <v>0</v>
      </c>
    </row>
    <row r="145" spans="2:22" s="606" customFormat="1" outlineLevel="1">
      <c r="B145" s="629" t="s">
        <v>853</v>
      </c>
      <c r="C145" s="653" t="s">
        <v>854</v>
      </c>
      <c r="D145" s="650"/>
      <c r="E145" s="651"/>
      <c r="F145" s="651"/>
      <c r="G145" s="648"/>
      <c r="H145" s="648"/>
      <c r="I145" s="648"/>
      <c r="J145" s="648"/>
      <c r="K145" s="648"/>
      <c r="L145" s="648"/>
      <c r="M145" s="754">
        <v>0</v>
      </c>
      <c r="N145" s="754">
        <v>0</v>
      </c>
      <c r="O145" s="754">
        <v>0</v>
      </c>
      <c r="P145" s="754">
        <v>0</v>
      </c>
      <c r="Q145" s="754">
        <v>0</v>
      </c>
      <c r="R145" s="754">
        <v>0</v>
      </c>
      <c r="S145" s="755">
        <v>0</v>
      </c>
      <c r="T145" s="756">
        <v>0</v>
      </c>
      <c r="U145" s="757">
        <v>0</v>
      </c>
      <c r="V145" s="754">
        <v>0</v>
      </c>
    </row>
    <row r="146" spans="2:22" s="606" customFormat="1" outlineLevel="1">
      <c r="B146" s="629" t="s">
        <v>856</v>
      </c>
      <c r="C146" s="653" t="s">
        <v>857</v>
      </c>
      <c r="D146" s="650"/>
      <c r="E146" s="651"/>
      <c r="F146" s="651"/>
      <c r="G146" s="648"/>
      <c r="H146" s="648"/>
      <c r="I146" s="648"/>
      <c r="J146" s="648"/>
      <c r="K146" s="648"/>
      <c r="L146" s="648"/>
      <c r="M146" s="754">
        <v>119.88925359999999</v>
      </c>
      <c r="N146" s="754">
        <v>119.12272179</v>
      </c>
      <c r="O146" s="754">
        <v>151.09334562999999</v>
      </c>
      <c r="P146" s="754">
        <v>190.7003993661036</v>
      </c>
      <c r="Q146" s="754">
        <v>209.43415302659395</v>
      </c>
      <c r="R146" s="754">
        <v>209.94995120659399</v>
      </c>
      <c r="S146" s="755">
        <v>210.467545316594</v>
      </c>
      <c r="T146" s="756">
        <v>211.02149393659397</v>
      </c>
      <c r="U146" s="757">
        <v>193.53148605659399</v>
      </c>
      <c r="V146" s="754">
        <v>162.34880791660402</v>
      </c>
    </row>
    <row r="147" spans="2:22" s="606" customFormat="1" outlineLevel="1">
      <c r="B147" s="605" t="s">
        <v>742</v>
      </c>
      <c r="C147" s="647" t="s">
        <v>743</v>
      </c>
      <c r="D147" s="648"/>
      <c r="E147" s="649"/>
      <c r="F147" s="649"/>
      <c r="G147" s="648"/>
      <c r="H147" s="648"/>
      <c r="I147" s="648"/>
      <c r="J147" s="648"/>
      <c r="K147" s="648"/>
      <c r="L147" s="648"/>
      <c r="M147" s="754">
        <v>-0.69450592999999117</v>
      </c>
      <c r="N147" s="754">
        <v>-32.087439259999996</v>
      </c>
      <c r="O147" s="754">
        <v>-32.222831320000004</v>
      </c>
      <c r="P147" s="754">
        <v>-25.097100306103528</v>
      </c>
      <c r="Q147" s="754">
        <v>-29.415379306594048</v>
      </c>
      <c r="R147" s="754">
        <v>208.06651342340606</v>
      </c>
      <c r="S147" s="755">
        <v>27.196430873405973</v>
      </c>
      <c r="T147" s="756">
        <v>71.611202253405935</v>
      </c>
      <c r="U147" s="757">
        <v>-12.038463636594017</v>
      </c>
      <c r="V147" s="754">
        <v>172.79525299339599</v>
      </c>
    </row>
    <row r="148" spans="2:22" s="606" customFormat="1" outlineLevel="1">
      <c r="B148" s="629" t="s">
        <v>866</v>
      </c>
      <c r="C148" s="653" t="s">
        <v>216</v>
      </c>
      <c r="D148" s="650"/>
      <c r="E148" s="651"/>
      <c r="F148" s="651"/>
      <c r="G148" s="648"/>
      <c r="H148" s="648"/>
      <c r="I148" s="648"/>
      <c r="J148" s="648"/>
      <c r="K148" s="648"/>
      <c r="L148" s="648"/>
      <c r="M148" s="758">
        <v>0</v>
      </c>
      <c r="N148" s="759">
        <v>0</v>
      </c>
      <c r="O148" s="759">
        <v>6.6242929490685748E-2</v>
      </c>
      <c r="P148" s="759">
        <v>3.8688810708036904E-2</v>
      </c>
      <c r="Q148" s="759">
        <v>1.1134691925388037E-2</v>
      </c>
      <c r="R148" s="759">
        <v>0</v>
      </c>
      <c r="S148" s="760">
        <v>0</v>
      </c>
      <c r="T148" s="761">
        <v>0</v>
      </c>
      <c r="U148" s="759">
        <v>0</v>
      </c>
      <c r="V148" s="759">
        <v>0</v>
      </c>
    </row>
    <row r="149" spans="2:22" s="606" customFormat="1" outlineLevel="1">
      <c r="C149" s="654" t="s">
        <v>744</v>
      </c>
      <c r="D149" s="655"/>
      <c r="E149" s="686"/>
      <c r="F149" s="686"/>
      <c r="G149" s="648"/>
      <c r="H149" s="648"/>
      <c r="I149" s="648"/>
      <c r="J149" s="648"/>
      <c r="K149" s="648"/>
      <c r="L149" s="648"/>
      <c r="M149" s="635">
        <v>0</v>
      </c>
      <c r="N149" s="635">
        <v>0</v>
      </c>
      <c r="O149" s="635">
        <v>0</v>
      </c>
      <c r="P149" s="635">
        <v>0</v>
      </c>
      <c r="Q149" s="635">
        <v>0</v>
      </c>
      <c r="R149" s="635">
        <v>0</v>
      </c>
      <c r="S149" s="635">
        <v>0</v>
      </c>
      <c r="T149" s="635">
        <v>0</v>
      </c>
      <c r="U149" s="635">
        <v>0</v>
      </c>
      <c r="V149" s="635">
        <v>0</v>
      </c>
    </row>
    <row r="150" spans="2:22" s="606" customFormat="1" outlineLevel="1">
      <c r="C150" s="657" t="s">
        <v>791</v>
      </c>
      <c r="D150" s="648"/>
      <c r="E150" s="649"/>
      <c r="F150" s="649"/>
      <c r="G150" s="648"/>
      <c r="H150" s="648"/>
      <c r="I150" s="648"/>
      <c r="J150" s="648"/>
      <c r="K150" s="648"/>
      <c r="L150" s="648"/>
      <c r="M150" s="723">
        <v>129.02845392</v>
      </c>
      <c r="N150" s="724">
        <v>105.46424442</v>
      </c>
      <c r="O150" s="724">
        <v>148.00975422949068</v>
      </c>
      <c r="P150" s="724">
        <v>208.64864902070812</v>
      </c>
      <c r="Q150" s="724">
        <v>217.24544738192529</v>
      </c>
      <c r="R150" s="724">
        <v>452.34301138000006</v>
      </c>
      <c r="S150" s="725">
        <v>252.14364502999996</v>
      </c>
      <c r="T150" s="726">
        <v>296.9224123599999</v>
      </c>
      <c r="U150" s="727">
        <v>195.72799662</v>
      </c>
      <c r="V150" s="724">
        <v>344.56363722000003</v>
      </c>
    </row>
    <row r="151" spans="2:22" s="606" customFormat="1" outlineLevel="1">
      <c r="C151" s="647" t="s">
        <v>748</v>
      </c>
      <c r="D151" s="648"/>
      <c r="E151" s="649"/>
      <c r="F151" s="649"/>
      <c r="G151" s="648"/>
      <c r="H151" s="648"/>
      <c r="I151" s="648"/>
      <c r="J151" s="648"/>
      <c r="K151" s="648"/>
      <c r="L151" s="648"/>
      <c r="M151" s="635">
        <v>0</v>
      </c>
      <c r="N151" s="635">
        <v>0</v>
      </c>
      <c r="O151" s="635">
        <v>0</v>
      </c>
      <c r="P151" s="635">
        <v>0</v>
      </c>
      <c r="Q151" s="635">
        <v>0</v>
      </c>
      <c r="R151" s="635">
        <v>0</v>
      </c>
      <c r="S151" s="635">
        <v>0</v>
      </c>
      <c r="T151" s="635">
        <v>0</v>
      </c>
      <c r="U151" s="635">
        <v>0</v>
      </c>
      <c r="V151" s="635">
        <v>0</v>
      </c>
    </row>
    <row r="152" spans="2:22" s="606" customFormat="1" outlineLevel="1">
      <c r="C152" s="647" t="s">
        <v>792</v>
      </c>
      <c r="D152" s="648"/>
      <c r="E152" s="649"/>
      <c r="F152" s="649"/>
      <c r="G152" s="648"/>
      <c r="H152" s="648"/>
      <c r="I152" s="648"/>
      <c r="J152" s="648"/>
      <c r="K152" s="648"/>
      <c r="L152" s="648"/>
      <c r="M152" s="635">
        <v>0</v>
      </c>
      <c r="N152" s="635">
        <v>0</v>
      </c>
      <c r="O152" s="635">
        <v>0</v>
      </c>
      <c r="P152" s="635">
        <v>0</v>
      </c>
      <c r="Q152" s="635">
        <v>0</v>
      </c>
      <c r="R152" s="635">
        <v>0</v>
      </c>
      <c r="S152" s="635">
        <v>0</v>
      </c>
      <c r="T152" s="635">
        <v>0</v>
      </c>
      <c r="U152" s="635">
        <v>0</v>
      </c>
      <c r="V152" s="635">
        <v>0</v>
      </c>
    </row>
    <row r="153" spans="2:22" s="606" customFormat="1" outlineLevel="1">
      <c r="C153" s="647" t="s">
        <v>762</v>
      </c>
      <c r="D153" s="648"/>
      <c r="E153" s="656"/>
      <c r="F153" s="656"/>
      <c r="G153" s="648"/>
      <c r="H153" s="648"/>
      <c r="I153" s="648"/>
      <c r="J153" s="648"/>
      <c r="K153" s="648"/>
      <c r="L153" s="648"/>
      <c r="M153" s="635">
        <v>0</v>
      </c>
      <c r="N153" s="635">
        <v>0</v>
      </c>
      <c r="O153" s="635">
        <v>0</v>
      </c>
      <c r="P153" s="635">
        <v>0</v>
      </c>
      <c r="Q153" s="635">
        <v>0</v>
      </c>
      <c r="R153" s="635">
        <v>0</v>
      </c>
      <c r="S153" s="635">
        <v>0</v>
      </c>
      <c r="T153" s="635">
        <v>0</v>
      </c>
      <c r="U153" s="635">
        <v>0</v>
      </c>
      <c r="V153" s="635">
        <v>0</v>
      </c>
    </row>
    <row r="154" spans="2:22" s="606" customFormat="1" outlineLevel="1">
      <c r="B154" s="1279"/>
      <c r="C154" s="647" t="s">
        <v>793</v>
      </c>
      <c r="D154" s="648"/>
      <c r="E154" s="656"/>
      <c r="F154" s="656"/>
      <c r="G154" s="648"/>
      <c r="H154" s="648"/>
      <c r="I154" s="648"/>
      <c r="J154" s="648"/>
      <c r="K154" s="648"/>
      <c r="L154" s="648"/>
      <c r="M154" s="635">
        <v>0</v>
      </c>
      <c r="N154" s="635">
        <v>0</v>
      </c>
      <c r="O154" s="635">
        <v>0</v>
      </c>
      <c r="P154" s="635">
        <v>0</v>
      </c>
      <c r="Q154" s="635">
        <v>0</v>
      </c>
      <c r="R154" s="635">
        <v>0</v>
      </c>
      <c r="S154" s="635">
        <v>0</v>
      </c>
      <c r="T154" s="635">
        <v>0</v>
      </c>
      <c r="U154" s="635">
        <v>0</v>
      </c>
      <c r="V154" s="635">
        <v>0</v>
      </c>
    </row>
    <row r="155" spans="2:22" s="606" customFormat="1" outlineLevel="1">
      <c r="C155" s="654" t="s">
        <v>794</v>
      </c>
      <c r="D155" s="655"/>
      <c r="E155" s="686"/>
      <c r="F155" s="686"/>
      <c r="G155" s="648"/>
      <c r="H155" s="648"/>
      <c r="I155" s="648"/>
      <c r="J155" s="648"/>
      <c r="K155" s="648"/>
      <c r="L155" s="648"/>
      <c r="M155" s="635">
        <v>-98.02152798110329</v>
      </c>
      <c r="N155" s="635">
        <v>-79.962225834042385</v>
      </c>
      <c r="O155" s="635">
        <v>-111.91512702118632</v>
      </c>
      <c r="P155" s="635">
        <v>-157.5020314160775</v>
      </c>
      <c r="Q155" s="635">
        <v>-163.85887935536931</v>
      </c>
      <c r="R155" s="635">
        <v>-341.18284098563186</v>
      </c>
      <c r="S155" s="635">
        <v>-190.18108599789832</v>
      </c>
      <c r="T155" s="635">
        <v>-223.95578057508411</v>
      </c>
      <c r="U155" s="635">
        <v>-147.6291934819761</v>
      </c>
      <c r="V155" s="635">
        <v>-259.8895035172859</v>
      </c>
    </row>
    <row r="156" spans="2:22" s="606" customFormat="1" outlineLevel="1">
      <c r="C156" s="657" t="s">
        <v>795</v>
      </c>
      <c r="D156" s="648"/>
      <c r="E156" s="649"/>
      <c r="F156" s="649"/>
      <c r="G156" s="648"/>
      <c r="H156" s="648"/>
      <c r="I156" s="648"/>
      <c r="J156" s="648"/>
      <c r="K156" s="648"/>
      <c r="L156" s="648"/>
      <c r="M156" s="700">
        <v>31.006925938896714</v>
      </c>
      <c r="N156" s="1265">
        <v>25.502018585957615</v>
      </c>
      <c r="O156" s="1265">
        <v>36.09462720830436</v>
      </c>
      <c r="P156" s="1265">
        <v>51.14661760463062</v>
      </c>
      <c r="Q156" s="1265">
        <v>53.386568026555977</v>
      </c>
      <c r="R156" s="1265">
        <v>111.16017039436821</v>
      </c>
      <c r="S156" s="1264">
        <v>61.962559032101638</v>
      </c>
      <c r="T156" s="1263">
        <v>72.966631784915791</v>
      </c>
      <c r="U156" s="1262">
        <v>48.098803138023897</v>
      </c>
      <c r="V156" s="1265">
        <v>84.67413370271413</v>
      </c>
    </row>
    <row r="157" spans="2:22" s="606" customFormat="1" outlineLevel="1">
      <c r="C157" s="661"/>
      <c r="D157" s="661"/>
      <c r="E157" s="661"/>
      <c r="F157" s="661"/>
      <c r="G157" s="661"/>
      <c r="H157" s="661"/>
      <c r="I157" s="661"/>
      <c r="J157" s="661"/>
      <c r="K157" s="661"/>
      <c r="L157" s="661"/>
      <c r="M157" s="687"/>
      <c r="N157" s="687"/>
      <c r="O157" s="687"/>
      <c r="P157" s="687"/>
      <c r="Q157" s="687"/>
      <c r="R157" s="687"/>
      <c r="S157" s="687"/>
      <c r="T157" s="688"/>
      <c r="U157" s="687"/>
      <c r="V157" s="687"/>
    </row>
    <row r="158" spans="2:22" s="606" customFormat="1" outlineLevel="1">
      <c r="M158" s="687"/>
      <c r="N158" s="687"/>
      <c r="O158" s="687"/>
      <c r="P158" s="687"/>
      <c r="Q158" s="687"/>
      <c r="R158" s="687"/>
      <c r="S158" s="687"/>
      <c r="T158" s="688"/>
      <c r="U158" s="687"/>
      <c r="V158" s="687"/>
    </row>
    <row r="159" spans="2:22" s="606" customFormat="1" outlineLevel="1">
      <c r="C159" s="665" t="s">
        <v>796</v>
      </c>
      <c r="D159" s="666"/>
      <c r="E159" s="665"/>
      <c r="F159" s="667"/>
      <c r="G159" s="666"/>
      <c r="H159" s="666"/>
      <c r="I159" s="666"/>
      <c r="J159" s="666"/>
      <c r="K159" s="666"/>
      <c r="L159" s="666"/>
      <c r="M159" s="689"/>
      <c r="N159" s="689"/>
      <c r="O159" s="689"/>
      <c r="P159" s="689"/>
      <c r="Q159" s="689"/>
      <c r="R159" s="689"/>
      <c r="S159" s="689"/>
      <c r="T159" s="690"/>
      <c r="U159" s="689"/>
      <c r="V159" s="689"/>
    </row>
    <row r="160" spans="2:22" s="606" customFormat="1" outlineLevel="1">
      <c r="C160" s="647" t="s">
        <v>756</v>
      </c>
      <c r="D160" s="648"/>
      <c r="E160" s="649"/>
      <c r="F160" s="649"/>
      <c r="G160" s="648"/>
      <c r="H160" s="648"/>
      <c r="I160" s="648"/>
      <c r="J160" s="648"/>
      <c r="K160" s="648"/>
      <c r="L160" s="648"/>
      <c r="M160" s="635">
        <v>0</v>
      </c>
      <c r="N160" s="635">
        <v>0</v>
      </c>
      <c r="O160" s="635">
        <v>0</v>
      </c>
      <c r="P160" s="635">
        <v>0</v>
      </c>
      <c r="Q160" s="635">
        <v>0</v>
      </c>
      <c r="R160" s="635">
        <v>0</v>
      </c>
      <c r="S160" s="635">
        <v>0</v>
      </c>
      <c r="T160" s="635">
        <v>0</v>
      </c>
      <c r="U160" s="635">
        <v>0</v>
      </c>
      <c r="V160" s="635">
        <v>0</v>
      </c>
    </row>
    <row r="161" spans="2:22" s="606" customFormat="1" outlineLevel="1">
      <c r="C161" s="649" t="s">
        <v>757</v>
      </c>
      <c r="D161" s="648"/>
      <c r="E161" s="649"/>
      <c r="F161" s="649"/>
      <c r="G161" s="648"/>
      <c r="H161" s="648"/>
      <c r="I161" s="648"/>
      <c r="J161" s="648"/>
      <c r="K161" s="648"/>
      <c r="L161" s="648"/>
      <c r="M161" s="635">
        <v>0</v>
      </c>
      <c r="N161" s="635">
        <v>0</v>
      </c>
      <c r="O161" s="635">
        <v>0</v>
      </c>
      <c r="P161" s="635">
        <v>0</v>
      </c>
      <c r="Q161" s="635">
        <v>0</v>
      </c>
      <c r="R161" s="635">
        <v>0</v>
      </c>
      <c r="S161" s="635">
        <v>0</v>
      </c>
      <c r="T161" s="635">
        <v>0</v>
      </c>
      <c r="U161" s="635">
        <v>0</v>
      </c>
      <c r="V161" s="635">
        <v>0</v>
      </c>
    </row>
    <row r="162" spans="2:22" s="606" customFormat="1" outlineLevel="1">
      <c r="C162" s="649" t="s">
        <v>758</v>
      </c>
      <c r="D162" s="648"/>
      <c r="E162" s="649"/>
      <c r="F162" s="649"/>
      <c r="G162" s="648"/>
      <c r="H162" s="648"/>
      <c r="I162" s="648"/>
      <c r="J162" s="648"/>
      <c r="K162" s="648"/>
      <c r="L162" s="648"/>
      <c r="M162" s="635">
        <v>0</v>
      </c>
      <c r="N162" s="635">
        <v>0</v>
      </c>
      <c r="O162" s="635">
        <v>0</v>
      </c>
      <c r="P162" s="635">
        <v>0</v>
      </c>
      <c r="Q162" s="635">
        <v>0</v>
      </c>
      <c r="R162" s="635">
        <v>0</v>
      </c>
      <c r="S162" s="635">
        <v>0</v>
      </c>
      <c r="T162" s="635">
        <v>0</v>
      </c>
      <c r="U162" s="635">
        <v>0</v>
      </c>
      <c r="V162" s="635">
        <v>0</v>
      </c>
    </row>
    <row r="163" spans="2:22" s="606" customFormat="1" outlineLevel="1">
      <c r="B163" s="629" t="s">
        <v>850</v>
      </c>
      <c r="C163" s="653" t="s">
        <v>851</v>
      </c>
      <c r="D163" s="650"/>
      <c r="E163" s="651"/>
      <c r="F163" s="651"/>
      <c r="G163" s="648"/>
      <c r="H163" s="648"/>
      <c r="I163" s="648"/>
      <c r="J163" s="648"/>
      <c r="K163" s="648"/>
      <c r="L163" s="648"/>
      <c r="M163" s="754">
        <v>0</v>
      </c>
      <c r="N163" s="762">
        <v>0</v>
      </c>
      <c r="O163" s="762">
        <v>0</v>
      </c>
      <c r="P163" s="762">
        <v>0</v>
      </c>
      <c r="Q163" s="762">
        <v>0</v>
      </c>
      <c r="R163" s="762">
        <v>0</v>
      </c>
      <c r="S163" s="763">
        <v>0</v>
      </c>
      <c r="T163" s="764">
        <v>0</v>
      </c>
      <c r="U163" s="757">
        <v>0</v>
      </c>
      <c r="V163" s="762">
        <v>0</v>
      </c>
    </row>
    <row r="164" spans="2:22" s="606" customFormat="1" outlineLevel="1">
      <c r="C164" s="657" t="s">
        <v>797</v>
      </c>
      <c r="D164" s="648"/>
      <c r="E164" s="649"/>
      <c r="F164" s="649"/>
      <c r="G164" s="648"/>
      <c r="H164" s="648"/>
      <c r="I164" s="648"/>
      <c r="J164" s="648"/>
      <c r="K164" s="648"/>
      <c r="L164" s="648"/>
      <c r="M164" s="723">
        <v>0</v>
      </c>
      <c r="N164" s="724">
        <v>0</v>
      </c>
      <c r="O164" s="724">
        <v>0</v>
      </c>
      <c r="P164" s="724">
        <v>0</v>
      </c>
      <c r="Q164" s="724">
        <v>0</v>
      </c>
      <c r="R164" s="724">
        <v>0</v>
      </c>
      <c r="S164" s="725">
        <v>0</v>
      </c>
      <c r="T164" s="726">
        <v>0</v>
      </c>
      <c r="U164" s="727">
        <v>0</v>
      </c>
      <c r="V164" s="724">
        <v>0</v>
      </c>
    </row>
    <row r="165" spans="2:22" s="606" customFormat="1" outlineLevel="1">
      <c r="C165" s="647" t="s">
        <v>798</v>
      </c>
      <c r="D165" s="648"/>
      <c r="E165" s="649"/>
      <c r="F165" s="649"/>
      <c r="G165" s="648"/>
      <c r="H165" s="648"/>
      <c r="I165" s="648"/>
      <c r="J165" s="648"/>
      <c r="K165" s="648"/>
      <c r="L165" s="648"/>
      <c r="M165" s="635">
        <v>0</v>
      </c>
      <c r="N165" s="635">
        <v>0</v>
      </c>
      <c r="O165" s="635">
        <v>0</v>
      </c>
      <c r="P165" s="635">
        <v>0</v>
      </c>
      <c r="Q165" s="635">
        <v>0</v>
      </c>
      <c r="R165" s="635">
        <v>0</v>
      </c>
      <c r="S165" s="635">
        <v>0</v>
      </c>
      <c r="T165" s="635">
        <v>0</v>
      </c>
      <c r="U165" s="635">
        <v>0</v>
      </c>
      <c r="V165" s="635">
        <v>0</v>
      </c>
    </row>
    <row r="166" spans="2:22" s="606" customFormat="1" outlineLevel="1">
      <c r="C166" s="647" t="s">
        <v>761</v>
      </c>
      <c r="D166" s="648"/>
      <c r="E166" s="649"/>
      <c r="F166" s="649"/>
      <c r="G166" s="648"/>
      <c r="H166" s="648"/>
      <c r="I166" s="648"/>
      <c r="J166" s="648"/>
      <c r="K166" s="648"/>
      <c r="L166" s="648"/>
      <c r="M166" s="635">
        <v>0</v>
      </c>
      <c r="N166" s="635">
        <v>0</v>
      </c>
      <c r="O166" s="635">
        <v>0</v>
      </c>
      <c r="P166" s="635">
        <v>0</v>
      </c>
      <c r="Q166" s="635">
        <v>0</v>
      </c>
      <c r="R166" s="635">
        <v>0</v>
      </c>
      <c r="S166" s="635">
        <v>0</v>
      </c>
      <c r="T166" s="635">
        <v>0</v>
      </c>
      <c r="U166" s="635">
        <v>0</v>
      </c>
      <c r="V166" s="635">
        <v>0</v>
      </c>
    </row>
    <row r="167" spans="2:22" s="606" customFormat="1" outlineLevel="1">
      <c r="C167" s="647" t="s">
        <v>799</v>
      </c>
      <c r="D167" s="648"/>
      <c r="E167" s="649"/>
      <c r="F167" s="649"/>
      <c r="G167" s="648"/>
      <c r="H167" s="648"/>
      <c r="I167" s="648"/>
      <c r="J167" s="648"/>
      <c r="K167" s="648"/>
      <c r="L167" s="648"/>
      <c r="M167" s="635">
        <v>0</v>
      </c>
      <c r="N167" s="635">
        <v>0</v>
      </c>
      <c r="O167" s="635">
        <v>0</v>
      </c>
      <c r="P167" s="635">
        <v>0</v>
      </c>
      <c r="Q167" s="635">
        <v>0</v>
      </c>
      <c r="R167" s="635">
        <v>0</v>
      </c>
      <c r="S167" s="635">
        <v>0</v>
      </c>
      <c r="T167" s="635">
        <v>0</v>
      </c>
      <c r="U167" s="635">
        <v>0</v>
      </c>
      <c r="V167" s="635">
        <v>0</v>
      </c>
    </row>
    <row r="168" spans="2:22" s="606" customFormat="1" outlineLevel="1">
      <c r="C168" s="654" t="s">
        <v>744</v>
      </c>
      <c r="D168" s="655"/>
      <c r="E168" s="686"/>
      <c r="F168" s="686"/>
      <c r="G168" s="648"/>
      <c r="H168" s="648"/>
      <c r="I168" s="648"/>
      <c r="J168" s="648"/>
      <c r="K168" s="648"/>
      <c r="L168" s="648"/>
      <c r="M168" s="635">
        <v>0</v>
      </c>
      <c r="N168" s="635">
        <v>0</v>
      </c>
      <c r="O168" s="635">
        <v>0</v>
      </c>
      <c r="P168" s="635">
        <v>0</v>
      </c>
      <c r="Q168" s="635">
        <v>0</v>
      </c>
      <c r="R168" s="635">
        <v>0</v>
      </c>
      <c r="S168" s="635">
        <v>0</v>
      </c>
      <c r="T168" s="635">
        <v>0</v>
      </c>
      <c r="U168" s="635">
        <v>0</v>
      </c>
      <c r="V168" s="635">
        <v>0</v>
      </c>
    </row>
    <row r="169" spans="2:22" s="606" customFormat="1" outlineLevel="1">
      <c r="C169" s="657" t="s">
        <v>800</v>
      </c>
      <c r="D169" s="648"/>
      <c r="E169" s="649"/>
      <c r="F169" s="649"/>
      <c r="G169" s="648"/>
      <c r="H169" s="648"/>
      <c r="I169" s="648"/>
      <c r="J169" s="648"/>
      <c r="K169" s="648"/>
      <c r="L169" s="648"/>
      <c r="M169" s="700">
        <v>0</v>
      </c>
      <c r="N169" s="701">
        <v>0</v>
      </c>
      <c r="O169" s="701">
        <v>0</v>
      </c>
      <c r="P169" s="701">
        <v>0</v>
      </c>
      <c r="Q169" s="701">
        <v>0</v>
      </c>
      <c r="R169" s="701">
        <v>0</v>
      </c>
      <c r="S169" s="702">
        <v>0</v>
      </c>
      <c r="T169" s="703">
        <v>0</v>
      </c>
      <c r="U169" s="704">
        <v>0</v>
      </c>
      <c r="V169" s="701">
        <v>0</v>
      </c>
    </row>
    <row r="170" spans="2:22" s="606" customFormat="1" outlineLevel="1">
      <c r="C170" s="661"/>
      <c r="D170" s="661"/>
      <c r="E170" s="661"/>
      <c r="F170" s="661"/>
      <c r="G170" s="661"/>
      <c r="H170" s="661"/>
      <c r="I170" s="661"/>
      <c r="J170" s="661"/>
      <c r="K170" s="661"/>
      <c r="L170" s="661"/>
      <c r="M170" s="687"/>
      <c r="N170" s="687"/>
      <c r="O170" s="687"/>
      <c r="P170" s="687"/>
      <c r="Q170" s="687"/>
      <c r="R170" s="687"/>
      <c r="S170" s="687"/>
      <c r="T170" s="688"/>
      <c r="U170" s="687"/>
      <c r="V170" s="687"/>
    </row>
    <row r="171" spans="2:22" s="606" customFormat="1" outlineLevel="1">
      <c r="C171" s="670" t="s">
        <v>801</v>
      </c>
      <c r="D171" s="671"/>
      <c r="E171" s="671"/>
      <c r="F171" s="671"/>
      <c r="G171" s="666"/>
      <c r="H171" s="666"/>
      <c r="I171" s="666"/>
      <c r="J171" s="666"/>
      <c r="K171" s="666"/>
      <c r="L171" s="667"/>
      <c r="M171" s="687"/>
      <c r="N171" s="687"/>
      <c r="O171" s="687"/>
      <c r="P171" s="687"/>
      <c r="Q171" s="687"/>
      <c r="R171" s="687"/>
      <c r="S171" s="687"/>
      <c r="T171" s="688"/>
      <c r="U171" s="687"/>
      <c r="V171" s="687"/>
    </row>
    <row r="172" spans="2:22" s="606" customFormat="1" outlineLevel="1">
      <c r="C172" s="672" t="s">
        <v>802</v>
      </c>
      <c r="D172" s="672"/>
      <c r="E172" s="672"/>
      <c r="F172" s="672"/>
      <c r="G172" s="648"/>
      <c r="H172" s="648"/>
      <c r="I172" s="648"/>
      <c r="J172" s="648"/>
      <c r="K172" s="648"/>
      <c r="L172" s="648"/>
      <c r="M172" s="738">
        <v>31.006925938896714</v>
      </c>
      <c r="N172" s="765">
        <v>25.502018585957615</v>
      </c>
      <c r="O172" s="765">
        <v>36.09462720830436</v>
      </c>
      <c r="P172" s="765">
        <v>51.14661760463062</v>
      </c>
      <c r="Q172" s="765">
        <v>53.386568026555977</v>
      </c>
      <c r="R172" s="765">
        <v>111.16017039436821</v>
      </c>
      <c r="S172" s="766">
        <v>61.962559032101638</v>
      </c>
      <c r="T172" s="767">
        <v>72.966631784915791</v>
      </c>
      <c r="U172" s="741">
        <v>48.098803138023897</v>
      </c>
      <c r="V172" s="765">
        <v>84.67413370271413</v>
      </c>
    </row>
    <row r="173" spans="2:22" s="606" customFormat="1" outlineLevel="1">
      <c r="C173" s="672" t="s">
        <v>803</v>
      </c>
      <c r="D173" s="673"/>
      <c r="E173" s="673"/>
      <c r="F173" s="673"/>
      <c r="G173" s="648"/>
      <c r="H173" s="648"/>
      <c r="I173" s="648"/>
      <c r="J173" s="648"/>
      <c r="K173" s="648"/>
      <c r="L173" s="648"/>
      <c r="M173" s="738">
        <v>0</v>
      </c>
      <c r="N173" s="765">
        <v>0</v>
      </c>
      <c r="O173" s="765">
        <v>0</v>
      </c>
      <c r="P173" s="765">
        <v>0</v>
      </c>
      <c r="Q173" s="765">
        <v>0</v>
      </c>
      <c r="R173" s="765">
        <v>0</v>
      </c>
      <c r="S173" s="766">
        <v>0</v>
      </c>
      <c r="T173" s="767">
        <v>0</v>
      </c>
      <c r="U173" s="741">
        <v>0</v>
      </c>
      <c r="V173" s="765">
        <v>0</v>
      </c>
    </row>
    <row r="174" spans="2:22" s="606" customFormat="1" outlineLevel="1">
      <c r="C174" s="672" t="s">
        <v>804</v>
      </c>
      <c r="D174" s="672"/>
      <c r="E174" s="672"/>
      <c r="F174" s="672"/>
      <c r="G174" s="648"/>
      <c r="H174" s="648"/>
      <c r="I174" s="648"/>
      <c r="J174" s="648"/>
      <c r="K174" s="648"/>
      <c r="L174" s="648"/>
      <c r="M174" s="700">
        <v>31.006925938896714</v>
      </c>
      <c r="N174" s="701">
        <v>25.502018585957615</v>
      </c>
      <c r="O174" s="701">
        <v>36.09462720830436</v>
      </c>
      <c r="P174" s="701">
        <v>51.14661760463062</v>
      </c>
      <c r="Q174" s="701">
        <v>53.386568026555977</v>
      </c>
      <c r="R174" s="701">
        <v>111.16017039436821</v>
      </c>
      <c r="S174" s="702">
        <v>61.962559032101638</v>
      </c>
      <c r="T174" s="703">
        <v>72.966631784915791</v>
      </c>
      <c r="U174" s="704">
        <v>48.098803138023897</v>
      </c>
      <c r="V174" s="701">
        <v>84.67413370271413</v>
      </c>
    </row>
    <row r="175" spans="2:22" s="606" customFormat="1" outlineLevel="1">
      <c r="C175" s="691"/>
      <c r="D175" s="691"/>
      <c r="E175" s="691"/>
      <c r="F175" s="691"/>
      <c r="G175" s="661"/>
      <c r="H175" s="661"/>
      <c r="I175" s="661"/>
      <c r="J175" s="661"/>
      <c r="K175" s="661"/>
      <c r="L175" s="661"/>
      <c r="M175" s="687"/>
      <c r="N175" s="687"/>
      <c r="O175" s="687"/>
      <c r="P175" s="687"/>
      <c r="Q175" s="687"/>
      <c r="R175" s="687"/>
      <c r="S175" s="687"/>
      <c r="T175" s="688"/>
      <c r="U175" s="687"/>
      <c r="V175" s="687"/>
    </row>
    <row r="176" spans="2:22" s="606" customFormat="1" outlineLevel="1">
      <c r="B176" s="674"/>
      <c r="C176" s="675" t="s">
        <v>805</v>
      </c>
      <c r="D176" s="675"/>
      <c r="E176" s="666"/>
      <c r="F176" s="666"/>
      <c r="G176" s="666"/>
      <c r="H176" s="666"/>
      <c r="I176" s="666"/>
      <c r="J176" s="666"/>
      <c r="K176" s="666"/>
      <c r="L176" s="666"/>
      <c r="M176" s="687"/>
      <c r="N176" s="687"/>
      <c r="O176" s="687"/>
      <c r="P176" s="687"/>
      <c r="Q176" s="687"/>
      <c r="R176" s="687"/>
      <c r="S176" s="687"/>
      <c r="T176" s="688"/>
      <c r="U176" s="687"/>
      <c r="V176" s="687"/>
    </row>
    <row r="177" spans="2:24" s="606" customFormat="1" outlineLevel="1">
      <c r="B177" s="674"/>
      <c r="C177" s="648" t="s">
        <v>785</v>
      </c>
      <c r="D177" s="648"/>
      <c r="E177" s="648"/>
      <c r="F177" s="648"/>
      <c r="G177" s="648"/>
      <c r="H177" s="648"/>
      <c r="I177" s="648"/>
      <c r="J177" s="648"/>
      <c r="K177" s="648"/>
      <c r="L177" s="648"/>
      <c r="M177" s="635">
        <v>0</v>
      </c>
      <c r="N177" s="635">
        <v>0</v>
      </c>
      <c r="O177" s="635">
        <v>0</v>
      </c>
      <c r="P177" s="635">
        <v>0</v>
      </c>
      <c r="Q177" s="635">
        <v>0</v>
      </c>
      <c r="R177" s="635">
        <v>0</v>
      </c>
      <c r="S177" s="635">
        <v>0</v>
      </c>
      <c r="T177" s="635">
        <v>0</v>
      </c>
      <c r="U177" s="635">
        <v>0</v>
      </c>
      <c r="V177" s="635">
        <v>0</v>
      </c>
    </row>
    <row r="178" spans="2:24" s="606" customFormat="1" outlineLevel="1">
      <c r="B178" s="674"/>
      <c r="C178" s="648" t="s">
        <v>660</v>
      </c>
      <c r="D178" s="648"/>
      <c r="E178" s="648"/>
      <c r="F178" s="648"/>
      <c r="G178" s="648"/>
      <c r="H178" s="648"/>
      <c r="I178" s="648"/>
      <c r="J178" s="648"/>
      <c r="K178" s="648"/>
      <c r="L178" s="648"/>
      <c r="M178" s="55">
        <v>1</v>
      </c>
      <c r="N178" s="56">
        <v>1</v>
      </c>
      <c r="O178" s="56">
        <v>1</v>
      </c>
      <c r="P178" s="56">
        <v>1</v>
      </c>
      <c r="Q178" s="56">
        <v>1</v>
      </c>
      <c r="R178" s="56">
        <v>1</v>
      </c>
      <c r="S178" s="57">
        <v>1</v>
      </c>
      <c r="T178" s="320">
        <v>1</v>
      </c>
      <c r="U178" s="318">
        <v>1</v>
      </c>
      <c r="V178" s="56">
        <v>1</v>
      </c>
    </row>
    <row r="179" spans="2:24" s="606" customFormat="1" outlineLevel="1">
      <c r="B179" s="674"/>
      <c r="T179" s="638"/>
    </row>
    <row r="180" spans="2:24" s="606" customFormat="1">
      <c r="B180" s="632"/>
      <c r="T180" s="638"/>
      <c r="X180" s="692"/>
    </row>
    <row r="181" spans="2:24" s="606" customFormat="1" ht="15">
      <c r="B181" s="621" t="s">
        <v>806</v>
      </c>
      <c r="C181" s="622"/>
      <c r="D181" s="622"/>
      <c r="E181" s="623"/>
      <c r="F181" s="623"/>
      <c r="G181" s="622"/>
      <c r="H181" s="622"/>
      <c r="I181" s="622"/>
      <c r="J181" s="622"/>
      <c r="K181" s="622"/>
      <c r="L181" s="622"/>
      <c r="M181" s="622"/>
      <c r="N181" s="622"/>
      <c r="O181" s="622"/>
      <c r="P181" s="622"/>
      <c r="Q181" s="622"/>
      <c r="R181" s="622"/>
      <c r="S181" s="622"/>
      <c r="T181" s="624"/>
      <c r="U181" s="622"/>
      <c r="V181" s="622"/>
    </row>
    <row r="182" spans="2:24" s="606" customFormat="1">
      <c r="B182" s="693"/>
      <c r="C182" s="632"/>
      <c r="T182" s="638"/>
    </row>
    <row r="183" spans="2:24" s="606" customFormat="1">
      <c r="B183" s="693"/>
      <c r="C183" s="605" t="s">
        <v>807</v>
      </c>
      <c r="T183" s="638"/>
    </row>
    <row r="184" spans="2:24" s="606" customFormat="1">
      <c r="B184" s="632"/>
      <c r="C184" s="606" t="s">
        <v>808</v>
      </c>
      <c r="M184" s="768">
        <v>111.08822882338443</v>
      </c>
      <c r="N184" s="768">
        <v>112.40961624743659</v>
      </c>
      <c r="O184" s="768">
        <v>159.22311614895656</v>
      </c>
      <c r="P184" s="768">
        <v>177.46672304856614</v>
      </c>
      <c r="Q184" s="768">
        <v>176.16363373489523</v>
      </c>
      <c r="R184" s="768">
        <v>176.16363373489523</v>
      </c>
      <c r="S184" s="769">
        <v>176.16363373489523</v>
      </c>
      <c r="T184" s="770">
        <v>166.50940779337654</v>
      </c>
      <c r="U184" s="771">
        <v>143.07296068590315</v>
      </c>
      <c r="V184" s="768">
        <v>123.92330523141159</v>
      </c>
    </row>
    <row r="185" spans="2:24" s="606" customFormat="1">
      <c r="B185" s="632"/>
      <c r="C185" s="606" t="s">
        <v>809</v>
      </c>
      <c r="M185" s="768">
        <v>4.3916395256916374</v>
      </c>
      <c r="N185" s="768">
        <v>12.874817529880467</v>
      </c>
      <c r="O185" s="768">
        <v>25.477692466591872</v>
      </c>
      <c r="P185" s="768">
        <v>32.9978607903764</v>
      </c>
      <c r="Q185" s="768">
        <v>30.449657252733076</v>
      </c>
      <c r="R185" s="768">
        <v>27.602731907270449</v>
      </c>
      <c r="S185" s="769">
        <v>7.5430769247301406</v>
      </c>
      <c r="T185" s="770">
        <v>7.384898207614798</v>
      </c>
      <c r="U185" s="771">
        <v>7.368272291113998</v>
      </c>
      <c r="V185" s="768">
        <v>4.0498515127013963</v>
      </c>
    </row>
    <row r="186" spans="2:24" s="606" customFormat="1">
      <c r="B186" s="632"/>
      <c r="C186" s="606" t="s">
        <v>810</v>
      </c>
      <c r="M186" s="768">
        <v>16.2278747935094</v>
      </c>
      <c r="N186" s="768">
        <v>18.288737493531606</v>
      </c>
      <c r="O186" s="768">
        <v>15.52124387096254</v>
      </c>
      <c r="P186" s="768">
        <v>13.487313323387326</v>
      </c>
      <c r="Q186" s="768">
        <v>13.315903802390338</v>
      </c>
      <c r="R186" s="768">
        <v>13.659541310361314</v>
      </c>
      <c r="S186" s="769">
        <v>14.069327549672163</v>
      </c>
      <c r="T186" s="770">
        <v>14.491407376162352</v>
      </c>
      <c r="U186" s="771">
        <v>14.926149597447235</v>
      </c>
      <c r="V186" s="768">
        <v>15.373934085370667</v>
      </c>
    </row>
    <row r="187" spans="2:24" s="606" customFormat="1">
      <c r="B187" s="632"/>
      <c r="C187" s="606" t="s">
        <v>811</v>
      </c>
      <c r="M187" s="768">
        <v>0</v>
      </c>
      <c r="N187" s="768">
        <v>0</v>
      </c>
      <c r="O187" s="768">
        <v>0</v>
      </c>
      <c r="P187" s="768">
        <v>0</v>
      </c>
      <c r="Q187" s="768">
        <v>0</v>
      </c>
      <c r="R187" s="768">
        <v>0</v>
      </c>
      <c r="S187" s="769">
        <v>0</v>
      </c>
      <c r="T187" s="770">
        <v>0</v>
      </c>
      <c r="U187" s="771">
        <v>0</v>
      </c>
      <c r="V187" s="768">
        <v>0</v>
      </c>
    </row>
    <row r="188" spans="2:24" s="606" customFormat="1">
      <c r="B188" s="632"/>
      <c r="C188" s="606" t="s">
        <v>812</v>
      </c>
      <c r="M188" s="768">
        <v>0</v>
      </c>
      <c r="N188" s="768">
        <v>0</v>
      </c>
      <c r="O188" s="768">
        <v>0</v>
      </c>
      <c r="P188" s="768">
        <v>0</v>
      </c>
      <c r="Q188" s="768">
        <v>0</v>
      </c>
      <c r="R188" s="768">
        <v>0</v>
      </c>
      <c r="S188" s="769">
        <v>0</v>
      </c>
      <c r="T188" s="770">
        <v>0</v>
      </c>
      <c r="U188" s="771">
        <v>0</v>
      </c>
      <c r="V188" s="768">
        <v>0</v>
      </c>
    </row>
    <row r="189" spans="2:24" s="606" customFormat="1">
      <c r="B189" s="632"/>
      <c r="C189" s="606" t="s">
        <v>813</v>
      </c>
      <c r="M189" s="768">
        <v>59.544049444111806</v>
      </c>
      <c r="N189" s="768">
        <v>127.88690236636197</v>
      </c>
      <c r="O189" s="768">
        <v>64.435002767359393</v>
      </c>
      <c r="P189" s="768">
        <v>19.055875145785215</v>
      </c>
      <c r="Q189" s="768">
        <v>12.58606126186239</v>
      </c>
      <c r="R189" s="768">
        <v>15.639916257372036</v>
      </c>
      <c r="S189" s="769">
        <v>18.650532370833226</v>
      </c>
      <c r="T189" s="770">
        <v>19.2100483419587</v>
      </c>
      <c r="U189" s="771">
        <v>19.78634979221707</v>
      </c>
      <c r="V189" s="768">
        <v>20.379940285983643</v>
      </c>
    </row>
    <row r="190" spans="2:24" s="606" customFormat="1">
      <c r="B190" s="632"/>
      <c r="C190" s="606" t="s">
        <v>814</v>
      </c>
      <c r="M190" s="768">
        <v>0</v>
      </c>
      <c r="N190" s="768">
        <v>0</v>
      </c>
      <c r="O190" s="768">
        <v>0</v>
      </c>
      <c r="P190" s="768">
        <v>0</v>
      </c>
      <c r="Q190" s="768">
        <v>0</v>
      </c>
      <c r="R190" s="768">
        <v>0</v>
      </c>
      <c r="S190" s="769">
        <v>0</v>
      </c>
      <c r="T190" s="770">
        <v>0</v>
      </c>
      <c r="U190" s="771">
        <v>0</v>
      </c>
      <c r="V190" s="768">
        <v>0</v>
      </c>
    </row>
    <row r="191" spans="2:24" s="606" customFormat="1">
      <c r="B191" s="632"/>
      <c r="C191" s="606" t="s">
        <v>815</v>
      </c>
      <c r="M191" s="768">
        <v>0</v>
      </c>
      <c r="N191" s="768">
        <v>0</v>
      </c>
      <c r="O191" s="768">
        <v>0</v>
      </c>
      <c r="P191" s="768">
        <v>0</v>
      </c>
      <c r="Q191" s="768">
        <v>0</v>
      </c>
      <c r="R191" s="768">
        <v>0</v>
      </c>
      <c r="S191" s="769">
        <v>0</v>
      </c>
      <c r="T191" s="770">
        <v>0</v>
      </c>
      <c r="U191" s="771">
        <v>0</v>
      </c>
      <c r="V191" s="768">
        <v>0</v>
      </c>
    </row>
    <row r="192" spans="2:24" s="606" customFormat="1">
      <c r="B192" s="632"/>
      <c r="C192" s="605" t="s">
        <v>613</v>
      </c>
      <c r="E192" s="605"/>
      <c r="F192" s="605"/>
      <c r="G192" s="605"/>
      <c r="H192" s="605"/>
      <c r="I192" s="605"/>
      <c r="J192" s="605"/>
      <c r="K192" s="605"/>
      <c r="L192" s="605"/>
      <c r="M192" s="772">
        <v>191.25179258669726</v>
      </c>
      <c r="N192" s="772">
        <v>271.4600736372106</v>
      </c>
      <c r="O192" s="772">
        <v>264.65705525387034</v>
      </c>
      <c r="P192" s="772">
        <v>243.00777230811508</v>
      </c>
      <c r="Q192" s="772">
        <v>232.51525605188104</v>
      </c>
      <c r="R192" s="772">
        <v>233.06582320989901</v>
      </c>
      <c r="S192" s="773">
        <v>216.42657058013074</v>
      </c>
      <c r="T192" s="774">
        <v>207.5957617191124</v>
      </c>
      <c r="U192" s="775">
        <v>185.15373236668145</v>
      </c>
      <c r="V192" s="772">
        <v>163.7270311154673</v>
      </c>
    </row>
    <row r="193" spans="2:22" s="606" customFormat="1">
      <c r="B193" s="632"/>
      <c r="T193" s="638"/>
    </row>
    <row r="194" spans="2:22" s="606" customFormat="1">
      <c r="B194" s="693"/>
      <c r="C194" s="605" t="s">
        <v>816</v>
      </c>
      <c r="T194" s="638"/>
    </row>
    <row r="195" spans="2:22" s="606" customFormat="1">
      <c r="B195" s="632"/>
      <c r="C195" s="606" t="s">
        <v>808</v>
      </c>
      <c r="M195" s="768">
        <v>-1.9562452597196707</v>
      </c>
      <c r="N195" s="768">
        <v>-7.5979875374986108</v>
      </c>
      <c r="O195" s="768">
        <v>-22.149591932214221</v>
      </c>
      <c r="P195" s="768">
        <v>-34.164885059127428</v>
      </c>
      <c r="Q195" s="768">
        <v>-36.469332722500226</v>
      </c>
      <c r="R195" s="768">
        <v>-36.469332722500226</v>
      </c>
      <c r="S195" s="769">
        <v>-36.402875360959129</v>
      </c>
      <c r="T195" s="770">
        <v>-31.071124788187515</v>
      </c>
      <c r="U195" s="771">
        <v>-26.42713698993802</v>
      </c>
      <c r="V195" s="768">
        <v>-31.87394815112814</v>
      </c>
    </row>
    <row r="196" spans="2:22" s="606" customFormat="1">
      <c r="B196" s="632"/>
      <c r="C196" s="606" t="s">
        <v>809</v>
      </c>
      <c r="M196" s="768">
        <v>-1.6756395256916967</v>
      </c>
      <c r="N196" s="768">
        <v>-10.158817529880524</v>
      </c>
      <c r="O196" s="768">
        <v>-1.0382830859856531</v>
      </c>
      <c r="P196" s="768">
        <v>11.848113045634477</v>
      </c>
      <c r="Q196" s="768">
        <v>11.907324029654626</v>
      </c>
      <c r="R196" s="768">
        <v>12.356930497773762</v>
      </c>
      <c r="S196" s="769">
        <v>28.220828125293355</v>
      </c>
      <c r="T196" s="770">
        <v>27.812495039684006</v>
      </c>
      <c r="U196" s="771">
        <v>20.611917774398709</v>
      </c>
      <c r="V196" s="768">
        <v>18.173018602351078</v>
      </c>
    </row>
    <row r="197" spans="2:22" s="606" customFormat="1">
      <c r="B197" s="632"/>
      <c r="C197" s="606" t="s">
        <v>810</v>
      </c>
      <c r="M197" s="768">
        <v>-8.3604402377386684</v>
      </c>
      <c r="N197" s="768">
        <v>-9.4814813272182619</v>
      </c>
      <c r="O197" s="768">
        <v>-9.9472660052414739</v>
      </c>
      <c r="P197" s="768">
        <v>-10.277636725026321</v>
      </c>
      <c r="Q197" s="768">
        <v>-10.514918792189981</v>
      </c>
      <c r="R197" s="768">
        <v>-10.544184117951222</v>
      </c>
      <c r="S197" s="769">
        <v>0</v>
      </c>
      <c r="T197" s="770">
        <v>0</v>
      </c>
      <c r="U197" s="771">
        <v>0</v>
      </c>
      <c r="V197" s="768">
        <v>0</v>
      </c>
    </row>
    <row r="198" spans="2:22" s="606" customFormat="1">
      <c r="B198" s="632"/>
      <c r="C198" s="606" t="s">
        <v>811</v>
      </c>
      <c r="M198" s="768">
        <v>-3.113400941462011</v>
      </c>
      <c r="N198" s="768">
        <v>-4.9891226283087606</v>
      </c>
      <c r="O198" s="768">
        <v>-5.1791844427205236</v>
      </c>
      <c r="P198" s="768">
        <v>-5.2905688365384282</v>
      </c>
      <c r="Q198" s="768">
        <v>-5.3739582453513526</v>
      </c>
      <c r="R198" s="768">
        <v>-5.4747408277922478</v>
      </c>
      <c r="S198" s="769">
        <v>-5.5772977682534499</v>
      </c>
      <c r="T198" s="770">
        <v>-4.861803959002768</v>
      </c>
      <c r="U198" s="771">
        <v>-4.445256269503683</v>
      </c>
      <c r="V198" s="768">
        <v>-4.5023214861456928</v>
      </c>
    </row>
    <row r="199" spans="2:22" s="606" customFormat="1">
      <c r="B199" s="632"/>
      <c r="C199" s="606" t="s">
        <v>812</v>
      </c>
      <c r="M199" s="768">
        <v>0</v>
      </c>
      <c r="N199" s="768">
        <v>0</v>
      </c>
      <c r="O199" s="768">
        <v>0</v>
      </c>
      <c r="P199" s="768">
        <v>0</v>
      </c>
      <c r="Q199" s="768">
        <v>0</v>
      </c>
      <c r="R199" s="768">
        <v>0</v>
      </c>
      <c r="S199" s="769">
        <v>0</v>
      </c>
      <c r="T199" s="770">
        <v>0</v>
      </c>
      <c r="U199" s="771">
        <v>0</v>
      </c>
      <c r="V199" s="768">
        <v>0</v>
      </c>
    </row>
    <row r="200" spans="2:22" s="606" customFormat="1">
      <c r="B200" s="632"/>
      <c r="C200" s="606" t="s">
        <v>813</v>
      </c>
      <c r="M200" s="768">
        <v>34.593785099213726</v>
      </c>
      <c r="N200" s="768">
        <v>63.796330962186467</v>
      </c>
      <c r="O200" s="768">
        <v>26.506926244852096</v>
      </c>
      <c r="P200" s="768">
        <v>18.800773653527543</v>
      </c>
      <c r="Q200" s="768">
        <v>13.503274260171549</v>
      </c>
      <c r="R200" s="768">
        <v>15.182377084399233</v>
      </c>
      <c r="S200" s="769">
        <v>0</v>
      </c>
      <c r="T200" s="770">
        <v>0</v>
      </c>
      <c r="U200" s="771">
        <v>0</v>
      </c>
      <c r="V200" s="768">
        <v>0</v>
      </c>
    </row>
    <row r="201" spans="2:22" s="606" customFormat="1">
      <c r="B201" s="632"/>
      <c r="C201" s="606" t="s">
        <v>814</v>
      </c>
      <c r="M201" s="768">
        <v>51.666926154564642</v>
      </c>
      <c r="N201" s="768">
        <v>96.600254915410574</v>
      </c>
      <c r="O201" s="768">
        <v>43.743511659808682</v>
      </c>
      <c r="P201" s="768">
        <v>25.635578323684069</v>
      </c>
      <c r="Q201" s="768">
        <v>19.19241688817063</v>
      </c>
      <c r="R201" s="768">
        <v>23.195527643221816</v>
      </c>
      <c r="S201" s="769">
        <v>24.987542511868593</v>
      </c>
      <c r="T201" s="770">
        <v>20.087942722575296</v>
      </c>
      <c r="U201" s="771">
        <v>18.302855183502011</v>
      </c>
      <c r="V201" s="768">
        <v>17.764161154720099</v>
      </c>
    </row>
    <row r="202" spans="2:22" s="606" customFormat="1">
      <c r="B202" s="632"/>
      <c r="C202" s="606" t="s">
        <v>815</v>
      </c>
      <c r="M202" s="768">
        <v>0</v>
      </c>
      <c r="N202" s="768">
        <v>0</v>
      </c>
      <c r="O202" s="768">
        <v>0</v>
      </c>
      <c r="P202" s="768">
        <v>0</v>
      </c>
      <c r="Q202" s="768">
        <v>0</v>
      </c>
      <c r="R202" s="768">
        <v>0</v>
      </c>
      <c r="S202" s="769">
        <v>0</v>
      </c>
      <c r="T202" s="770">
        <v>0</v>
      </c>
      <c r="U202" s="771">
        <v>0</v>
      </c>
      <c r="V202" s="768">
        <v>0</v>
      </c>
    </row>
    <row r="203" spans="2:22" s="606" customFormat="1">
      <c r="B203" s="632"/>
      <c r="C203" s="605" t="s">
        <v>613</v>
      </c>
      <c r="E203" s="605"/>
      <c r="F203" s="605"/>
      <c r="G203" s="605"/>
      <c r="H203" s="605"/>
      <c r="I203" s="605"/>
      <c r="J203" s="605"/>
      <c r="K203" s="605"/>
      <c r="L203" s="605"/>
      <c r="M203" s="772">
        <v>71.154985289166319</v>
      </c>
      <c r="N203" s="772">
        <v>128.16917685469087</v>
      </c>
      <c r="O203" s="772">
        <v>31.936112438498903</v>
      </c>
      <c r="P203" s="772">
        <v>6.5513744021539146</v>
      </c>
      <c r="Q203" s="772">
        <v>-7.755194582044755</v>
      </c>
      <c r="R203" s="772">
        <v>-1.7534224428488798</v>
      </c>
      <c r="S203" s="773">
        <v>11.228197507949369</v>
      </c>
      <c r="T203" s="774">
        <v>11.96750901506902</v>
      </c>
      <c r="U203" s="775">
        <v>8.0423796984590155</v>
      </c>
      <c r="V203" s="772">
        <v>-0.43908988020265483</v>
      </c>
    </row>
    <row r="204" spans="2:22" s="606" customFormat="1">
      <c r="B204" s="632"/>
      <c r="C204" s="605"/>
      <c r="T204" s="638"/>
    </row>
    <row r="205" spans="2:22" s="606" customFormat="1">
      <c r="B205" s="693"/>
      <c r="C205" s="605" t="s">
        <v>817</v>
      </c>
      <c r="T205" s="638"/>
    </row>
    <row r="206" spans="2:22" s="606" customFormat="1">
      <c r="B206" s="632"/>
      <c r="C206" s="606" t="s">
        <v>808</v>
      </c>
      <c r="M206" s="768">
        <v>109.13198356366476</v>
      </c>
      <c r="N206" s="768">
        <v>104.81162870993798</v>
      </c>
      <c r="O206" s="768">
        <v>137.07352421674233</v>
      </c>
      <c r="P206" s="768">
        <v>143.3018379894387</v>
      </c>
      <c r="Q206" s="768">
        <v>139.69430101239499</v>
      </c>
      <c r="R206" s="768">
        <v>139.69430101239499</v>
      </c>
      <c r="S206" s="769">
        <v>139.76075837393608</v>
      </c>
      <c r="T206" s="770">
        <v>135.43828300518902</v>
      </c>
      <c r="U206" s="771">
        <v>116.64582369596513</v>
      </c>
      <c r="V206" s="768">
        <v>92.049357080283443</v>
      </c>
    </row>
    <row r="207" spans="2:22" s="606" customFormat="1">
      <c r="B207" s="632"/>
      <c r="C207" s="606" t="s">
        <v>809</v>
      </c>
      <c r="M207" s="768">
        <v>2.7159999999999407</v>
      </c>
      <c r="N207" s="768">
        <v>2.7159999999999425</v>
      </c>
      <c r="O207" s="768">
        <v>24.439409380606218</v>
      </c>
      <c r="P207" s="768">
        <v>44.845973836010877</v>
      </c>
      <c r="Q207" s="768">
        <v>42.3569812823877</v>
      </c>
      <c r="R207" s="768">
        <v>39.959662405044213</v>
      </c>
      <c r="S207" s="769">
        <v>35.763905050023496</v>
      </c>
      <c r="T207" s="770">
        <v>35.197393247298805</v>
      </c>
      <c r="U207" s="771">
        <v>27.980190065512708</v>
      </c>
      <c r="V207" s="768">
        <v>22.222870115052473</v>
      </c>
    </row>
    <row r="208" spans="2:22" s="606" customFormat="1">
      <c r="B208" s="632"/>
      <c r="C208" s="606" t="s">
        <v>810</v>
      </c>
      <c r="M208" s="768">
        <v>7.8674345557707319</v>
      </c>
      <c r="N208" s="768">
        <v>8.8072561663133442</v>
      </c>
      <c r="O208" s="768">
        <v>5.5739778657210657</v>
      </c>
      <c r="P208" s="768">
        <v>3.2096765983610052</v>
      </c>
      <c r="Q208" s="768">
        <v>2.8009850102003568</v>
      </c>
      <c r="R208" s="768">
        <v>3.1153571924100927</v>
      </c>
      <c r="S208" s="769">
        <v>14.069327549672163</v>
      </c>
      <c r="T208" s="770">
        <v>14.491407376162352</v>
      </c>
      <c r="U208" s="771">
        <v>14.926149597447235</v>
      </c>
      <c r="V208" s="768">
        <v>15.373934085370667</v>
      </c>
    </row>
    <row r="209" spans="1:31" s="606" customFormat="1">
      <c r="B209" s="632"/>
      <c r="C209" s="606" t="s">
        <v>811</v>
      </c>
      <c r="M209" s="768">
        <v>-3.113400941462011</v>
      </c>
      <c r="N209" s="768">
        <v>-4.9891226283087606</v>
      </c>
      <c r="O209" s="768">
        <v>-5.1791844427205236</v>
      </c>
      <c r="P209" s="768">
        <v>-5.2905688365384282</v>
      </c>
      <c r="Q209" s="768">
        <v>-5.3739582453513526</v>
      </c>
      <c r="R209" s="768">
        <v>-5.4747408277922478</v>
      </c>
      <c r="S209" s="769">
        <v>-5.5772977682534499</v>
      </c>
      <c r="T209" s="770">
        <v>-4.861803959002768</v>
      </c>
      <c r="U209" s="771">
        <v>-4.445256269503683</v>
      </c>
      <c r="V209" s="768">
        <v>-4.5023214861456928</v>
      </c>
    </row>
    <row r="210" spans="1:31" s="606" customFormat="1">
      <c r="B210" s="632"/>
      <c r="C210" s="606" t="s">
        <v>812</v>
      </c>
      <c r="M210" s="768">
        <v>0</v>
      </c>
      <c r="N210" s="768">
        <v>0</v>
      </c>
      <c r="O210" s="768">
        <v>0</v>
      </c>
      <c r="P210" s="768">
        <v>0</v>
      </c>
      <c r="Q210" s="768">
        <v>0</v>
      </c>
      <c r="R210" s="768">
        <v>0</v>
      </c>
      <c r="S210" s="769">
        <v>0</v>
      </c>
      <c r="T210" s="770">
        <v>0</v>
      </c>
      <c r="U210" s="771">
        <v>0</v>
      </c>
      <c r="V210" s="768">
        <v>0</v>
      </c>
    </row>
    <row r="211" spans="1:31" s="606" customFormat="1">
      <c r="B211" s="632"/>
      <c r="C211" s="606" t="s">
        <v>813</v>
      </c>
      <c r="M211" s="768">
        <v>94.137834543325539</v>
      </c>
      <c r="N211" s="768">
        <v>191.68323332854843</v>
      </c>
      <c r="O211" s="768">
        <v>90.941929012211489</v>
      </c>
      <c r="P211" s="768">
        <v>37.856648799312758</v>
      </c>
      <c r="Q211" s="768">
        <v>26.089335522033942</v>
      </c>
      <c r="R211" s="768">
        <v>30.822293341771271</v>
      </c>
      <c r="S211" s="769">
        <v>18.650532370833226</v>
      </c>
      <c r="T211" s="770">
        <v>19.2100483419587</v>
      </c>
      <c r="U211" s="771">
        <v>19.78634979221707</v>
      </c>
      <c r="V211" s="768">
        <v>20.379940285983643</v>
      </c>
    </row>
    <row r="212" spans="1:31" s="606" customFormat="1">
      <c r="B212" s="632"/>
      <c r="C212" s="606" t="s">
        <v>814</v>
      </c>
      <c r="M212" s="768">
        <v>51.666926154564642</v>
      </c>
      <c r="N212" s="768">
        <v>96.600254915410574</v>
      </c>
      <c r="O212" s="768">
        <v>43.743511659808682</v>
      </c>
      <c r="P212" s="768">
        <v>25.635578323684069</v>
      </c>
      <c r="Q212" s="768">
        <v>19.19241688817063</v>
      </c>
      <c r="R212" s="768">
        <v>23.195527643221816</v>
      </c>
      <c r="S212" s="769">
        <v>24.987542511868593</v>
      </c>
      <c r="T212" s="770">
        <v>20.087942722575296</v>
      </c>
      <c r="U212" s="771">
        <v>18.302855183502011</v>
      </c>
      <c r="V212" s="768">
        <v>17.764161154720099</v>
      </c>
    </row>
    <row r="213" spans="1:31" s="606" customFormat="1">
      <c r="B213" s="632"/>
      <c r="C213" s="606" t="s">
        <v>815</v>
      </c>
      <c r="M213" s="768">
        <v>0</v>
      </c>
      <c r="N213" s="768">
        <v>0</v>
      </c>
      <c r="O213" s="768">
        <v>0</v>
      </c>
      <c r="P213" s="768">
        <v>0</v>
      </c>
      <c r="Q213" s="768">
        <v>0</v>
      </c>
      <c r="R213" s="768">
        <v>0</v>
      </c>
      <c r="S213" s="769">
        <v>0</v>
      </c>
      <c r="T213" s="770">
        <v>0</v>
      </c>
      <c r="U213" s="771">
        <v>0</v>
      </c>
      <c r="V213" s="768">
        <v>0</v>
      </c>
    </row>
    <row r="214" spans="1:31" s="606" customFormat="1">
      <c r="B214" s="632"/>
      <c r="C214" s="605" t="s">
        <v>613</v>
      </c>
      <c r="E214" s="605"/>
      <c r="F214" s="605"/>
      <c r="G214" s="605"/>
      <c r="H214" s="605"/>
      <c r="I214" s="605"/>
      <c r="J214" s="605"/>
      <c r="K214" s="605"/>
      <c r="L214" s="605"/>
      <c r="M214" s="772">
        <v>262.40677787586361</v>
      </c>
      <c r="N214" s="772">
        <v>399.62925049190153</v>
      </c>
      <c r="O214" s="772">
        <v>296.59316769236926</v>
      </c>
      <c r="P214" s="772">
        <v>249.55914671026895</v>
      </c>
      <c r="Q214" s="772">
        <v>224.76006146983624</v>
      </c>
      <c r="R214" s="772">
        <v>231.31240076705015</v>
      </c>
      <c r="S214" s="773">
        <v>227.65476808808006</v>
      </c>
      <c r="T214" s="774">
        <v>219.5632707341814</v>
      </c>
      <c r="U214" s="775">
        <v>193.19611206514048</v>
      </c>
      <c r="V214" s="772">
        <v>163.28794123526467</v>
      </c>
    </row>
    <row r="215" spans="1:31" s="606" customFormat="1">
      <c r="B215" s="632"/>
      <c r="C215" s="632"/>
      <c r="D215" s="605"/>
      <c r="T215" s="638"/>
    </row>
    <row r="216" spans="1:31" s="699" customFormat="1" ht="15" customHeight="1">
      <c r="A216" s="694"/>
      <c r="B216" s="695" t="s">
        <v>818</v>
      </c>
      <c r="C216" s="695"/>
      <c r="D216" s="695"/>
      <c r="E216" s="695"/>
      <c r="F216" s="695"/>
      <c r="G216" s="695"/>
      <c r="H216" s="695"/>
      <c r="I216" s="695"/>
      <c r="J216" s="695"/>
      <c r="K216" s="695"/>
      <c r="L216" s="695"/>
      <c r="M216" s="695"/>
      <c r="N216" s="695"/>
      <c r="O216" s="695"/>
      <c r="P216" s="695"/>
      <c r="Q216" s="695"/>
      <c r="R216" s="695"/>
      <c r="S216" s="695"/>
      <c r="T216" s="696"/>
      <c r="U216" s="695"/>
      <c r="V216" s="695"/>
      <c r="W216" s="697"/>
      <c r="X216" s="698"/>
      <c r="Y216" s="698"/>
      <c r="Z216" s="698"/>
      <c r="AA216" s="698"/>
      <c r="AB216" s="698"/>
      <c r="AC216" s="698"/>
      <c r="AD216" s="698"/>
      <c r="AE216" s="698"/>
    </row>
    <row r="217" spans="1:31" s="606" customFormat="1"/>
    <row r="218" spans="1:31" s="606" customFormat="1"/>
  </sheetData>
  <sheetProtection insertRows="0" sort="0" autoFilter="0" pivotTables="0"/>
  <mergeCells count="2">
    <mergeCell ref="M7:Q7"/>
    <mergeCell ref="R7:V7"/>
  </mergeCells>
  <conditionalFormatting sqref="M9:U9">
    <cfRule type="expression" dxfId="56" priority="3">
      <formula>AND(M$8="Actuals",N$8="Forecast")</formula>
    </cfRule>
  </conditionalFormatting>
  <conditionalFormatting sqref="M22:V22">
    <cfRule type="expression" dxfId="55" priority="1">
      <formula>M22&lt;&gt;"OK"</formula>
    </cfRule>
  </conditionalFormatting>
  <conditionalFormatting sqref="U9">
    <cfRule type="expression" dxfId="54" priority="4">
      <formula>AND(U$5="Actuals",V$5="Forecast")</formula>
    </cfRule>
  </conditionalFormatting>
  <conditionalFormatting sqref="V9">
    <cfRule type="expression" dxfId="53" priority="8">
      <formula>AND(V$5="Actuals",#REF!="Forecast")</formula>
    </cfRule>
    <cfRule type="expression" dxfId="52"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80" zoomScaleNormal="80" workbookViewId="0">
      <selection activeCell="E11" sqref="E11"/>
    </sheetView>
  </sheetViews>
  <sheetFormatPr defaultColWidth="0" defaultRowHeight="13.5" zeroHeight="1"/>
  <cols>
    <col min="1" max="1" width="8.3828125" style="114" customWidth="1"/>
    <col min="2" max="2" width="85.765625" style="114" bestFit="1" customWidth="1"/>
    <col min="3" max="3" width="14.15234375" style="114" customWidth="1"/>
    <col min="4" max="8" width="11.15234375" style="114" customWidth="1"/>
    <col min="9" max="9" width="5" style="114" customWidth="1"/>
    <col min="10" max="10" width="12.84375" style="114" customWidth="1"/>
    <col min="11" max="23" width="9.23046875" style="114" customWidth="1"/>
    <col min="24" max="16384" width="9" style="114" hidden="1"/>
  </cols>
  <sheetData>
    <row r="1" spans="1:23" ht="20">
      <c r="A1" s="324" t="s">
        <v>266</v>
      </c>
      <c r="B1" s="326"/>
      <c r="C1" s="327"/>
      <c r="D1" s="327"/>
      <c r="E1" s="327"/>
      <c r="F1" s="327"/>
      <c r="G1" s="327"/>
      <c r="H1" s="327"/>
      <c r="I1" s="456"/>
    </row>
    <row r="2" spans="1:23" ht="20">
      <c r="A2" s="329" t="s">
        <v>4</v>
      </c>
      <c r="B2" s="331"/>
      <c r="C2" s="332"/>
      <c r="D2" s="332"/>
      <c r="E2" s="332"/>
      <c r="F2" s="332"/>
      <c r="G2" s="332"/>
      <c r="H2" s="332"/>
      <c r="I2" s="334"/>
    </row>
    <row r="3" spans="1:23" ht="20">
      <c r="A3" s="555">
        <v>2024</v>
      </c>
      <c r="B3" s="556" t="s">
        <v>1249</v>
      </c>
      <c r="C3" s="335"/>
      <c r="D3" s="335"/>
      <c r="E3" s="335"/>
      <c r="F3" s="335"/>
      <c r="G3" s="335"/>
      <c r="H3" s="335"/>
      <c r="I3" s="337"/>
    </row>
    <row r="4" spans="1:23" ht="12.75" customHeight="1">
      <c r="A4" s="557"/>
      <c r="B4" s="557"/>
      <c r="C4" s="557"/>
      <c r="D4" s="557"/>
      <c r="E4" s="557"/>
      <c r="F4" s="557"/>
      <c r="G4" s="557"/>
      <c r="H4" s="557"/>
      <c r="I4" s="558"/>
    </row>
    <row r="5" spans="1:23">
      <c r="A5" s="339"/>
      <c r="B5" s="480"/>
      <c r="C5" s="480"/>
      <c r="D5" s="338" t="s">
        <v>1250</v>
      </c>
      <c r="E5" s="338" t="s">
        <v>1250</v>
      </c>
      <c r="F5" s="338" t="s">
        <v>1250</v>
      </c>
      <c r="G5" s="338" t="s">
        <v>1251</v>
      </c>
      <c r="H5" s="338" t="s">
        <v>1251</v>
      </c>
      <c r="I5" s="339"/>
      <c r="J5" s="339"/>
      <c r="K5" s="339"/>
      <c r="L5" s="339"/>
      <c r="M5" s="339"/>
      <c r="N5" s="339"/>
      <c r="O5" s="339"/>
      <c r="P5" s="339"/>
      <c r="Q5" s="339"/>
      <c r="R5" s="339"/>
      <c r="S5" s="339"/>
      <c r="T5" s="339"/>
      <c r="U5" s="339"/>
      <c r="V5" s="339"/>
      <c r="W5" s="339"/>
    </row>
    <row r="6" spans="1:23">
      <c r="A6" s="339"/>
      <c r="B6" s="339"/>
      <c r="C6" s="339"/>
      <c r="D6" s="457">
        <v>2022</v>
      </c>
      <c r="E6" s="458">
        <v>2023</v>
      </c>
      <c r="F6" s="458">
        <v>2024</v>
      </c>
      <c r="G6" s="458">
        <v>2025</v>
      </c>
      <c r="H6" s="458">
        <v>2026</v>
      </c>
      <c r="I6" s="339"/>
      <c r="J6" s="339"/>
      <c r="K6" s="339"/>
      <c r="L6" s="339"/>
      <c r="M6" s="339"/>
      <c r="N6" s="339"/>
      <c r="O6" s="339"/>
      <c r="P6" s="339"/>
      <c r="Q6" s="339"/>
      <c r="R6" s="339"/>
      <c r="S6" s="339"/>
      <c r="T6" s="339"/>
      <c r="U6" s="339"/>
      <c r="V6" s="339"/>
      <c r="W6" s="339"/>
    </row>
    <row r="7" spans="1:23">
      <c r="A7" s="339"/>
      <c r="B7" s="339"/>
      <c r="C7" s="339"/>
      <c r="D7" s="457" t="s">
        <v>1253</v>
      </c>
      <c r="E7" s="457" t="s">
        <v>1254</v>
      </c>
      <c r="F7" s="457" t="s">
        <v>1255</v>
      </c>
      <c r="G7" s="457" t="s">
        <v>1256</v>
      </c>
      <c r="H7" s="562" t="s">
        <v>1257</v>
      </c>
      <c r="I7" s="339"/>
      <c r="J7" s="339"/>
      <c r="K7" s="339"/>
      <c r="L7" s="339"/>
      <c r="M7" s="339"/>
      <c r="N7" s="339"/>
      <c r="O7" s="339"/>
      <c r="P7" s="339"/>
      <c r="Q7" s="339"/>
      <c r="R7" s="339"/>
      <c r="S7" s="339"/>
      <c r="T7" s="339"/>
      <c r="U7" s="339"/>
      <c r="V7" s="339"/>
      <c r="W7" s="339"/>
    </row>
    <row r="8" spans="1:23">
      <c r="A8" s="339"/>
      <c r="B8" s="339"/>
      <c r="C8" s="339"/>
      <c r="D8" s="339"/>
      <c r="E8" s="339"/>
      <c r="F8" s="339"/>
      <c r="G8" s="339"/>
      <c r="H8" s="339"/>
      <c r="I8" s="339"/>
      <c r="J8" s="339"/>
      <c r="K8" s="339"/>
      <c r="L8" s="339"/>
      <c r="M8" s="339"/>
      <c r="N8" s="339"/>
      <c r="O8" s="339"/>
      <c r="P8" s="339"/>
      <c r="Q8" s="339"/>
      <c r="R8" s="339"/>
      <c r="S8" s="339"/>
      <c r="T8" s="339"/>
      <c r="U8" s="339"/>
      <c r="V8" s="339"/>
      <c r="W8" s="339"/>
    </row>
    <row r="9" spans="1:23">
      <c r="A9" s="339"/>
      <c r="B9" s="88" t="s">
        <v>640</v>
      </c>
      <c r="C9" s="29" t="s">
        <v>522</v>
      </c>
      <c r="D9" s="776">
        <v>-826.13110988999904</v>
      </c>
      <c r="E9" s="783">
        <v>-92</v>
      </c>
      <c r="F9" s="783">
        <v>-544</v>
      </c>
      <c r="G9" s="783">
        <v>-598</v>
      </c>
      <c r="H9" s="783">
        <v>-199.81253584425218</v>
      </c>
      <c r="I9" s="339"/>
      <c r="J9" s="339"/>
      <c r="K9" s="339"/>
      <c r="L9" s="339"/>
      <c r="M9" s="339"/>
      <c r="N9" s="339"/>
      <c r="O9" s="339"/>
      <c r="P9" s="339"/>
      <c r="Q9" s="339"/>
      <c r="R9" s="339"/>
      <c r="S9" s="339"/>
      <c r="T9" s="339"/>
      <c r="U9" s="339"/>
      <c r="V9" s="339"/>
      <c r="W9" s="339"/>
    </row>
    <row r="10" spans="1:23">
      <c r="A10" s="339"/>
      <c r="B10" s="88"/>
      <c r="C10" s="339"/>
      <c r="D10" s="339"/>
      <c r="E10" s="339"/>
      <c r="F10" s="339"/>
      <c r="G10" s="339"/>
      <c r="H10" s="339"/>
      <c r="I10" s="339"/>
      <c r="J10" s="339"/>
      <c r="K10" s="339"/>
      <c r="L10" s="339"/>
      <c r="M10" s="339"/>
      <c r="N10" s="339"/>
      <c r="O10" s="339"/>
      <c r="P10" s="339"/>
      <c r="Q10" s="339"/>
      <c r="R10" s="339"/>
      <c r="S10" s="339"/>
      <c r="T10" s="339"/>
      <c r="U10" s="339"/>
      <c r="V10" s="339"/>
      <c r="W10" s="339"/>
    </row>
    <row r="11" spans="1:23">
      <c r="B11" s="88" t="s">
        <v>641</v>
      </c>
      <c r="C11" s="29" t="s">
        <v>522</v>
      </c>
      <c r="D11" s="784">
        <v>-92</v>
      </c>
      <c r="E11" s="784">
        <v>-544</v>
      </c>
      <c r="F11" s="784">
        <v>-598</v>
      </c>
      <c r="G11" s="784">
        <v>-199.81253584425218</v>
      </c>
      <c r="H11" s="784">
        <v>-60</v>
      </c>
    </row>
    <row r="12" spans="1:23">
      <c r="B12" s="347" t="s">
        <v>841</v>
      </c>
      <c r="C12" s="29" t="s">
        <v>522</v>
      </c>
      <c r="D12" s="785">
        <v>0</v>
      </c>
      <c r="E12" s="785">
        <v>0</v>
      </c>
      <c r="F12" s="785">
        <v>0</v>
      </c>
      <c r="G12" s="785">
        <v>0</v>
      </c>
      <c r="H12" s="785">
        <v>0</v>
      </c>
    </row>
    <row r="13" spans="1:23">
      <c r="B13" s="347" t="s">
        <v>845</v>
      </c>
      <c r="C13" s="29" t="s">
        <v>522</v>
      </c>
      <c r="D13" s="785">
        <v>921.75888442691485</v>
      </c>
      <c r="E13" s="785">
        <v>991.7208878156041</v>
      </c>
      <c r="F13" s="785">
        <v>754.20039696012509</v>
      </c>
      <c r="G13" s="785">
        <v>550</v>
      </c>
      <c r="H13" s="785">
        <v>550</v>
      </c>
    </row>
    <row r="14" spans="1:23">
      <c r="B14" s="347" t="s">
        <v>848</v>
      </c>
      <c r="C14" s="29" t="s">
        <v>522</v>
      </c>
      <c r="D14" s="785">
        <v>0</v>
      </c>
      <c r="E14" s="785">
        <v>0</v>
      </c>
      <c r="F14" s="785">
        <v>0</v>
      </c>
      <c r="G14" s="785">
        <v>0</v>
      </c>
      <c r="H14" s="785">
        <v>0</v>
      </c>
    </row>
    <row r="15" spans="1:23">
      <c r="B15" s="347" t="s">
        <v>851</v>
      </c>
      <c r="C15" s="29" t="s">
        <v>522</v>
      </c>
      <c r="D15" s="785">
        <v>0</v>
      </c>
      <c r="E15" s="785">
        <v>0</v>
      </c>
      <c r="F15" s="785">
        <v>0</v>
      </c>
      <c r="G15" s="785">
        <v>0</v>
      </c>
      <c r="H15" s="785">
        <v>0</v>
      </c>
    </row>
    <row r="16" spans="1:23">
      <c r="B16" s="347" t="s">
        <v>854</v>
      </c>
      <c r="C16" s="29" t="s">
        <v>522</v>
      </c>
      <c r="D16" s="785">
        <v>0</v>
      </c>
      <c r="E16" s="785">
        <v>0</v>
      </c>
      <c r="F16" s="785">
        <v>0</v>
      </c>
      <c r="G16" s="785">
        <v>0</v>
      </c>
      <c r="H16" s="785">
        <v>0</v>
      </c>
    </row>
    <row r="17" spans="2:10">
      <c r="B17" s="347" t="s">
        <v>857</v>
      </c>
      <c r="C17" s="29" t="s">
        <v>522</v>
      </c>
      <c r="D17" s="785">
        <v>5744.0574474325094</v>
      </c>
      <c r="E17" s="785">
        <v>6276.6283464101834</v>
      </c>
      <c r="F17" s="785">
        <v>6918.0718850190706</v>
      </c>
      <c r="G17" s="785">
        <v>6553.4548375891245</v>
      </c>
      <c r="H17" s="785">
        <v>6566.0408988509871</v>
      </c>
    </row>
    <row r="18" spans="2:10">
      <c r="B18" s="347" t="s">
        <v>860</v>
      </c>
      <c r="C18" s="29" t="s">
        <v>522</v>
      </c>
      <c r="D18" s="785">
        <v>3235.982</v>
      </c>
      <c r="E18" s="785">
        <v>3235.982</v>
      </c>
      <c r="F18" s="785">
        <v>4209.076</v>
      </c>
      <c r="G18" s="785">
        <v>3828.5509999999995</v>
      </c>
      <c r="H18" s="785">
        <v>3828.5509999999995</v>
      </c>
    </row>
    <row r="19" spans="2:10">
      <c r="B19" s="347" t="s">
        <v>864</v>
      </c>
      <c r="C19" s="29" t="s">
        <v>522</v>
      </c>
      <c r="D19" s="785">
        <v>-3235.982</v>
      </c>
      <c r="E19" s="785">
        <v>-3235.982</v>
      </c>
      <c r="F19" s="785">
        <v>-4209.076</v>
      </c>
      <c r="G19" s="785">
        <v>-3828.5509999999995</v>
      </c>
      <c r="H19" s="785">
        <v>-3828.5509999999995</v>
      </c>
    </row>
    <row r="20" spans="2:10">
      <c r="B20" s="347" t="s">
        <v>216</v>
      </c>
      <c r="C20" s="29" t="s">
        <v>522</v>
      </c>
      <c r="D20" s="785">
        <v>0</v>
      </c>
      <c r="E20" s="785">
        <v>0</v>
      </c>
      <c r="F20" s="785">
        <v>0</v>
      </c>
      <c r="G20" s="785">
        <v>0</v>
      </c>
      <c r="H20" s="785">
        <v>0</v>
      </c>
    </row>
    <row r="21" spans="2:10">
      <c r="B21" s="429" t="s">
        <v>642</v>
      </c>
      <c r="C21" s="40" t="s">
        <v>522</v>
      </c>
      <c r="D21" s="786">
        <v>6573.8163318594234</v>
      </c>
      <c r="E21" s="786">
        <v>6724.3492342257887</v>
      </c>
      <c r="F21" s="786">
        <v>7074.272281979197</v>
      </c>
      <c r="G21" s="786">
        <v>6903.6423017448724</v>
      </c>
      <c r="H21" s="786">
        <v>7056.040898850988</v>
      </c>
      <c r="I21" s="339"/>
      <c r="J21" s="777"/>
    </row>
    <row r="22" spans="2:10">
      <c r="B22" s="429"/>
      <c r="C22" s="29"/>
      <c r="D22" s="41"/>
      <c r="E22" s="41"/>
      <c r="F22" s="41"/>
      <c r="G22" s="41"/>
      <c r="H22" s="41"/>
      <c r="I22" s="339"/>
      <c r="J22" s="339"/>
    </row>
    <row r="23" spans="2:10">
      <c r="B23" s="429" t="s">
        <v>643</v>
      </c>
      <c r="C23" s="564"/>
      <c r="D23" s="778"/>
      <c r="E23" s="778"/>
      <c r="F23" s="778"/>
      <c r="G23" s="778"/>
      <c r="H23" s="778"/>
      <c r="I23" s="339"/>
      <c r="J23" s="339"/>
    </row>
    <row r="24" spans="2:10">
      <c r="B24" s="566" t="s">
        <v>872</v>
      </c>
      <c r="C24" s="29" t="s">
        <v>522</v>
      </c>
      <c r="D24" s="787">
        <v>0</v>
      </c>
      <c r="E24" s="787">
        <v>0</v>
      </c>
      <c r="F24" s="787">
        <v>0</v>
      </c>
      <c r="G24" s="787">
        <v>0</v>
      </c>
      <c r="H24" s="787">
        <v>0</v>
      </c>
      <c r="J24" s="339"/>
    </row>
    <row r="25" spans="2:10">
      <c r="B25" s="566" t="s">
        <v>873</v>
      </c>
      <c r="C25" s="29" t="s">
        <v>522</v>
      </c>
      <c r="D25" s="787">
        <v>0</v>
      </c>
      <c r="E25" s="787">
        <v>0</v>
      </c>
      <c r="F25" s="787">
        <v>0</v>
      </c>
      <c r="G25" s="787">
        <v>0</v>
      </c>
      <c r="H25" s="787">
        <v>0</v>
      </c>
      <c r="J25" s="339"/>
    </row>
    <row r="26" spans="2:10">
      <c r="B26" s="566" t="s">
        <v>874</v>
      </c>
      <c r="C26" s="29" t="s">
        <v>522</v>
      </c>
      <c r="D26" s="787">
        <v>0</v>
      </c>
      <c r="E26" s="787">
        <v>0</v>
      </c>
      <c r="F26" s="787">
        <v>0</v>
      </c>
      <c r="G26" s="787">
        <v>0</v>
      </c>
      <c r="H26" s="787">
        <v>0</v>
      </c>
      <c r="J26" s="339"/>
    </row>
    <row r="27" spans="2:10">
      <c r="B27" s="566" t="s">
        <v>875</v>
      </c>
      <c r="C27" s="29" t="s">
        <v>522</v>
      </c>
      <c r="D27" s="787">
        <v>0</v>
      </c>
      <c r="E27" s="787">
        <v>0</v>
      </c>
      <c r="F27" s="787">
        <v>0</v>
      </c>
      <c r="G27" s="787">
        <v>0</v>
      </c>
      <c r="H27" s="787">
        <v>0</v>
      </c>
      <c r="J27" s="339"/>
    </row>
    <row r="28" spans="2:10">
      <c r="B28" s="566" t="s">
        <v>876</v>
      </c>
      <c r="C28" s="29" t="s">
        <v>522</v>
      </c>
      <c r="D28" s="787">
        <v>0</v>
      </c>
      <c r="E28" s="787">
        <v>0</v>
      </c>
      <c r="F28" s="787">
        <v>0</v>
      </c>
      <c r="G28" s="787">
        <v>0</v>
      </c>
      <c r="H28" s="787">
        <v>0</v>
      </c>
      <c r="J28" s="339"/>
    </row>
    <row r="29" spans="2:10">
      <c r="B29" s="566" t="s">
        <v>1245</v>
      </c>
      <c r="C29" s="29" t="s">
        <v>522</v>
      </c>
      <c r="D29" s="787">
        <v>126.27</v>
      </c>
      <c r="E29" s="787">
        <v>293.57299999999998</v>
      </c>
      <c r="F29" s="787">
        <v>367.62895997000004</v>
      </c>
      <c r="G29" s="787">
        <v>410.57710988605169</v>
      </c>
      <c r="H29" s="787">
        <v>445.21176663291527</v>
      </c>
      <c r="J29" s="339"/>
    </row>
    <row r="30" spans="2:10" ht="12.75" customHeight="1">
      <c r="B30" s="566" t="s">
        <v>1246</v>
      </c>
      <c r="C30" s="29" t="s">
        <v>522</v>
      </c>
      <c r="D30" s="787">
        <v>3.5</v>
      </c>
      <c r="E30" s="787">
        <v>2.75</v>
      </c>
      <c r="F30" s="787">
        <v>1.9035324566289009</v>
      </c>
      <c r="G30" s="787">
        <v>1.1117474341389915</v>
      </c>
      <c r="H30" s="787">
        <v>0.31996241164908157</v>
      </c>
      <c r="J30" s="339"/>
    </row>
    <row r="31" spans="2:10">
      <c r="B31" s="566" t="s">
        <v>1247</v>
      </c>
      <c r="C31" s="29" t="s">
        <v>522</v>
      </c>
      <c r="D31" s="787">
        <v>11.385</v>
      </c>
      <c r="E31" s="787">
        <v>11.385</v>
      </c>
      <c r="F31" s="787">
        <v>17.377841401050006</v>
      </c>
      <c r="G31" s="787">
        <v>20.752841401049949</v>
      </c>
      <c r="H31" s="787">
        <v>20.752841401049949</v>
      </c>
      <c r="J31" s="339"/>
    </row>
    <row r="32" spans="2:10">
      <c r="B32" s="566" t="s">
        <v>1248</v>
      </c>
      <c r="C32" s="29" t="s">
        <v>522</v>
      </c>
      <c r="D32" s="787">
        <v>-5101.2914616978069</v>
      </c>
      <c r="E32" s="787">
        <v>-5331.6548346165455</v>
      </c>
      <c r="F32" s="787">
        <v>-5641.649798847634</v>
      </c>
      <c r="G32" s="787">
        <v>-5537.7695380990481</v>
      </c>
      <c r="H32" s="787">
        <v>-5673.7659472253008</v>
      </c>
      <c r="J32" s="339"/>
    </row>
    <row r="33" spans="2:11">
      <c r="B33" s="566" t="s">
        <v>834</v>
      </c>
      <c r="C33" s="29" t="s">
        <v>522</v>
      </c>
      <c r="D33" s="787">
        <v>0</v>
      </c>
      <c r="E33" s="787">
        <v>0</v>
      </c>
      <c r="F33" s="787">
        <v>0</v>
      </c>
      <c r="G33" s="787">
        <v>0</v>
      </c>
      <c r="H33" s="787">
        <v>0</v>
      </c>
      <c r="J33" s="339"/>
    </row>
    <row r="34" spans="2:11">
      <c r="B34" s="566" t="s">
        <v>835</v>
      </c>
      <c r="C34" s="29" t="s">
        <v>522</v>
      </c>
      <c r="D34" s="787">
        <v>0</v>
      </c>
      <c r="E34" s="787">
        <v>0</v>
      </c>
      <c r="F34" s="787">
        <v>0</v>
      </c>
      <c r="G34" s="787">
        <v>0</v>
      </c>
      <c r="H34" s="787">
        <v>0</v>
      </c>
      <c r="J34" s="339"/>
    </row>
    <row r="35" spans="2:11">
      <c r="B35" s="566" t="s">
        <v>836</v>
      </c>
      <c r="C35" s="29" t="s">
        <v>522</v>
      </c>
      <c r="D35" s="787">
        <v>0</v>
      </c>
      <c r="E35" s="787">
        <v>0</v>
      </c>
      <c r="F35" s="787">
        <v>0</v>
      </c>
      <c r="G35" s="787">
        <v>0</v>
      </c>
      <c r="H35" s="787">
        <v>0</v>
      </c>
      <c r="J35" s="339"/>
      <c r="K35" s="779"/>
    </row>
    <row r="36" spans="2:11">
      <c r="B36" s="566" t="s">
        <v>837</v>
      </c>
      <c r="C36" s="29" t="s">
        <v>522</v>
      </c>
      <c r="D36" s="787">
        <v>0</v>
      </c>
      <c r="E36" s="787">
        <v>0</v>
      </c>
      <c r="F36" s="787">
        <v>0</v>
      </c>
      <c r="G36" s="787">
        <v>0</v>
      </c>
      <c r="H36" s="787">
        <v>0</v>
      </c>
    </row>
    <row r="37" spans="2:11">
      <c r="B37" s="566" t="s">
        <v>655</v>
      </c>
      <c r="C37" s="29" t="s">
        <v>522</v>
      </c>
      <c r="D37" s="787">
        <v>0</v>
      </c>
      <c r="E37" s="787">
        <v>0</v>
      </c>
      <c r="F37" s="787">
        <v>0</v>
      </c>
      <c r="G37" s="787">
        <v>0</v>
      </c>
      <c r="H37" s="787">
        <v>0</v>
      </c>
    </row>
    <row r="38" spans="2:11">
      <c r="B38" s="566" t="s">
        <v>656</v>
      </c>
      <c r="C38" s="29" t="s">
        <v>522</v>
      </c>
      <c r="D38" s="787">
        <v>0</v>
      </c>
      <c r="E38" s="787">
        <v>0</v>
      </c>
      <c r="F38" s="787">
        <v>0</v>
      </c>
      <c r="G38" s="787">
        <v>0</v>
      </c>
      <c r="H38" s="787">
        <v>0</v>
      </c>
    </row>
    <row r="39" spans="2:11">
      <c r="B39" s="566" t="s">
        <v>877</v>
      </c>
      <c r="C39" s="29" t="s">
        <v>522</v>
      </c>
      <c r="D39" s="787">
        <v>0</v>
      </c>
      <c r="E39" s="787">
        <v>0</v>
      </c>
      <c r="F39" s="787">
        <v>0</v>
      </c>
      <c r="G39" s="787">
        <v>0</v>
      </c>
      <c r="H39" s="787">
        <v>0</v>
      </c>
    </row>
    <row r="40" spans="2:11">
      <c r="B40" s="567" t="s">
        <v>644</v>
      </c>
      <c r="C40" s="29" t="s">
        <v>522</v>
      </c>
      <c r="D40" s="85">
        <v>1613.6798701616171</v>
      </c>
      <c r="E40" s="85">
        <v>1700.4023996092437</v>
      </c>
      <c r="F40" s="85">
        <v>1819.5328169592422</v>
      </c>
      <c r="G40" s="85">
        <v>1798.3144623670651</v>
      </c>
      <c r="H40" s="85">
        <v>1848.5595220713012</v>
      </c>
    </row>
    <row r="41" spans="2:11">
      <c r="B41" s="568" t="s">
        <v>645</v>
      </c>
      <c r="C41" s="29" t="s">
        <v>522</v>
      </c>
      <c r="D41" s="413"/>
      <c r="E41" s="780"/>
      <c r="F41" s="780"/>
      <c r="G41" s="776">
        <v>134.57788102982329</v>
      </c>
      <c r="H41" s="776">
        <v>171.77442151391847</v>
      </c>
    </row>
    <row r="42" spans="2:11">
      <c r="B42" s="567" t="s">
        <v>646</v>
      </c>
      <c r="C42" s="29" t="s">
        <v>522</v>
      </c>
      <c r="D42" s="18">
        <v>1613.6798701616171</v>
      </c>
      <c r="E42" s="19">
        <v>1700.4023996092437</v>
      </c>
      <c r="F42" s="19">
        <v>1819.5328169592422</v>
      </c>
      <c r="G42" s="19">
        <v>1932.8923433968885</v>
      </c>
      <c r="H42" s="19">
        <v>2020.3339435852197</v>
      </c>
    </row>
    <row r="43" spans="2:11">
      <c r="D43" s="592" t="s">
        <v>1258</v>
      </c>
      <c r="E43" s="592" t="s">
        <v>1258</v>
      </c>
      <c r="F43" s="592" t="s">
        <v>1258</v>
      </c>
      <c r="G43" s="592" t="s">
        <v>1258</v>
      </c>
      <c r="H43" s="592" t="s">
        <v>1258</v>
      </c>
    </row>
    <row r="44" spans="2:11"/>
    <row r="45" spans="2:11">
      <c r="B45" s="781" t="s">
        <v>647</v>
      </c>
      <c r="C45" s="29" t="s">
        <v>522</v>
      </c>
      <c r="D45" s="776">
        <v>1542.2617736199215</v>
      </c>
      <c r="E45" s="19">
        <v>1613.6798701616171</v>
      </c>
      <c r="F45" s="19">
        <v>1700.4023996092437</v>
      </c>
      <c r="G45" s="19">
        <v>1819.5328169592422</v>
      </c>
      <c r="H45" s="19">
        <v>1932.8923433968885</v>
      </c>
      <c r="I45" s="136"/>
    </row>
    <row r="46" spans="2:11">
      <c r="B46" s="781" t="s">
        <v>648</v>
      </c>
      <c r="C46" s="29" t="s">
        <v>522</v>
      </c>
      <c r="D46" s="789">
        <v>1613.6798701616171</v>
      </c>
      <c r="E46" s="788">
        <v>1700.4023996092437</v>
      </c>
      <c r="F46" s="788">
        <v>1819.5328169592422</v>
      </c>
      <c r="G46" s="788">
        <v>1932.8923433968885</v>
      </c>
      <c r="H46" s="788">
        <v>2020.3339435852197</v>
      </c>
      <c r="I46" s="136"/>
    </row>
    <row r="47" spans="2:11">
      <c r="D47" s="782"/>
      <c r="E47" s="782"/>
      <c r="F47" s="782"/>
      <c r="G47" s="782"/>
      <c r="H47" s="782"/>
    </row>
    <row r="48" spans="2:11">
      <c r="B48" s="429" t="s">
        <v>649</v>
      </c>
      <c r="D48" s="782"/>
      <c r="E48" s="782"/>
      <c r="F48" s="782"/>
      <c r="G48" s="782"/>
      <c r="H48" s="782"/>
    </row>
    <row r="49" spans="2:10">
      <c r="B49" s="566" t="s">
        <v>650</v>
      </c>
      <c r="C49" s="29" t="s">
        <v>522</v>
      </c>
      <c r="D49" s="776">
        <v>65.348715487689049</v>
      </c>
      <c r="E49" s="776">
        <v>77.274378112573459</v>
      </c>
      <c r="F49" s="776">
        <v>64.119567927365239</v>
      </c>
      <c r="G49" s="776">
        <v>65.474152323719068</v>
      </c>
      <c r="H49" s="776">
        <v>65.356076889580649</v>
      </c>
    </row>
    <row r="50" spans="2:10">
      <c r="B50" s="566" t="s">
        <v>651</v>
      </c>
      <c r="C50" s="29" t="s">
        <v>522</v>
      </c>
      <c r="D50" s="776">
        <v>10.096719465163508</v>
      </c>
      <c r="E50" s="776">
        <v>11.183278865456803</v>
      </c>
      <c r="F50" s="776">
        <v>15.870242841078802</v>
      </c>
      <c r="G50" s="776">
        <v>17.431012344690721</v>
      </c>
      <c r="H50" s="776">
        <v>18.334513502174499</v>
      </c>
    </row>
    <row r="51" spans="2:10">
      <c r="B51" s="566" t="s">
        <v>652</v>
      </c>
      <c r="C51" s="29" t="s">
        <v>522</v>
      </c>
      <c r="D51" s="776">
        <v>20.690767879074663</v>
      </c>
      <c r="E51" s="776">
        <v>-16.17170363666505</v>
      </c>
      <c r="F51" s="776">
        <v>-22.952564296642656</v>
      </c>
      <c r="G51" s="776">
        <v>0</v>
      </c>
      <c r="H51" s="776">
        <v>0</v>
      </c>
    </row>
    <row r="52" spans="2:10">
      <c r="B52" s="566" t="s">
        <v>653</v>
      </c>
      <c r="C52" s="29" t="s">
        <v>522</v>
      </c>
      <c r="D52" s="776">
        <v>9.1831066269604609</v>
      </c>
      <c r="E52" s="776">
        <v>-4.8143603653286489</v>
      </c>
      <c r="F52" s="776">
        <v>4.4159692579241918</v>
      </c>
      <c r="G52" s="776">
        <v>0</v>
      </c>
      <c r="H52" s="776">
        <v>0</v>
      </c>
    </row>
    <row r="53" spans="2:10">
      <c r="B53" s="566" t="s">
        <v>654</v>
      </c>
      <c r="C53" s="29" t="s">
        <v>522</v>
      </c>
      <c r="D53" s="776">
        <v>18.25594578007043</v>
      </c>
      <c r="E53" s="776">
        <v>23.032140263945411</v>
      </c>
      <c r="F53" s="776">
        <v>28.799777371336717</v>
      </c>
      <c r="G53" s="776">
        <v>28.01698783455463</v>
      </c>
      <c r="H53" s="776">
        <v>31.09387017829237</v>
      </c>
    </row>
    <row r="54" spans="2:10">
      <c r="B54" s="566" t="s">
        <v>1231</v>
      </c>
      <c r="C54" s="29" t="s">
        <v>522</v>
      </c>
      <c r="D54" s="776">
        <v>-3.6628320936072014</v>
      </c>
      <c r="E54" s="776">
        <v>-3.9854048693589936</v>
      </c>
      <c r="F54" s="776">
        <v>-3.7238653882476602</v>
      </c>
      <c r="G54" s="776">
        <v>-3.0357341026782056</v>
      </c>
      <c r="H54" s="776">
        <v>-2.6624391231096887</v>
      </c>
    </row>
    <row r="55" spans="2:10">
      <c r="B55" s="566" t="s">
        <v>1232</v>
      </c>
      <c r="C55" s="29" t="s">
        <v>522</v>
      </c>
      <c r="D55" s="776">
        <v>5480.3680255528225</v>
      </c>
      <c r="E55" s="776">
        <v>5602.9352467390991</v>
      </c>
      <c r="F55" s="776">
        <v>5909.9423140501212</v>
      </c>
      <c r="G55" s="776">
        <v>6284.41949257543</v>
      </c>
      <c r="H55" s="776">
        <v>6545.126566874078</v>
      </c>
    </row>
    <row r="56" spans="2:10">
      <c r="B56" s="566" t="s">
        <v>837</v>
      </c>
      <c r="C56" s="29" t="s">
        <v>522</v>
      </c>
      <c r="D56" s="776">
        <v>0</v>
      </c>
      <c r="E56" s="776">
        <v>0</v>
      </c>
      <c r="F56" s="776">
        <v>0</v>
      </c>
      <c r="G56" s="776">
        <v>0</v>
      </c>
      <c r="H56" s="776">
        <v>0</v>
      </c>
    </row>
    <row r="57" spans="2:10">
      <c r="B57" s="566" t="s">
        <v>655</v>
      </c>
      <c r="C57" s="29" t="s">
        <v>522</v>
      </c>
      <c r="D57" s="776">
        <v>0</v>
      </c>
      <c r="E57" s="776">
        <v>0</v>
      </c>
      <c r="F57" s="776">
        <v>0</v>
      </c>
      <c r="G57" s="776">
        <v>0</v>
      </c>
      <c r="H57" s="776">
        <v>0</v>
      </c>
    </row>
    <row r="58" spans="2:10">
      <c r="B58" s="566" t="s">
        <v>656</v>
      </c>
      <c r="C58" s="29" t="s">
        <v>522</v>
      </c>
      <c r="D58" s="776">
        <v>0</v>
      </c>
      <c r="E58" s="776">
        <v>0</v>
      </c>
      <c r="F58" s="776">
        <v>0</v>
      </c>
      <c r="G58" s="776">
        <v>0</v>
      </c>
      <c r="H58" s="776">
        <v>0</v>
      </c>
    </row>
    <row r="59" spans="2:10">
      <c r="B59" s="566" t="s">
        <v>657</v>
      </c>
      <c r="C59" s="29" t="s">
        <v>522</v>
      </c>
      <c r="D59" s="18">
        <v>7213.9603188597903</v>
      </c>
      <c r="E59" s="18">
        <v>7389.8559747189656</v>
      </c>
      <c r="F59" s="18">
        <v>7816.0042587221778</v>
      </c>
      <c r="G59" s="18">
        <v>8325.1982543726044</v>
      </c>
      <c r="H59" s="18">
        <v>8677.5825319062351</v>
      </c>
      <c r="I59" s="1170"/>
    </row>
    <row r="60" spans="2:10">
      <c r="D60" s="782"/>
      <c r="E60" s="782"/>
      <c r="F60" s="782"/>
      <c r="G60" s="782"/>
      <c r="H60" s="782"/>
    </row>
    <row r="61" spans="2:10">
      <c r="B61" s="429" t="s">
        <v>658</v>
      </c>
    </row>
    <row r="62" spans="2:10">
      <c r="B62" s="114" t="s">
        <v>659</v>
      </c>
      <c r="C62" s="136" t="s">
        <v>486</v>
      </c>
      <c r="D62" s="790">
        <v>0</v>
      </c>
      <c r="E62" s="790">
        <v>0</v>
      </c>
      <c r="F62" s="790">
        <v>0</v>
      </c>
      <c r="G62" s="790">
        <v>0</v>
      </c>
      <c r="H62" s="790">
        <v>0</v>
      </c>
    </row>
    <row r="63" spans="2:10">
      <c r="B63" s="114" t="s">
        <v>660</v>
      </c>
      <c r="C63" s="136" t="s">
        <v>486</v>
      </c>
      <c r="D63" s="791">
        <v>1</v>
      </c>
      <c r="E63" s="792">
        <v>1</v>
      </c>
      <c r="F63" s="792">
        <v>1</v>
      </c>
      <c r="G63" s="792">
        <v>1</v>
      </c>
      <c r="H63" s="792">
        <v>1</v>
      </c>
      <c r="J63" s="779"/>
    </row>
    <row r="64" spans="2:10">
      <c r="C64" s="136"/>
      <c r="D64" s="136"/>
      <c r="E64" s="136"/>
      <c r="F64" s="136"/>
      <c r="G64" s="136"/>
      <c r="H64" s="136"/>
      <c r="I64" s="136"/>
    </row>
    <row r="65" spans="2:20">
      <c r="B65" s="114" t="s">
        <v>661</v>
      </c>
      <c r="C65" s="29" t="s">
        <v>522</v>
      </c>
      <c r="D65" s="793">
        <v>1577.9708218907695</v>
      </c>
      <c r="E65" s="794">
        <v>1657.0411348854304</v>
      </c>
      <c r="F65" s="794">
        <v>1759.9676082842429</v>
      </c>
      <c r="G65" s="794">
        <v>1876.2125801780653</v>
      </c>
      <c r="H65" s="794">
        <v>1976.613143491054</v>
      </c>
      <c r="J65" s="1293"/>
      <c r="K65" s="1293"/>
      <c r="L65" s="1293"/>
      <c r="M65" s="1293"/>
      <c r="N65" s="1293"/>
      <c r="P65" s="1294"/>
      <c r="Q65" s="1294"/>
      <c r="R65" s="1294"/>
      <c r="S65" s="1294"/>
      <c r="T65" s="1294"/>
    </row>
    <row r="66" spans="2:20">
      <c r="B66" s="114" t="s">
        <v>662</v>
      </c>
      <c r="C66" s="29" t="s">
        <v>522</v>
      </c>
      <c r="D66" s="795">
        <v>978.41558448674505</v>
      </c>
      <c r="E66" s="796">
        <v>1124.1706241945863</v>
      </c>
      <c r="F66" s="796">
        <v>1231.7558605843437</v>
      </c>
      <c r="G66" s="796">
        <v>1241.7416430382359</v>
      </c>
      <c r="H66" s="796">
        <v>1232.1650498548997</v>
      </c>
      <c r="J66" s="1293"/>
      <c r="K66" s="1293"/>
      <c r="L66" s="1293"/>
      <c r="M66" s="1293"/>
      <c r="N66" s="1293"/>
      <c r="P66" s="1294"/>
      <c r="Q66" s="1294"/>
      <c r="R66" s="1294"/>
      <c r="S66" s="1294"/>
      <c r="T66" s="1294"/>
    </row>
    <row r="67" spans="2:20">
      <c r="B67" s="114" t="s">
        <v>663</v>
      </c>
      <c r="C67" s="29" t="s">
        <v>522</v>
      </c>
      <c r="D67" s="797">
        <v>2556.3864063775145</v>
      </c>
      <c r="E67" s="797">
        <v>2781.2117590800167</v>
      </c>
      <c r="F67" s="797">
        <v>2991.7234688685867</v>
      </c>
      <c r="G67" s="797">
        <v>3117.9542232163012</v>
      </c>
      <c r="H67" s="797">
        <v>3208.7781933459537</v>
      </c>
      <c r="J67" s="1293"/>
      <c r="K67" s="1293"/>
      <c r="L67" s="1293"/>
      <c r="M67" s="1293"/>
      <c r="N67" s="1293"/>
      <c r="P67" s="1294"/>
      <c r="Q67" s="1294"/>
      <c r="R67" s="1294"/>
      <c r="S67" s="1294"/>
      <c r="T67" s="1294"/>
    </row>
    <row r="68" spans="2:20">
      <c r="B68" s="114" t="s">
        <v>664</v>
      </c>
      <c r="C68" s="29" t="s">
        <v>486</v>
      </c>
      <c r="D68" s="798">
        <v>0.61726616052805849</v>
      </c>
      <c r="E68" s="799">
        <v>0.59579826292463067</v>
      </c>
      <c r="F68" s="799">
        <v>0.58827883880251453</v>
      </c>
      <c r="G68" s="799">
        <v>0.60174474859437577</v>
      </c>
      <c r="H68" s="799">
        <v>0.61600180018362083</v>
      </c>
      <c r="J68" s="369"/>
      <c r="K68" s="369"/>
      <c r="L68" s="369"/>
      <c r="M68" s="369"/>
      <c r="N68" s="369"/>
      <c r="P68" s="1294"/>
      <c r="Q68" s="1294"/>
      <c r="R68" s="1294"/>
      <c r="S68" s="1294"/>
      <c r="T68" s="1294"/>
    </row>
    <row r="69" spans="2:20">
      <c r="B69" s="114" t="s">
        <v>24</v>
      </c>
      <c r="C69" s="29" t="s">
        <v>486</v>
      </c>
      <c r="D69" s="800">
        <v>0.6</v>
      </c>
      <c r="E69" s="801">
        <v>0.6</v>
      </c>
      <c r="F69" s="801">
        <v>0.6</v>
      </c>
      <c r="G69" s="801">
        <v>0.6</v>
      </c>
      <c r="H69" s="801">
        <v>0.6</v>
      </c>
      <c r="J69" s="369"/>
      <c r="K69" s="369"/>
      <c r="L69" s="369"/>
      <c r="M69" s="369"/>
      <c r="N69" s="369"/>
      <c r="P69" s="1294"/>
      <c r="Q69" s="1294"/>
      <c r="R69" s="1294"/>
      <c r="S69" s="1294"/>
      <c r="T69" s="1294"/>
    </row>
    <row r="70" spans="2:20">
      <c r="B70" s="114" t="s">
        <v>665</v>
      </c>
      <c r="C70" s="29" t="s">
        <v>486</v>
      </c>
      <c r="D70" s="802">
        <v>1.7266160528058516E-2</v>
      </c>
      <c r="E70" s="803">
        <v>-4.2017370753693051E-3</v>
      </c>
      <c r="F70" s="803">
        <v>-1.1721161197485452E-2</v>
      </c>
      <c r="G70" s="803">
        <v>1.744748594375789E-3</v>
      </c>
      <c r="H70" s="803">
        <v>1.6001800183620851E-2</v>
      </c>
      <c r="J70" s="1295"/>
      <c r="K70" s="1295"/>
      <c r="L70" s="1295"/>
      <c r="M70" s="1295"/>
      <c r="N70" s="1295"/>
      <c r="P70" s="1294"/>
      <c r="Q70" s="1294"/>
      <c r="R70" s="1294"/>
      <c r="S70" s="1294"/>
      <c r="T70" s="1294"/>
    </row>
    <row r="71" spans="2:20"/>
    <row r="72" spans="2:20">
      <c r="B72" s="114" t="s">
        <v>666</v>
      </c>
      <c r="C72" s="468" t="s">
        <v>23</v>
      </c>
      <c r="D72" s="804">
        <v>1424.5936798374814</v>
      </c>
      <c r="E72" s="805">
        <v>1387.9212737183425</v>
      </c>
      <c r="F72" s="805">
        <v>1392.8723997823754</v>
      </c>
      <c r="G72" s="805">
        <v>1448.1473261909996</v>
      </c>
      <c r="H72" s="805">
        <v>1501.5040977435906</v>
      </c>
    </row>
    <row r="73" spans="2:20">
      <c r="B73" s="114" t="s">
        <v>667</v>
      </c>
      <c r="C73" s="468" t="s">
        <v>23</v>
      </c>
      <c r="D73" s="806">
        <v>883.31459528774303</v>
      </c>
      <c r="E73" s="807">
        <v>941.59420171350939</v>
      </c>
      <c r="F73" s="807">
        <v>974.83540799407137</v>
      </c>
      <c r="G73" s="807">
        <v>958.43342016989152</v>
      </c>
      <c r="H73" s="807">
        <v>935.99543114742062</v>
      </c>
    </row>
    <row r="74" spans="2:20">
      <c r="B74" s="114" t="s">
        <v>668</v>
      </c>
      <c r="C74" s="468" t="s">
        <v>23</v>
      </c>
      <c r="D74" s="797">
        <v>2307.9082751252245</v>
      </c>
      <c r="E74" s="797">
        <v>2329.5154754318519</v>
      </c>
      <c r="F74" s="797">
        <v>2367.7078077764468</v>
      </c>
      <c r="G74" s="797">
        <v>2406.5807463608912</v>
      </c>
      <c r="H74" s="797">
        <v>2437.4995288910113</v>
      </c>
    </row>
    <row r="75" spans="2:20">
      <c r="B75" s="114" t="s">
        <v>664</v>
      </c>
      <c r="C75" s="29" t="s">
        <v>486</v>
      </c>
      <c r="D75" s="798">
        <v>0.61726616052805849</v>
      </c>
      <c r="E75" s="799">
        <v>0.59579826292463067</v>
      </c>
      <c r="F75" s="799">
        <v>0.58827883880251453</v>
      </c>
      <c r="G75" s="799">
        <v>0.60174474859437577</v>
      </c>
      <c r="H75" s="799">
        <v>0.61600180018362083</v>
      </c>
    </row>
    <row r="76" spans="2:20">
      <c r="B76" s="114" t="s">
        <v>24</v>
      </c>
      <c r="C76" s="29" t="s">
        <v>486</v>
      </c>
      <c r="D76" s="800">
        <v>0.6</v>
      </c>
      <c r="E76" s="801">
        <v>0.6</v>
      </c>
      <c r="F76" s="801">
        <v>0.6</v>
      </c>
      <c r="G76" s="801">
        <v>0.6</v>
      </c>
      <c r="H76" s="801">
        <v>0.6</v>
      </c>
    </row>
    <row r="77" spans="2:20">
      <c r="B77" s="114" t="s">
        <v>665</v>
      </c>
      <c r="C77" s="29" t="s">
        <v>486</v>
      </c>
      <c r="D77" s="802">
        <v>1.7266160528058516E-2</v>
      </c>
      <c r="E77" s="803">
        <v>-4.2017370753693051E-3</v>
      </c>
      <c r="F77" s="803">
        <v>-1.1721161197485452E-2</v>
      </c>
      <c r="G77" s="803">
        <v>1.744748594375789E-3</v>
      </c>
      <c r="H77" s="803">
        <v>1.6001800183620851E-2</v>
      </c>
    </row>
    <row r="78" spans="2:20"/>
    <row r="79" spans="2:20"/>
    <row r="80" spans="2:2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68" priority="2">
      <formula>D$5="Forecast"</formula>
    </cfRule>
    <cfRule type="expression" dxfId="67" priority="3">
      <formula>C$12="N/A"</formula>
    </cfRule>
  </conditionalFormatting>
  <conditionalFormatting sqref="D41:F41">
    <cfRule type="expression" dxfId="66"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6"/>
  <sheetViews>
    <sheetView showGridLines="0" zoomScale="50" zoomScaleNormal="50" workbookViewId="0">
      <selection activeCell="V16" sqref="V16"/>
    </sheetView>
  </sheetViews>
  <sheetFormatPr defaultColWidth="0" defaultRowHeight="13.5" zeroHeight="1" outlineLevelRow="1"/>
  <cols>
    <col min="1" max="1" width="8" customWidth="1"/>
    <col min="2" max="2" width="2.84375" customWidth="1"/>
    <col min="3" max="3" width="2.765625" customWidth="1"/>
    <col min="4" max="4" width="14.15234375" customWidth="1"/>
    <col min="5" max="11" width="6.84375" customWidth="1"/>
    <col min="12" max="14" width="8.23046875" customWidth="1"/>
    <col min="15" max="16" width="6.84375" customWidth="1"/>
    <col min="17" max="17" width="6" customWidth="1"/>
    <col min="18" max="19" width="17" customWidth="1"/>
    <col min="20" max="29" width="10.4609375" customWidth="1"/>
    <col min="30" max="30" width="8.61328125" customWidth="1"/>
    <col min="31" max="42" width="9.23046875" customWidth="1"/>
    <col min="43" max="16384" width="9" hidden="1"/>
  </cols>
  <sheetData>
    <row r="1" spans="1:42" ht="20">
      <c r="A1" s="257" t="s">
        <v>267</v>
      </c>
      <c r="B1" s="348"/>
      <c r="C1" s="348"/>
      <c r="D1" s="350"/>
      <c r="E1" s="350"/>
      <c r="F1" s="350"/>
      <c r="G1" s="350"/>
      <c r="H1" s="350"/>
      <c r="I1" s="1119"/>
      <c r="J1" s="1119"/>
      <c r="K1" s="351"/>
      <c r="L1" s="351"/>
      <c r="M1" s="351"/>
      <c r="N1" s="351"/>
      <c r="O1" s="351"/>
      <c r="P1" s="351"/>
      <c r="Q1" s="351"/>
      <c r="R1" s="351"/>
      <c r="S1" s="351"/>
      <c r="T1" s="351"/>
      <c r="U1" s="351"/>
      <c r="V1" s="351"/>
      <c r="W1" s="351"/>
      <c r="X1" s="351"/>
      <c r="Y1" s="351"/>
      <c r="Z1" s="351"/>
      <c r="AA1" s="351"/>
      <c r="AB1" s="351"/>
      <c r="AC1" s="351"/>
      <c r="AD1" s="351"/>
      <c r="AE1" s="351"/>
      <c r="AF1" s="351"/>
      <c r="AG1" s="351"/>
      <c r="AH1" s="351"/>
      <c r="AI1" s="351"/>
      <c r="AJ1" s="351"/>
      <c r="AK1" s="351"/>
      <c r="AL1" s="351"/>
      <c r="AM1" s="351"/>
      <c r="AN1" s="351"/>
      <c r="AO1" s="351"/>
      <c r="AP1" s="351"/>
    </row>
    <row r="2" spans="1:42" ht="20">
      <c r="A2" s="315" t="s">
        <v>4</v>
      </c>
      <c r="B2" s="353"/>
      <c r="C2" s="353"/>
      <c r="D2" s="6"/>
      <c r="E2" s="6"/>
      <c r="F2" s="6"/>
      <c r="G2" s="6"/>
      <c r="H2" s="6"/>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row>
    <row r="3" spans="1:42" ht="20">
      <c r="A3" s="1120">
        <v>2024</v>
      </c>
      <c r="B3" s="1121"/>
      <c r="C3" s="1121"/>
      <c r="D3" s="1121"/>
      <c r="E3" s="1121"/>
      <c r="F3" s="1121"/>
      <c r="G3" s="356"/>
      <c r="H3" s="356"/>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row>
    <row r="4" spans="1:42" ht="15">
      <c r="A4" s="1122"/>
      <c r="B4" s="1123"/>
      <c r="C4" s="1123"/>
      <c r="D4" s="1124"/>
      <c r="E4" s="1124"/>
      <c r="F4" s="1122"/>
      <c r="G4" s="1122"/>
      <c r="H4" s="1122"/>
      <c r="I4" s="1122"/>
      <c r="J4" s="1125"/>
      <c r="K4" s="1125"/>
      <c r="L4" s="1125"/>
      <c r="M4" s="1125"/>
      <c r="N4" s="1125"/>
      <c r="O4" s="1125"/>
      <c r="P4" s="1125"/>
      <c r="Q4" s="1125"/>
      <c r="R4" s="1126"/>
      <c r="S4" s="1126"/>
      <c r="T4" s="1126"/>
      <c r="U4" s="1126"/>
      <c r="V4" s="1126"/>
      <c r="W4" s="1126"/>
      <c r="X4" s="1124"/>
      <c r="Y4" s="1126"/>
      <c r="Z4" s="1124"/>
      <c r="AA4" s="1124"/>
      <c r="AB4" s="1124"/>
      <c r="AC4" s="1124"/>
      <c r="AD4" s="1124"/>
      <c r="AE4" s="1124"/>
      <c r="AF4" s="1124"/>
      <c r="AG4" s="1124"/>
      <c r="AH4" s="1124"/>
      <c r="AI4" s="1124"/>
      <c r="AJ4" s="1124"/>
      <c r="AK4" s="1124"/>
      <c r="AL4" s="1124"/>
      <c r="AM4" s="1124"/>
      <c r="AN4" s="1124"/>
      <c r="AO4" s="1124"/>
      <c r="AP4" s="1124"/>
    </row>
    <row r="5" spans="1:42" ht="16">
      <c r="A5" s="1122"/>
      <c r="B5" s="1127" t="s">
        <v>819</v>
      </c>
      <c r="C5" s="1127"/>
      <c r="D5" s="1128"/>
      <c r="E5" s="1128"/>
      <c r="F5" s="1128"/>
      <c r="G5" s="1128"/>
      <c r="H5" s="1128"/>
      <c r="I5" s="1128"/>
      <c r="J5" s="1128"/>
      <c r="K5" s="1128"/>
      <c r="L5" s="1128"/>
      <c r="M5" s="1128"/>
      <c r="N5" s="1128"/>
      <c r="O5" s="1128"/>
      <c r="P5" s="1128"/>
      <c r="Q5" s="1128"/>
      <c r="R5" s="1129"/>
      <c r="S5" s="1129"/>
      <c r="T5" s="1128" t="s">
        <v>820</v>
      </c>
      <c r="U5" s="1128"/>
      <c r="V5" s="1128"/>
      <c r="W5" s="1128"/>
      <c r="X5" s="1128"/>
      <c r="Y5" s="1128"/>
      <c r="Z5" s="1128"/>
      <c r="AA5" s="1128"/>
      <c r="AB5" s="1128"/>
      <c r="AC5" s="1128"/>
      <c r="AD5" s="1128"/>
      <c r="AE5" s="1128"/>
      <c r="AF5" s="1128"/>
      <c r="AG5" s="1128"/>
      <c r="AH5" s="1128"/>
      <c r="AI5" s="1128"/>
      <c r="AJ5" s="1128"/>
      <c r="AK5" s="1128"/>
      <c r="AL5" s="1128"/>
      <c r="AM5" s="1128"/>
      <c r="AN5" s="1128"/>
      <c r="AO5" s="1128"/>
      <c r="AP5" s="1128"/>
    </row>
    <row r="6" spans="1:42" ht="16">
      <c r="A6" s="1130"/>
      <c r="B6" s="1131"/>
      <c r="C6" s="1131"/>
      <c r="D6" s="1129"/>
      <c r="E6" s="1129"/>
      <c r="F6" s="1129"/>
      <c r="G6" s="1129"/>
      <c r="H6" s="1129"/>
      <c r="I6" s="1129"/>
      <c r="J6" s="1129"/>
      <c r="K6" s="1129"/>
      <c r="L6" s="1129"/>
      <c r="M6" s="1129"/>
      <c r="N6" s="1129"/>
      <c r="O6" s="1129"/>
      <c r="P6" s="1129"/>
      <c r="Q6" s="1129"/>
      <c r="R6" s="1129"/>
      <c r="S6" s="1129"/>
      <c r="T6" s="1129"/>
      <c r="U6" s="1129"/>
      <c r="V6" s="1129"/>
      <c r="W6" s="1129"/>
      <c r="X6" s="1129"/>
      <c r="Y6" s="1129"/>
      <c r="Z6" s="1129"/>
      <c r="AA6" s="1129"/>
      <c r="AB6" s="1129"/>
      <c r="AC6" s="1129"/>
      <c r="AD6" s="1129"/>
      <c r="AE6" s="1129"/>
      <c r="AF6" s="1129"/>
      <c r="AG6" s="1129"/>
      <c r="AH6" s="1129"/>
      <c r="AI6" s="1129"/>
      <c r="AJ6" s="1129"/>
      <c r="AK6" s="1129"/>
      <c r="AL6" s="1129"/>
      <c r="AM6" s="1129"/>
      <c r="AN6" s="1130"/>
      <c r="AO6" s="1130"/>
      <c r="AP6" s="1130"/>
    </row>
    <row r="7" spans="1:42" ht="16">
      <c r="A7" s="1130"/>
      <c r="B7" s="1122" t="s">
        <v>522</v>
      </c>
      <c r="C7" s="1122"/>
      <c r="D7" s="1129"/>
      <c r="E7" s="1129"/>
      <c r="F7" s="1129"/>
      <c r="G7" s="1129"/>
      <c r="H7" s="1129"/>
      <c r="I7" s="1129"/>
      <c r="J7" s="1129"/>
      <c r="K7" s="1129"/>
      <c r="L7" s="1129"/>
      <c r="M7" s="1129"/>
      <c r="N7" s="1129"/>
      <c r="O7" s="1129"/>
      <c r="P7" s="1129"/>
      <c r="Q7" s="1129"/>
      <c r="R7" s="1129"/>
      <c r="S7" s="1126"/>
      <c r="T7" s="1383" t="s">
        <v>730</v>
      </c>
      <c r="U7" s="1384"/>
      <c r="V7" s="1384"/>
      <c r="W7" s="1384"/>
      <c r="X7" s="1385"/>
      <c r="Y7" s="1386" t="s">
        <v>731</v>
      </c>
      <c r="Z7" s="1387"/>
      <c r="AA7" s="1387"/>
      <c r="AB7" s="1387"/>
      <c r="AC7" s="1388"/>
      <c r="AD7" s="1129"/>
      <c r="AE7" s="1129"/>
      <c r="AF7" s="1129"/>
      <c r="AG7" s="1129"/>
      <c r="AH7" s="1129"/>
      <c r="AI7" s="1129"/>
      <c r="AJ7" s="1129"/>
      <c r="AK7" s="1129"/>
      <c r="AL7" s="1129"/>
      <c r="AM7" s="1129"/>
      <c r="AN7" s="1130"/>
      <c r="AO7" s="1130"/>
      <c r="AP7" s="1130"/>
    </row>
    <row r="8" spans="1:42">
      <c r="A8" s="825"/>
      <c r="B8" s="1132"/>
      <c r="C8" s="1132"/>
      <c r="D8" s="1133"/>
      <c r="E8" s="1133"/>
      <c r="F8" s="825"/>
      <c r="G8" s="825"/>
      <c r="H8" s="825"/>
      <c r="I8" s="825"/>
      <c r="J8" s="825"/>
      <c r="K8" s="825"/>
      <c r="L8" s="825"/>
      <c r="M8" s="825"/>
      <c r="N8" s="825"/>
      <c r="O8" s="825"/>
      <c r="P8" s="825"/>
      <c r="Q8" s="825"/>
      <c r="R8" s="825"/>
      <c r="S8" s="825"/>
      <c r="T8" s="1134" t="s">
        <v>1250</v>
      </c>
      <c r="U8" s="1135" t="s">
        <v>1250</v>
      </c>
      <c r="V8" s="1135" t="s">
        <v>1250</v>
      </c>
      <c r="W8" s="1135" t="s">
        <v>1251</v>
      </c>
      <c r="X8" s="1135" t="s">
        <v>1251</v>
      </c>
      <c r="Y8" s="1135" t="s">
        <v>1251</v>
      </c>
      <c r="Z8" s="1135" t="s">
        <v>1251</v>
      </c>
      <c r="AA8" s="1135" t="s">
        <v>1251</v>
      </c>
      <c r="AB8" s="1136" t="s">
        <v>1251</v>
      </c>
      <c r="AC8" s="1137" t="s">
        <v>1251</v>
      </c>
      <c r="AD8" s="825"/>
      <c r="AE8" s="825"/>
      <c r="AF8" s="825"/>
      <c r="AG8" s="825"/>
      <c r="AH8" s="825"/>
      <c r="AI8" s="825"/>
      <c r="AJ8" s="825"/>
      <c r="AK8" s="825"/>
      <c r="AL8" s="825"/>
      <c r="AM8" s="825"/>
      <c r="AN8" s="825"/>
      <c r="AO8" s="825"/>
      <c r="AP8" s="825"/>
    </row>
    <row r="9" spans="1:42">
      <c r="A9" s="825"/>
      <c r="B9" s="1138"/>
      <c r="C9" s="1138"/>
      <c r="D9" s="1133"/>
      <c r="E9" s="1133"/>
      <c r="F9" s="825" t="s">
        <v>732</v>
      </c>
      <c r="G9" s="825"/>
      <c r="H9" s="825"/>
      <c r="I9" s="825"/>
      <c r="J9" s="825"/>
      <c r="K9" s="825"/>
      <c r="L9" s="825"/>
      <c r="M9" s="825"/>
      <c r="N9" s="825"/>
      <c r="O9" s="1139">
        <v>0</v>
      </c>
      <c r="P9" s="825"/>
      <c r="Q9" s="825"/>
      <c r="R9" s="825"/>
      <c r="S9" s="1140" t="s">
        <v>733</v>
      </c>
      <c r="T9" s="24">
        <v>2022</v>
      </c>
      <c r="U9" s="25">
        <v>2023</v>
      </c>
      <c r="V9" s="25">
        <v>2024</v>
      </c>
      <c r="W9" s="25">
        <v>2025</v>
      </c>
      <c r="X9" s="25">
        <v>2026</v>
      </c>
      <c r="Y9" s="25">
        <v>2027</v>
      </c>
      <c r="Z9" s="25">
        <v>2028</v>
      </c>
      <c r="AA9" s="1141">
        <v>2029</v>
      </c>
      <c r="AB9" s="1142">
        <v>2030</v>
      </c>
      <c r="AC9" s="1143">
        <v>2031</v>
      </c>
      <c r="AD9" s="825"/>
      <c r="AE9" s="825"/>
      <c r="AF9" s="825"/>
      <c r="AG9" s="825"/>
      <c r="AH9" s="825"/>
      <c r="AI9" s="825"/>
      <c r="AJ9" s="825"/>
      <c r="AK9" s="825"/>
      <c r="AL9" s="825"/>
      <c r="AM9" s="825"/>
      <c r="AN9" s="825"/>
      <c r="AO9" s="825"/>
      <c r="AP9" s="825"/>
    </row>
    <row r="10" spans="1:42">
      <c r="A10" s="825"/>
      <c r="B10" s="1138"/>
      <c r="C10" s="1138"/>
      <c r="D10" s="825"/>
      <c r="E10" s="825"/>
      <c r="F10" s="825"/>
      <c r="G10" s="825"/>
      <c r="H10" s="825"/>
      <c r="I10" s="825"/>
      <c r="J10" s="825"/>
      <c r="K10" s="825"/>
      <c r="L10" s="825"/>
      <c r="M10" s="825"/>
      <c r="N10" s="825"/>
      <c r="O10" s="825"/>
      <c r="P10" s="825"/>
      <c r="Q10" s="825"/>
      <c r="R10" s="825"/>
      <c r="S10" s="825" t="s">
        <v>821</v>
      </c>
      <c r="T10" s="1144">
        <v>44287</v>
      </c>
      <c r="U10" s="1144">
        <v>44652</v>
      </c>
      <c r="V10" s="1144">
        <v>45017</v>
      </c>
      <c r="W10" s="1144">
        <v>45383</v>
      </c>
      <c r="X10" s="1144">
        <v>45748</v>
      </c>
      <c r="Y10" s="1144">
        <v>46113</v>
      </c>
      <c r="Z10" s="1144">
        <v>46478</v>
      </c>
      <c r="AA10" s="1144">
        <v>46844</v>
      </c>
      <c r="AB10" s="1144">
        <v>47209</v>
      </c>
      <c r="AC10" s="1144">
        <v>47574</v>
      </c>
      <c r="AD10" s="825"/>
      <c r="AE10" s="825"/>
      <c r="AF10" s="825"/>
      <c r="AG10" s="825"/>
      <c r="AH10" s="825"/>
      <c r="AI10" s="825"/>
      <c r="AJ10" s="825"/>
      <c r="AK10" s="825"/>
      <c r="AL10" s="825"/>
      <c r="AM10" s="825"/>
      <c r="AN10" s="825"/>
      <c r="AO10" s="825"/>
      <c r="AP10" s="825"/>
    </row>
    <row r="11" spans="1:42">
      <c r="A11" s="825"/>
      <c r="B11" s="825"/>
      <c r="C11" s="825"/>
      <c r="D11" s="825"/>
      <c r="E11" s="825"/>
      <c r="F11" s="825"/>
      <c r="G11" s="825"/>
      <c r="H11" s="825"/>
      <c r="I11" s="825"/>
      <c r="J11" s="825"/>
      <c r="K11" s="825"/>
      <c r="L11" s="825"/>
      <c r="M11" s="825"/>
      <c r="N11" s="825"/>
      <c r="O11" s="825"/>
      <c r="P11" s="825"/>
      <c r="Q11" s="825"/>
      <c r="R11" s="825"/>
      <c r="S11" s="825" t="s">
        <v>35</v>
      </c>
      <c r="T11" s="1144">
        <v>44651</v>
      </c>
      <c r="U11" s="1144">
        <v>45016</v>
      </c>
      <c r="V11" s="1144">
        <v>45382</v>
      </c>
      <c r="W11" s="1144">
        <v>45747</v>
      </c>
      <c r="X11" s="1144">
        <v>46112</v>
      </c>
      <c r="Y11" s="1144">
        <v>46477</v>
      </c>
      <c r="Z11" s="1144">
        <v>46843</v>
      </c>
      <c r="AA11" s="1144">
        <v>47208</v>
      </c>
      <c r="AB11" s="1144">
        <v>47573</v>
      </c>
      <c r="AC11" s="1144">
        <v>47938</v>
      </c>
      <c r="AD11" s="825"/>
      <c r="AE11" s="825"/>
      <c r="AF11" s="825"/>
      <c r="AG11" s="825"/>
      <c r="AH11" s="825"/>
      <c r="AI11" s="825"/>
      <c r="AJ11" s="825"/>
      <c r="AK11" s="825"/>
      <c r="AL11" s="825"/>
      <c r="AM11" s="825"/>
      <c r="AN11" s="825"/>
      <c r="AO11" s="825"/>
      <c r="AP11" s="825"/>
    </row>
    <row r="12" spans="1:42">
      <c r="A12" s="825"/>
      <c r="B12" s="1145" t="s">
        <v>822</v>
      </c>
      <c r="C12" s="1145"/>
      <c r="D12" s="1133" t="s">
        <v>823</v>
      </c>
      <c r="E12" s="1133"/>
      <c r="F12" s="825"/>
      <c r="G12" s="825"/>
      <c r="H12" s="825"/>
      <c r="I12" s="825"/>
      <c r="J12" s="825"/>
      <c r="K12" s="825"/>
      <c r="L12" s="825"/>
      <c r="M12" s="825"/>
      <c r="N12" s="825"/>
      <c r="O12" s="825"/>
      <c r="P12" s="825"/>
      <c r="Q12" s="825"/>
      <c r="R12" s="825"/>
      <c r="S12" s="825"/>
      <c r="T12" s="825"/>
      <c r="U12" s="825"/>
      <c r="V12" s="825"/>
      <c r="W12" s="825"/>
      <c r="X12" s="825"/>
      <c r="Y12" s="825"/>
      <c r="Z12" s="825"/>
      <c r="AA12" s="825"/>
      <c r="AB12" s="825"/>
      <c r="AC12" s="825"/>
      <c r="AD12" s="825"/>
      <c r="AE12" s="825"/>
      <c r="AF12" s="825"/>
      <c r="AG12" s="825"/>
      <c r="AH12" s="825"/>
      <c r="AI12" s="825"/>
      <c r="AJ12" s="825"/>
      <c r="AK12" s="825"/>
      <c r="AL12" s="825"/>
      <c r="AM12" s="825"/>
      <c r="AN12" s="825"/>
      <c r="AO12" s="825"/>
      <c r="AP12" s="825"/>
    </row>
    <row r="13" spans="1:42" outlineLevel="1">
      <c r="A13" s="825"/>
      <c r="B13" s="1138"/>
      <c r="C13" s="1138"/>
      <c r="D13" s="825"/>
      <c r="E13" s="825"/>
      <c r="F13" s="1146"/>
      <c r="G13" s="1146"/>
      <c r="H13" s="1146"/>
      <c r="I13" s="1146"/>
      <c r="J13" s="825"/>
      <c r="K13" s="825"/>
      <c r="L13" s="825"/>
      <c r="M13" s="825"/>
      <c r="N13" s="825"/>
      <c r="O13" s="825"/>
      <c r="P13" s="825"/>
      <c r="Q13" s="825"/>
      <c r="R13" s="825"/>
      <c r="S13" s="825"/>
      <c r="T13" s="1147" t="s">
        <v>739</v>
      </c>
      <c r="U13" s="1148" t="s">
        <v>739</v>
      </c>
      <c r="V13" s="1148" t="s">
        <v>739</v>
      </c>
      <c r="W13" s="1148" t="s">
        <v>739</v>
      </c>
      <c r="X13" s="1148" t="s">
        <v>739</v>
      </c>
      <c r="Y13" s="1148" t="s">
        <v>739</v>
      </c>
      <c r="Z13" s="1148" t="s">
        <v>739</v>
      </c>
      <c r="AA13" s="1149" t="s">
        <v>739</v>
      </c>
      <c r="AB13" s="1150" t="s">
        <v>739</v>
      </c>
      <c r="AC13" s="1148" t="s">
        <v>739</v>
      </c>
      <c r="AD13" s="825"/>
      <c r="AE13" s="825"/>
      <c r="AF13" s="825"/>
      <c r="AG13" s="825"/>
      <c r="AH13" s="825"/>
      <c r="AI13" s="825"/>
      <c r="AJ13" s="825"/>
      <c r="AK13" s="825"/>
      <c r="AL13" s="825"/>
      <c r="AM13" s="825"/>
      <c r="AN13" s="825"/>
      <c r="AO13" s="825"/>
      <c r="AP13" s="825"/>
    </row>
    <row r="14" spans="1:42" outlineLevel="1">
      <c r="A14" s="825"/>
      <c r="B14" s="1138"/>
      <c r="C14" s="1138"/>
      <c r="D14" s="825"/>
      <c r="E14" s="825"/>
      <c r="F14" s="825" t="s">
        <v>824</v>
      </c>
      <c r="G14" s="825"/>
      <c r="H14" s="825"/>
      <c r="I14" s="825"/>
      <c r="J14" s="825"/>
      <c r="K14" s="825"/>
      <c r="L14" s="825"/>
      <c r="M14" s="825"/>
      <c r="N14" s="825"/>
      <c r="O14" s="825"/>
      <c r="P14" s="825"/>
      <c r="Q14" s="825"/>
      <c r="R14" s="825"/>
      <c r="S14" s="825"/>
      <c r="T14" s="90">
        <v>-13</v>
      </c>
      <c r="U14" s="90">
        <v>-21</v>
      </c>
      <c r="V14" s="90">
        <v>-29</v>
      </c>
      <c r="W14" s="90">
        <v>-199.81253584425218</v>
      </c>
      <c r="X14" s="90">
        <v>-60</v>
      </c>
      <c r="Y14" s="90">
        <v>-60</v>
      </c>
      <c r="Z14" s="90">
        <v>-60</v>
      </c>
      <c r="AA14" s="90">
        <v>-60</v>
      </c>
      <c r="AB14" s="90">
        <v>-60</v>
      </c>
      <c r="AC14" s="90">
        <v>-60</v>
      </c>
      <c r="AD14" s="825"/>
      <c r="AE14" s="825"/>
      <c r="AF14" s="825"/>
      <c r="AG14" s="825"/>
      <c r="AH14" s="825"/>
      <c r="AI14" s="825"/>
      <c r="AJ14" s="825"/>
      <c r="AK14" s="825"/>
      <c r="AL14" s="825"/>
      <c r="AM14" s="825"/>
      <c r="AN14" s="825"/>
      <c r="AO14" s="825"/>
      <c r="AP14" s="825"/>
    </row>
    <row r="15" spans="1:42" outlineLevel="1">
      <c r="A15" s="825"/>
      <c r="B15" s="1138"/>
      <c r="C15" s="1138"/>
      <c r="D15" s="825"/>
      <c r="E15" s="825"/>
      <c r="F15" s="825" t="s">
        <v>825</v>
      </c>
      <c r="G15" s="825"/>
      <c r="H15" s="825"/>
      <c r="I15" s="825"/>
      <c r="J15" s="825"/>
      <c r="K15" s="825"/>
      <c r="L15" s="825"/>
      <c r="M15" s="825"/>
      <c r="N15" s="825"/>
      <c r="O15" s="825"/>
      <c r="P15" s="825"/>
      <c r="Q15" s="825"/>
      <c r="R15" s="825"/>
      <c r="S15" s="825"/>
      <c r="T15" s="90">
        <v>0</v>
      </c>
      <c r="U15" s="90">
        <v>0</v>
      </c>
      <c r="V15" s="90">
        <v>0</v>
      </c>
      <c r="W15" s="90">
        <v>0</v>
      </c>
      <c r="X15" s="90">
        <v>0</v>
      </c>
      <c r="Y15" s="90">
        <v>0</v>
      </c>
      <c r="Z15" s="90">
        <v>0</v>
      </c>
      <c r="AA15" s="90">
        <v>0</v>
      </c>
      <c r="AB15" s="90">
        <v>0</v>
      </c>
      <c r="AC15" s="90">
        <v>0</v>
      </c>
      <c r="AD15" s="825"/>
      <c r="AE15" s="825"/>
      <c r="AF15" s="825"/>
      <c r="AG15" s="825"/>
      <c r="AH15" s="825"/>
      <c r="AI15" s="825"/>
      <c r="AJ15" s="825"/>
      <c r="AK15" s="825"/>
      <c r="AL15" s="825"/>
      <c r="AM15" s="825"/>
      <c r="AN15" s="825"/>
      <c r="AO15" s="825"/>
      <c r="AP15" s="825"/>
    </row>
    <row r="16" spans="1:42" outlineLevel="1">
      <c r="A16" s="825"/>
      <c r="B16" s="1138"/>
      <c r="C16" s="1138"/>
      <c r="D16" s="825"/>
      <c r="E16" s="825"/>
      <c r="F16" s="825" t="s">
        <v>826</v>
      </c>
      <c r="G16" s="825"/>
      <c r="H16" s="825"/>
      <c r="I16" s="825"/>
      <c r="J16" s="825"/>
      <c r="K16" s="825"/>
      <c r="L16" s="825"/>
      <c r="M16" s="825"/>
      <c r="N16" s="825"/>
      <c r="O16" s="825"/>
      <c r="P16" s="825"/>
      <c r="Q16" s="825"/>
      <c r="R16" s="825"/>
      <c r="S16" s="825"/>
      <c r="T16" s="90">
        <v>-80</v>
      </c>
      <c r="U16" s="90">
        <v>-523</v>
      </c>
      <c r="V16" s="90">
        <v>-569</v>
      </c>
      <c r="W16" s="90">
        <v>0</v>
      </c>
      <c r="X16" s="90">
        <v>0</v>
      </c>
      <c r="Y16" s="90">
        <v>0</v>
      </c>
      <c r="Z16" s="90">
        <v>0</v>
      </c>
      <c r="AA16" s="90">
        <v>0</v>
      </c>
      <c r="AB16" s="90">
        <v>0</v>
      </c>
      <c r="AC16" s="90">
        <v>0</v>
      </c>
      <c r="AD16" s="825"/>
      <c r="AE16" s="825"/>
      <c r="AF16" s="825"/>
      <c r="AG16" s="825"/>
      <c r="AH16" s="825"/>
      <c r="AI16" s="825"/>
      <c r="AJ16" s="825"/>
      <c r="AK16" s="825"/>
      <c r="AL16" s="825"/>
      <c r="AM16" s="825"/>
      <c r="AN16" s="825"/>
      <c r="AO16" s="825"/>
      <c r="AP16" s="825"/>
    </row>
    <row r="17" spans="1:42" outlineLevel="1">
      <c r="A17" s="825"/>
      <c r="B17" s="1138"/>
      <c r="C17" s="1138"/>
      <c r="D17" s="825"/>
      <c r="E17" s="825"/>
      <c r="F17" s="825" t="s">
        <v>827</v>
      </c>
      <c r="G17" s="825"/>
      <c r="H17" s="825"/>
      <c r="I17" s="825"/>
      <c r="J17" s="825"/>
      <c r="K17" s="825"/>
      <c r="L17" s="825"/>
      <c r="M17" s="825"/>
      <c r="N17" s="825"/>
      <c r="O17" s="825"/>
      <c r="P17" s="825"/>
      <c r="Q17" s="825"/>
      <c r="R17" s="825"/>
      <c r="S17" s="825"/>
      <c r="T17" s="90">
        <v>1</v>
      </c>
      <c r="U17" s="90">
        <v>0</v>
      </c>
      <c r="V17" s="90">
        <v>0</v>
      </c>
      <c r="W17" s="90">
        <v>0</v>
      </c>
      <c r="X17" s="90">
        <v>0</v>
      </c>
      <c r="Y17" s="90">
        <v>0</v>
      </c>
      <c r="Z17" s="90">
        <v>0</v>
      </c>
      <c r="AA17" s="90">
        <v>0</v>
      </c>
      <c r="AB17" s="90">
        <v>0</v>
      </c>
      <c r="AC17" s="90">
        <v>0</v>
      </c>
      <c r="AD17" s="825"/>
      <c r="AE17" s="825"/>
      <c r="AF17" s="825"/>
      <c r="AG17" s="825"/>
      <c r="AH17" s="825"/>
      <c r="AI17" s="825"/>
      <c r="AJ17" s="825"/>
      <c r="AK17" s="825"/>
      <c r="AL17" s="825"/>
      <c r="AM17" s="825"/>
      <c r="AN17" s="825"/>
      <c r="AO17" s="825"/>
      <c r="AP17" s="825"/>
    </row>
    <row r="18" spans="1:42" outlineLevel="1">
      <c r="A18" s="825"/>
      <c r="B18" s="1138"/>
      <c r="C18" s="1138"/>
      <c r="D18" s="825"/>
      <c r="E18" s="825"/>
      <c r="F18" s="825" t="s">
        <v>828</v>
      </c>
      <c r="G18" s="825"/>
      <c r="H18" s="825"/>
      <c r="I18" s="825"/>
      <c r="J18" s="825"/>
      <c r="K18" s="825"/>
      <c r="L18" s="825"/>
      <c r="M18" s="825"/>
      <c r="N18" s="825"/>
      <c r="O18" s="825"/>
      <c r="P18" s="825"/>
      <c r="Q18" s="825"/>
      <c r="R18" s="825"/>
      <c r="S18" s="825"/>
      <c r="T18" s="90">
        <v>0</v>
      </c>
      <c r="U18" s="90">
        <v>0</v>
      </c>
      <c r="V18" s="90">
        <v>0</v>
      </c>
      <c r="W18" s="90">
        <v>0</v>
      </c>
      <c r="X18" s="90">
        <v>0</v>
      </c>
      <c r="Y18" s="90">
        <v>0</v>
      </c>
      <c r="Z18" s="90">
        <v>0</v>
      </c>
      <c r="AA18" s="90">
        <v>0</v>
      </c>
      <c r="AB18" s="90">
        <v>0</v>
      </c>
      <c r="AC18" s="90">
        <v>0</v>
      </c>
      <c r="AD18" s="825"/>
      <c r="AE18" s="825"/>
      <c r="AF18" s="825"/>
      <c r="AG18" s="825"/>
      <c r="AH18" s="825"/>
      <c r="AI18" s="825"/>
      <c r="AJ18" s="825"/>
      <c r="AK18" s="825"/>
      <c r="AL18" s="825"/>
      <c r="AM18" s="825"/>
      <c r="AN18" s="825"/>
      <c r="AO18" s="825"/>
      <c r="AP18" s="825"/>
    </row>
    <row r="19" spans="1:42" outlineLevel="1">
      <c r="A19" s="825"/>
      <c r="B19" s="1138"/>
      <c r="C19" s="1138"/>
      <c r="D19" s="825"/>
      <c r="E19" s="825"/>
      <c r="F19" s="825" t="s">
        <v>829</v>
      </c>
      <c r="G19" s="825"/>
      <c r="H19" s="825"/>
      <c r="I19" s="825"/>
      <c r="J19" s="825"/>
      <c r="K19" s="825"/>
      <c r="L19" s="825"/>
      <c r="M19" s="825"/>
      <c r="N19" s="825"/>
      <c r="O19" s="825"/>
      <c r="P19" s="825"/>
      <c r="Q19" s="825"/>
      <c r="R19" s="825"/>
      <c r="S19" s="825"/>
      <c r="T19" s="90">
        <v>0</v>
      </c>
      <c r="U19" s="90">
        <v>0</v>
      </c>
      <c r="V19" s="90">
        <v>0</v>
      </c>
      <c r="W19" s="90">
        <v>0</v>
      </c>
      <c r="X19" s="90">
        <v>0</v>
      </c>
      <c r="Y19" s="90">
        <v>0</v>
      </c>
      <c r="Z19" s="90">
        <v>0</v>
      </c>
      <c r="AA19" s="90">
        <v>0</v>
      </c>
      <c r="AB19" s="90">
        <v>0</v>
      </c>
      <c r="AC19" s="90">
        <v>0</v>
      </c>
      <c r="AD19" s="825"/>
      <c r="AE19" s="825"/>
      <c r="AF19" s="825"/>
      <c r="AG19" s="825"/>
      <c r="AH19" s="825"/>
      <c r="AI19" s="825"/>
      <c r="AJ19" s="825"/>
      <c r="AK19" s="825"/>
      <c r="AL19" s="825"/>
      <c r="AM19" s="825"/>
      <c r="AN19" s="825"/>
      <c r="AO19" s="825"/>
      <c r="AP19" s="825"/>
    </row>
    <row r="20" spans="1:42" ht="12.75" customHeight="1" outlineLevel="1">
      <c r="A20" s="825"/>
      <c r="B20" s="1138"/>
      <c r="C20" s="1138"/>
      <c r="D20" s="825"/>
      <c r="E20" s="825"/>
      <c r="F20" s="1166" t="s">
        <v>830</v>
      </c>
      <c r="G20" s="1167"/>
      <c r="H20" s="1168"/>
      <c r="I20" s="1168"/>
      <c r="J20" s="1169"/>
      <c r="K20" s="1151"/>
      <c r="L20" s="1151"/>
      <c r="M20" s="1151"/>
      <c r="N20" s="1151"/>
      <c r="O20" s="1151"/>
      <c r="P20" s="825"/>
      <c r="Q20" s="1151"/>
      <c r="R20" s="1151"/>
      <c r="S20" s="1151"/>
      <c r="T20" s="90">
        <v>0</v>
      </c>
      <c r="U20" s="90">
        <v>0</v>
      </c>
      <c r="V20" s="90">
        <v>0</v>
      </c>
      <c r="W20" s="90">
        <v>0</v>
      </c>
      <c r="X20" s="90">
        <v>0</v>
      </c>
      <c r="Y20" s="90">
        <v>0</v>
      </c>
      <c r="Z20" s="90">
        <v>0</v>
      </c>
      <c r="AA20" s="90">
        <v>0</v>
      </c>
      <c r="AB20" s="90">
        <v>0</v>
      </c>
      <c r="AC20" s="90">
        <v>0</v>
      </c>
      <c r="AD20" s="825"/>
      <c r="AE20" s="825"/>
      <c r="AF20" s="825"/>
      <c r="AG20" s="825"/>
      <c r="AH20" s="825"/>
      <c r="AI20" s="825"/>
      <c r="AJ20" s="825"/>
      <c r="AK20" s="825"/>
      <c r="AL20" s="825"/>
      <c r="AM20" s="825"/>
      <c r="AN20" s="825"/>
      <c r="AO20" s="825"/>
      <c r="AP20" s="825"/>
    </row>
    <row r="21" spans="1:42" ht="12.75" customHeight="1" outlineLevel="1">
      <c r="A21" s="825"/>
      <c r="B21" s="1138"/>
      <c r="C21" s="1138"/>
      <c r="D21" s="825"/>
      <c r="E21" s="825"/>
      <c r="F21" s="1166" t="s">
        <v>831</v>
      </c>
      <c r="G21" s="1167"/>
      <c r="H21" s="1168"/>
      <c r="I21" s="1168"/>
      <c r="J21" s="1169"/>
      <c r="K21" s="1151"/>
      <c r="L21" s="1151"/>
      <c r="M21" s="1151"/>
      <c r="N21" s="1151"/>
      <c r="O21" s="1151"/>
      <c r="P21" s="825"/>
      <c r="Q21" s="1151"/>
      <c r="R21" s="1151"/>
      <c r="S21" s="1151"/>
      <c r="T21" s="90">
        <v>0</v>
      </c>
      <c r="U21" s="90">
        <v>0</v>
      </c>
      <c r="V21" s="90">
        <v>0</v>
      </c>
      <c r="W21" s="90">
        <v>0</v>
      </c>
      <c r="X21" s="90">
        <v>0</v>
      </c>
      <c r="Y21" s="90">
        <v>0</v>
      </c>
      <c r="Z21" s="90">
        <v>0</v>
      </c>
      <c r="AA21" s="90">
        <v>0</v>
      </c>
      <c r="AB21" s="90">
        <v>0</v>
      </c>
      <c r="AC21" s="90">
        <v>0</v>
      </c>
      <c r="AD21" s="825"/>
      <c r="AE21" s="825"/>
      <c r="AF21" s="825"/>
      <c r="AG21" s="825"/>
      <c r="AH21" s="825"/>
      <c r="AI21" s="825"/>
      <c r="AJ21" s="825"/>
      <c r="AK21" s="825"/>
      <c r="AL21" s="825"/>
      <c r="AM21" s="825"/>
      <c r="AN21" s="825"/>
      <c r="AO21" s="825"/>
      <c r="AP21" s="825"/>
    </row>
    <row r="22" spans="1:42" ht="12.75" customHeight="1" outlineLevel="1">
      <c r="A22" s="825"/>
      <c r="B22" s="1138"/>
      <c r="C22" s="1138"/>
      <c r="D22" s="825"/>
      <c r="E22" s="825"/>
      <c r="F22" s="1166" t="s">
        <v>832</v>
      </c>
      <c r="G22" s="1167"/>
      <c r="H22" s="1168"/>
      <c r="I22" s="1168"/>
      <c r="J22" s="1169"/>
      <c r="K22" s="1151"/>
      <c r="L22" s="1151"/>
      <c r="M22" s="1151"/>
      <c r="N22" s="1151"/>
      <c r="O22" s="1151"/>
      <c r="P22" s="825"/>
      <c r="Q22" s="1151"/>
      <c r="R22" s="1151"/>
      <c r="S22" s="1151"/>
      <c r="T22" s="90">
        <v>0</v>
      </c>
      <c r="U22" s="90">
        <v>0</v>
      </c>
      <c r="V22" s="90">
        <v>0</v>
      </c>
      <c r="W22" s="90">
        <v>0</v>
      </c>
      <c r="X22" s="90">
        <v>0</v>
      </c>
      <c r="Y22" s="90">
        <v>0</v>
      </c>
      <c r="Z22" s="90">
        <v>0</v>
      </c>
      <c r="AA22" s="90">
        <v>0</v>
      </c>
      <c r="AB22" s="90">
        <v>0</v>
      </c>
      <c r="AC22" s="90">
        <v>0</v>
      </c>
      <c r="AD22" s="825"/>
      <c r="AE22" s="825"/>
      <c r="AF22" s="825"/>
      <c r="AG22" s="825"/>
      <c r="AH22" s="825"/>
      <c r="AI22" s="825"/>
      <c r="AJ22" s="825"/>
      <c r="AK22" s="825"/>
      <c r="AL22" s="825"/>
      <c r="AM22" s="825"/>
      <c r="AN22" s="825"/>
      <c r="AO22" s="825"/>
      <c r="AP22" s="825"/>
    </row>
    <row r="23" spans="1:42" ht="12.75" customHeight="1" outlineLevel="1">
      <c r="A23" s="825"/>
      <c r="B23" s="1138"/>
      <c r="C23" s="1138"/>
      <c r="D23" s="825"/>
      <c r="E23" s="825"/>
      <c r="F23" s="1166" t="s">
        <v>833</v>
      </c>
      <c r="G23" s="1167"/>
      <c r="H23" s="1168"/>
      <c r="I23" s="1168"/>
      <c r="J23" s="1169"/>
      <c r="K23" s="1151"/>
      <c r="L23" s="1151"/>
      <c r="M23" s="1151"/>
      <c r="N23" s="1151"/>
      <c r="O23" s="1151"/>
      <c r="P23" s="825"/>
      <c r="Q23" s="1151"/>
      <c r="R23" s="1151"/>
      <c r="S23" s="1151"/>
      <c r="T23" s="90">
        <v>0</v>
      </c>
      <c r="U23" s="90">
        <v>0</v>
      </c>
      <c r="V23" s="90">
        <v>0</v>
      </c>
      <c r="W23" s="90">
        <v>0</v>
      </c>
      <c r="X23" s="90">
        <v>0</v>
      </c>
      <c r="Y23" s="90">
        <v>0</v>
      </c>
      <c r="Z23" s="90">
        <v>0</v>
      </c>
      <c r="AA23" s="90">
        <v>0</v>
      </c>
      <c r="AB23" s="90">
        <v>0</v>
      </c>
      <c r="AC23" s="90">
        <v>0</v>
      </c>
      <c r="AD23" s="825"/>
      <c r="AE23" s="825"/>
      <c r="AF23" s="825"/>
      <c r="AG23" s="825"/>
      <c r="AH23" s="825"/>
      <c r="AI23" s="825"/>
      <c r="AJ23" s="825"/>
      <c r="AK23" s="825"/>
      <c r="AL23" s="825"/>
      <c r="AM23" s="825"/>
      <c r="AN23" s="825"/>
      <c r="AO23" s="825"/>
      <c r="AP23" s="825"/>
    </row>
    <row r="24" spans="1:42" ht="12.75" customHeight="1" outlineLevel="1">
      <c r="A24" s="825"/>
      <c r="B24" s="1138"/>
      <c r="C24" s="1138"/>
      <c r="D24" s="825"/>
      <c r="E24" s="825"/>
      <c r="F24" s="1166" t="s">
        <v>834</v>
      </c>
      <c r="G24" s="1167"/>
      <c r="H24" s="1168"/>
      <c r="I24" s="1168"/>
      <c r="J24" s="1169"/>
      <c r="K24" s="1151"/>
      <c r="L24" s="1151"/>
      <c r="M24" s="1151"/>
      <c r="N24" s="1151"/>
      <c r="O24" s="1151"/>
      <c r="P24" s="825"/>
      <c r="Q24" s="1151"/>
      <c r="R24" s="1151"/>
      <c r="S24" s="1151"/>
      <c r="T24" s="90">
        <v>0</v>
      </c>
      <c r="U24" s="90">
        <v>0</v>
      </c>
      <c r="V24" s="90">
        <v>0</v>
      </c>
      <c r="W24" s="90">
        <v>0</v>
      </c>
      <c r="X24" s="90">
        <v>0</v>
      </c>
      <c r="Y24" s="90">
        <v>0</v>
      </c>
      <c r="Z24" s="90">
        <v>0</v>
      </c>
      <c r="AA24" s="90">
        <v>0</v>
      </c>
      <c r="AB24" s="90">
        <v>0</v>
      </c>
      <c r="AC24" s="90">
        <v>0</v>
      </c>
      <c r="AD24" s="825"/>
      <c r="AE24" s="825"/>
      <c r="AF24" s="825"/>
      <c r="AG24" s="825"/>
      <c r="AH24" s="825"/>
      <c r="AI24" s="825"/>
      <c r="AJ24" s="825"/>
      <c r="AK24" s="825"/>
      <c r="AL24" s="825"/>
      <c r="AM24" s="825"/>
      <c r="AN24" s="825"/>
      <c r="AO24" s="825"/>
      <c r="AP24" s="825"/>
    </row>
    <row r="25" spans="1:42" ht="12.75" customHeight="1" outlineLevel="1">
      <c r="A25" s="825"/>
      <c r="B25" s="1138"/>
      <c r="C25" s="1138"/>
      <c r="D25" s="825"/>
      <c r="E25" s="825"/>
      <c r="F25" s="1166" t="s">
        <v>835</v>
      </c>
      <c r="G25" s="1167"/>
      <c r="H25" s="1168"/>
      <c r="I25" s="1168"/>
      <c r="J25" s="1169"/>
      <c r="K25" s="1151"/>
      <c r="L25" s="1151"/>
      <c r="M25" s="1151"/>
      <c r="N25" s="1151"/>
      <c r="O25" s="1151"/>
      <c r="P25" s="825"/>
      <c r="Q25" s="1151"/>
      <c r="R25" s="1151"/>
      <c r="S25" s="1151"/>
      <c r="T25" s="90">
        <v>0</v>
      </c>
      <c r="U25" s="90">
        <v>0</v>
      </c>
      <c r="V25" s="90">
        <v>0</v>
      </c>
      <c r="W25" s="90">
        <v>0</v>
      </c>
      <c r="X25" s="90">
        <v>0</v>
      </c>
      <c r="Y25" s="90">
        <v>0</v>
      </c>
      <c r="Z25" s="90">
        <v>0</v>
      </c>
      <c r="AA25" s="90">
        <v>0</v>
      </c>
      <c r="AB25" s="90">
        <v>0</v>
      </c>
      <c r="AC25" s="90">
        <v>0</v>
      </c>
      <c r="AD25" s="825"/>
      <c r="AE25" s="825"/>
      <c r="AF25" s="825"/>
      <c r="AG25" s="825"/>
      <c r="AH25" s="825"/>
      <c r="AI25" s="825"/>
      <c r="AJ25" s="825"/>
      <c r="AK25" s="825"/>
      <c r="AL25" s="825"/>
      <c r="AM25" s="825"/>
      <c r="AN25" s="825"/>
      <c r="AO25" s="825"/>
      <c r="AP25" s="825"/>
    </row>
    <row r="26" spans="1:42" ht="12.75" customHeight="1" outlineLevel="1">
      <c r="A26" s="825"/>
      <c r="B26" s="1138"/>
      <c r="C26" s="1138"/>
      <c r="D26" s="825"/>
      <c r="E26" s="825"/>
      <c r="F26" s="1166" t="s">
        <v>836</v>
      </c>
      <c r="G26" s="1167"/>
      <c r="H26" s="1168"/>
      <c r="I26" s="1168"/>
      <c r="J26" s="1169"/>
      <c r="K26" s="1151"/>
      <c r="L26" s="1151"/>
      <c r="M26" s="1151"/>
      <c r="N26" s="1151"/>
      <c r="O26" s="1151"/>
      <c r="P26" s="825"/>
      <c r="Q26" s="1151"/>
      <c r="R26" s="1151"/>
      <c r="S26" s="1151"/>
      <c r="T26" s="90">
        <v>0</v>
      </c>
      <c r="U26" s="90">
        <v>0</v>
      </c>
      <c r="V26" s="90">
        <v>0</v>
      </c>
      <c r="W26" s="90">
        <v>0</v>
      </c>
      <c r="X26" s="90">
        <v>0</v>
      </c>
      <c r="Y26" s="90">
        <v>0</v>
      </c>
      <c r="Z26" s="90">
        <v>0</v>
      </c>
      <c r="AA26" s="90">
        <v>0</v>
      </c>
      <c r="AB26" s="90">
        <v>0</v>
      </c>
      <c r="AC26" s="90">
        <v>0</v>
      </c>
      <c r="AD26" s="825"/>
      <c r="AE26" s="825"/>
      <c r="AF26" s="825"/>
      <c r="AG26" s="825"/>
      <c r="AH26" s="825"/>
      <c r="AI26" s="825"/>
      <c r="AJ26" s="825"/>
      <c r="AK26" s="825"/>
      <c r="AL26" s="825"/>
      <c r="AM26" s="825"/>
      <c r="AN26" s="825"/>
      <c r="AO26" s="825"/>
      <c r="AP26" s="825"/>
    </row>
    <row r="27" spans="1:42" ht="12.75" customHeight="1" outlineLevel="1">
      <c r="A27" s="825"/>
      <c r="B27" s="1138"/>
      <c r="C27" s="1138"/>
      <c r="D27" s="825"/>
      <c r="E27" s="825"/>
      <c r="F27" s="1166" t="s">
        <v>837</v>
      </c>
      <c r="G27" s="1167"/>
      <c r="H27" s="1168"/>
      <c r="I27" s="1168"/>
      <c r="J27" s="1169"/>
      <c r="K27" s="1151"/>
      <c r="L27" s="1151"/>
      <c r="M27" s="1151"/>
      <c r="N27" s="1151"/>
      <c r="O27" s="1151"/>
      <c r="P27" s="825"/>
      <c r="Q27" s="1151"/>
      <c r="R27" s="1151"/>
      <c r="S27" s="1151"/>
      <c r="T27" s="90">
        <v>0</v>
      </c>
      <c r="U27" s="90">
        <v>0</v>
      </c>
      <c r="V27" s="90">
        <v>0</v>
      </c>
      <c r="W27" s="90">
        <v>0</v>
      </c>
      <c r="X27" s="90">
        <v>0</v>
      </c>
      <c r="Y27" s="90">
        <v>0</v>
      </c>
      <c r="Z27" s="90">
        <v>0</v>
      </c>
      <c r="AA27" s="90">
        <v>0</v>
      </c>
      <c r="AB27" s="90">
        <v>0</v>
      </c>
      <c r="AC27" s="90">
        <v>0</v>
      </c>
      <c r="AD27" s="825"/>
      <c r="AE27" s="825"/>
      <c r="AF27" s="825"/>
      <c r="AG27" s="825"/>
      <c r="AH27" s="825"/>
      <c r="AI27" s="825"/>
      <c r="AJ27" s="825"/>
      <c r="AK27" s="825"/>
      <c r="AL27" s="825"/>
      <c r="AM27" s="825"/>
      <c r="AN27" s="825"/>
      <c r="AO27" s="825"/>
      <c r="AP27" s="825"/>
    </row>
    <row r="28" spans="1:42" ht="12.75" customHeight="1" outlineLevel="1">
      <c r="A28" s="825"/>
      <c r="B28" s="1138"/>
      <c r="C28" s="1138"/>
      <c r="D28" s="825"/>
      <c r="E28" s="825"/>
      <c r="F28" s="1166" t="s">
        <v>655</v>
      </c>
      <c r="G28" s="1167"/>
      <c r="H28" s="1168"/>
      <c r="I28" s="1168"/>
      <c r="J28" s="1169"/>
      <c r="K28" s="1151"/>
      <c r="L28" s="1151"/>
      <c r="M28" s="1151"/>
      <c r="N28" s="1151"/>
      <c r="O28" s="1151"/>
      <c r="P28" s="825"/>
      <c r="Q28" s="1151"/>
      <c r="R28" s="1151"/>
      <c r="S28" s="1151"/>
      <c r="T28" s="90">
        <v>0</v>
      </c>
      <c r="U28" s="90">
        <v>0</v>
      </c>
      <c r="V28" s="90">
        <v>0</v>
      </c>
      <c r="W28" s="90">
        <v>0</v>
      </c>
      <c r="X28" s="90">
        <v>0</v>
      </c>
      <c r="Y28" s="90">
        <v>0</v>
      </c>
      <c r="Z28" s="90">
        <v>0</v>
      </c>
      <c r="AA28" s="90">
        <v>0</v>
      </c>
      <c r="AB28" s="90">
        <v>0</v>
      </c>
      <c r="AC28" s="90">
        <v>0</v>
      </c>
      <c r="AD28" s="825"/>
      <c r="AE28" s="825"/>
      <c r="AF28" s="825"/>
      <c r="AG28" s="825"/>
      <c r="AH28" s="825"/>
      <c r="AI28" s="825"/>
      <c r="AJ28" s="825"/>
      <c r="AK28" s="825"/>
      <c r="AL28" s="825"/>
      <c r="AM28" s="825"/>
      <c r="AN28" s="825"/>
      <c r="AO28" s="825"/>
      <c r="AP28" s="825"/>
    </row>
    <row r="29" spans="1:42" ht="12.75" customHeight="1" outlineLevel="1">
      <c r="A29" s="825"/>
      <c r="B29" s="1138"/>
      <c r="C29" s="1138"/>
      <c r="D29" s="825"/>
      <c r="E29" s="825"/>
      <c r="F29" s="1166" t="s">
        <v>656</v>
      </c>
      <c r="G29" s="1167"/>
      <c r="H29" s="1168"/>
      <c r="I29" s="1168"/>
      <c r="J29" s="1169"/>
      <c r="K29" s="1151"/>
      <c r="L29" s="1151"/>
      <c r="M29" s="1151"/>
      <c r="N29" s="1151"/>
      <c r="O29" s="1151"/>
      <c r="P29" s="825"/>
      <c r="Q29" s="1151"/>
      <c r="R29" s="1151"/>
      <c r="S29" s="1151"/>
      <c r="T29" s="90">
        <v>0</v>
      </c>
      <c r="U29" s="90">
        <v>0</v>
      </c>
      <c r="V29" s="90">
        <v>0</v>
      </c>
      <c r="W29" s="90">
        <v>0</v>
      </c>
      <c r="X29" s="90">
        <v>0</v>
      </c>
      <c r="Y29" s="90">
        <v>0</v>
      </c>
      <c r="Z29" s="90">
        <v>0</v>
      </c>
      <c r="AA29" s="90">
        <v>0</v>
      </c>
      <c r="AB29" s="90">
        <v>0</v>
      </c>
      <c r="AC29" s="90">
        <v>0</v>
      </c>
      <c r="AD29" s="825"/>
      <c r="AE29" s="825"/>
      <c r="AF29" s="825"/>
      <c r="AG29" s="825"/>
      <c r="AH29" s="825"/>
      <c r="AI29" s="825"/>
      <c r="AJ29" s="825"/>
      <c r="AK29" s="825"/>
      <c r="AL29" s="825"/>
      <c r="AM29" s="825"/>
      <c r="AN29" s="825"/>
      <c r="AO29" s="825"/>
      <c r="AP29" s="825"/>
    </row>
    <row r="30" spans="1:42">
      <c r="A30" s="1152"/>
      <c r="B30" s="1138"/>
      <c r="C30" s="1138"/>
      <c r="D30" s="825"/>
      <c r="E30" s="825"/>
      <c r="F30" s="825"/>
      <c r="G30" s="825"/>
      <c r="H30" s="825"/>
      <c r="I30" s="825"/>
      <c r="J30" s="825"/>
      <c r="K30" s="825"/>
      <c r="L30" s="825"/>
      <c r="M30" s="825"/>
      <c r="N30" s="825"/>
      <c r="O30" s="825"/>
      <c r="P30" s="825"/>
      <c r="Q30" s="825"/>
      <c r="R30" s="825"/>
      <c r="S30" s="1153" t="s">
        <v>838</v>
      </c>
      <c r="T30" s="705">
        <v>-92</v>
      </c>
      <c r="U30" s="705">
        <v>-544</v>
      </c>
      <c r="V30" s="705">
        <v>-598</v>
      </c>
      <c r="W30" s="705">
        <v>-199.81253584425218</v>
      </c>
      <c r="X30" s="705">
        <v>-60</v>
      </c>
      <c r="Y30" s="705">
        <v>-60</v>
      </c>
      <c r="Z30" s="705">
        <v>-60</v>
      </c>
      <c r="AA30" s="705">
        <v>-60</v>
      </c>
      <c r="AB30" s="705">
        <v>-60</v>
      </c>
      <c r="AC30" s="705">
        <v>-60</v>
      </c>
      <c r="AD30" s="825"/>
      <c r="AE30" s="825"/>
      <c r="AF30" s="825"/>
      <c r="AG30" s="825"/>
      <c r="AH30" s="825"/>
      <c r="AI30" s="825"/>
      <c r="AJ30" s="825"/>
      <c r="AK30" s="825"/>
      <c r="AL30" s="825"/>
      <c r="AM30" s="825"/>
      <c r="AN30" s="825"/>
      <c r="AO30" s="825"/>
      <c r="AP30" s="825"/>
    </row>
    <row r="31" spans="1:42">
      <c r="A31" s="825"/>
      <c r="B31" s="1145"/>
      <c r="C31" s="1145"/>
      <c r="D31" s="1133"/>
      <c r="E31" s="1133"/>
      <c r="F31" s="1133"/>
      <c r="G31" s="1133"/>
      <c r="H31" s="1133"/>
      <c r="I31" s="1133"/>
      <c r="J31" s="825"/>
      <c r="K31" s="825"/>
      <c r="L31" s="1133" t="s">
        <v>735</v>
      </c>
      <c r="M31" s="825"/>
      <c r="N31" s="825"/>
      <c r="O31" s="1133" t="s">
        <v>839</v>
      </c>
      <c r="P31" s="825"/>
      <c r="Q31" s="825"/>
      <c r="R31" s="825"/>
      <c r="S31" s="825"/>
      <c r="T31" s="825"/>
      <c r="U31" s="825"/>
      <c r="V31" s="825"/>
      <c r="W31" s="825"/>
      <c r="X31" s="825"/>
      <c r="Y31" s="825"/>
      <c r="Z31" s="825"/>
      <c r="AA31" s="825"/>
      <c r="AB31" s="835"/>
      <c r="AC31" s="825"/>
      <c r="AD31" s="825"/>
      <c r="AE31" s="825"/>
      <c r="AF31" s="825"/>
      <c r="AG31" s="825"/>
      <c r="AH31" s="825"/>
      <c r="AI31" s="825"/>
      <c r="AJ31" s="825"/>
      <c r="AK31" s="825"/>
      <c r="AL31" s="825"/>
      <c r="AM31" s="825"/>
      <c r="AN31" s="825"/>
      <c r="AO31" s="825"/>
      <c r="AP31" s="825"/>
    </row>
    <row r="32" spans="1:42" outlineLevel="1">
      <c r="A32" s="1152"/>
      <c r="B32" s="1145" t="s">
        <v>840</v>
      </c>
      <c r="C32" s="1145"/>
      <c r="D32" s="1133" t="s">
        <v>841</v>
      </c>
      <c r="E32" s="825"/>
      <c r="F32" s="1133"/>
      <c r="G32" s="1133"/>
      <c r="H32" s="1133"/>
      <c r="I32" s="1133"/>
      <c r="J32" s="825"/>
      <c r="K32" s="825"/>
      <c r="L32" s="1154" t="s">
        <v>176</v>
      </c>
      <c r="M32" s="1154"/>
      <c r="N32" s="1154"/>
      <c r="O32" s="1153" t="s">
        <v>842</v>
      </c>
      <c r="P32" s="825"/>
      <c r="Q32" s="825"/>
      <c r="R32" s="825"/>
      <c r="S32" s="1153" t="s">
        <v>843</v>
      </c>
      <c r="T32" s="705">
        <v>0</v>
      </c>
      <c r="U32" s="706">
        <v>0</v>
      </c>
      <c r="V32" s="706">
        <v>0</v>
      </c>
      <c r="W32" s="706">
        <v>0</v>
      </c>
      <c r="X32" s="706">
        <v>0</v>
      </c>
      <c r="Y32" s="706">
        <v>0</v>
      </c>
      <c r="Z32" s="706">
        <v>0</v>
      </c>
      <c r="AA32" s="707">
        <v>0</v>
      </c>
      <c r="AB32" s="808">
        <v>0</v>
      </c>
      <c r="AC32" s="706">
        <v>0</v>
      </c>
      <c r="AD32" s="825"/>
      <c r="AE32" s="825"/>
      <c r="AF32" s="825"/>
      <c r="AG32" s="825"/>
      <c r="AH32" s="825"/>
      <c r="AI32" s="825"/>
      <c r="AJ32" s="825"/>
      <c r="AK32" s="825"/>
      <c r="AL32" s="825"/>
      <c r="AM32" s="825"/>
      <c r="AN32" s="825"/>
      <c r="AO32" s="825"/>
      <c r="AP32" s="825"/>
    </row>
    <row r="33" spans="1:42">
      <c r="A33" s="825"/>
      <c r="B33" s="1145" t="s">
        <v>844</v>
      </c>
      <c r="C33" s="1138"/>
      <c r="D33" s="1133" t="s">
        <v>845</v>
      </c>
      <c r="E33" s="825"/>
      <c r="F33" s="1133"/>
      <c r="G33" s="1133"/>
      <c r="H33" s="1133"/>
      <c r="I33" s="1133"/>
      <c r="J33" s="825"/>
      <c r="K33" s="825"/>
      <c r="L33" s="1154" t="s">
        <v>186</v>
      </c>
      <c r="M33" s="1154"/>
      <c r="N33" s="1154"/>
      <c r="O33" s="1153" t="s">
        <v>842</v>
      </c>
      <c r="P33" s="825"/>
      <c r="Q33" s="825"/>
      <c r="R33" s="825"/>
      <c r="S33" s="1153" t="s">
        <v>846</v>
      </c>
      <c r="T33" s="705">
        <v>921.75888442691485</v>
      </c>
      <c r="U33" s="706">
        <v>991.7208878156041</v>
      </c>
      <c r="V33" s="706">
        <v>754.20039696012509</v>
      </c>
      <c r="W33" s="706">
        <v>550</v>
      </c>
      <c r="X33" s="706">
        <v>550</v>
      </c>
      <c r="Y33" s="706">
        <v>150</v>
      </c>
      <c r="Z33" s="706">
        <v>150</v>
      </c>
      <c r="AA33" s="707">
        <v>150</v>
      </c>
      <c r="AB33" s="808">
        <v>150</v>
      </c>
      <c r="AC33" s="706">
        <v>0</v>
      </c>
      <c r="AD33" s="825"/>
      <c r="AE33" s="825"/>
      <c r="AF33" s="825"/>
      <c r="AG33" s="825"/>
      <c r="AH33" s="825"/>
      <c r="AI33" s="825"/>
      <c r="AJ33" s="825"/>
      <c r="AK33" s="825"/>
      <c r="AL33" s="825"/>
      <c r="AM33" s="825"/>
      <c r="AN33" s="825"/>
      <c r="AO33" s="825"/>
      <c r="AP33" s="825"/>
    </row>
    <row r="34" spans="1:42">
      <c r="A34" s="825"/>
      <c r="B34" s="1145" t="s">
        <v>847</v>
      </c>
      <c r="C34" s="1138"/>
      <c r="D34" s="1133" t="s">
        <v>848</v>
      </c>
      <c r="E34" s="825"/>
      <c r="F34" s="1133"/>
      <c r="G34" s="1138"/>
      <c r="H34" s="1138"/>
      <c r="I34" s="825"/>
      <c r="J34" s="825"/>
      <c r="K34" s="825"/>
      <c r="L34" s="1154" t="s">
        <v>196</v>
      </c>
      <c r="M34" s="1154"/>
      <c r="N34" s="1154"/>
      <c r="O34" s="1153" t="s">
        <v>842</v>
      </c>
      <c r="P34" s="825"/>
      <c r="Q34" s="825"/>
      <c r="R34" s="825"/>
      <c r="S34" s="1153" t="s">
        <v>849</v>
      </c>
      <c r="T34" s="705">
        <v>0</v>
      </c>
      <c r="U34" s="706">
        <v>0</v>
      </c>
      <c r="V34" s="706">
        <v>0</v>
      </c>
      <c r="W34" s="706">
        <v>0</v>
      </c>
      <c r="X34" s="706">
        <v>0</v>
      </c>
      <c r="Y34" s="706">
        <v>0</v>
      </c>
      <c r="Z34" s="706">
        <v>0</v>
      </c>
      <c r="AA34" s="707">
        <v>0</v>
      </c>
      <c r="AB34" s="808">
        <v>0</v>
      </c>
      <c r="AC34" s="706">
        <v>0</v>
      </c>
      <c r="AD34" s="825"/>
      <c r="AE34" s="825"/>
      <c r="AF34" s="825"/>
      <c r="AG34" s="825"/>
      <c r="AH34" s="825"/>
      <c r="AI34" s="825"/>
      <c r="AJ34" s="825"/>
      <c r="AK34" s="825"/>
      <c r="AL34" s="825"/>
      <c r="AM34" s="825"/>
      <c r="AN34" s="825"/>
      <c r="AO34" s="825"/>
      <c r="AP34" s="825"/>
    </row>
    <row r="35" spans="1:42">
      <c r="A35" s="825"/>
      <c r="B35" s="1145" t="s">
        <v>850</v>
      </c>
      <c r="C35" s="1145"/>
      <c r="D35" s="1133" t="s">
        <v>851</v>
      </c>
      <c r="E35" s="1133"/>
      <c r="F35" s="1133"/>
      <c r="G35" s="1133"/>
      <c r="H35" s="1133"/>
      <c r="I35" s="1133"/>
      <c r="J35" s="1133"/>
      <c r="K35" s="1133"/>
      <c r="L35" s="1154" t="s">
        <v>205</v>
      </c>
      <c r="M35" s="1154"/>
      <c r="N35" s="1154"/>
      <c r="O35" s="1153" t="s">
        <v>842</v>
      </c>
      <c r="P35" s="1133"/>
      <c r="Q35" s="825"/>
      <c r="R35" s="825"/>
      <c r="S35" s="1153" t="s">
        <v>852</v>
      </c>
      <c r="T35" s="705">
        <v>0</v>
      </c>
      <c r="U35" s="706">
        <v>0</v>
      </c>
      <c r="V35" s="706">
        <v>0</v>
      </c>
      <c r="W35" s="706">
        <v>0</v>
      </c>
      <c r="X35" s="706">
        <v>0</v>
      </c>
      <c r="Y35" s="706">
        <v>0</v>
      </c>
      <c r="Z35" s="706">
        <v>0</v>
      </c>
      <c r="AA35" s="707">
        <v>0</v>
      </c>
      <c r="AB35" s="808">
        <v>0</v>
      </c>
      <c r="AC35" s="706">
        <v>0</v>
      </c>
      <c r="AD35" s="825"/>
      <c r="AE35" s="825"/>
      <c r="AF35" s="825"/>
      <c r="AG35" s="825"/>
      <c r="AH35" s="825"/>
      <c r="AI35" s="825"/>
      <c r="AJ35" s="825"/>
      <c r="AK35" s="825"/>
      <c r="AL35" s="825"/>
      <c r="AM35" s="825"/>
      <c r="AN35" s="825"/>
      <c r="AO35" s="825"/>
      <c r="AP35" s="825"/>
    </row>
    <row r="36" spans="1:42">
      <c r="A36" s="825"/>
      <c r="B36" s="1145" t="s">
        <v>853</v>
      </c>
      <c r="C36" s="1138"/>
      <c r="D36" s="1133" t="s">
        <v>854</v>
      </c>
      <c r="E36" s="825"/>
      <c r="F36" s="1133"/>
      <c r="G36" s="1138"/>
      <c r="H36" s="1138"/>
      <c r="I36" s="825"/>
      <c r="J36" s="825"/>
      <c r="K36" s="825"/>
      <c r="L36" s="1154" t="s">
        <v>210</v>
      </c>
      <c r="M36" s="1154"/>
      <c r="N36" s="1154"/>
      <c r="O36" s="1153" t="s">
        <v>842</v>
      </c>
      <c r="P36" s="825"/>
      <c r="Q36" s="825"/>
      <c r="R36" s="825"/>
      <c r="S36" s="1153" t="s">
        <v>855</v>
      </c>
      <c r="T36" s="705">
        <v>0</v>
      </c>
      <c r="U36" s="706">
        <v>0</v>
      </c>
      <c r="V36" s="706">
        <v>0</v>
      </c>
      <c r="W36" s="706">
        <v>0</v>
      </c>
      <c r="X36" s="706">
        <v>0</v>
      </c>
      <c r="Y36" s="706">
        <v>0</v>
      </c>
      <c r="Z36" s="706">
        <v>0</v>
      </c>
      <c r="AA36" s="707">
        <v>0</v>
      </c>
      <c r="AB36" s="808">
        <v>0</v>
      </c>
      <c r="AC36" s="706">
        <v>0</v>
      </c>
      <c r="AD36" s="825"/>
      <c r="AE36" s="825"/>
      <c r="AF36" s="825"/>
      <c r="AG36" s="825"/>
      <c r="AH36" s="825"/>
      <c r="AI36" s="825"/>
      <c r="AJ36" s="825"/>
      <c r="AK36" s="825"/>
      <c r="AL36" s="825"/>
      <c r="AM36" s="825"/>
      <c r="AN36" s="825"/>
      <c r="AO36" s="825"/>
      <c r="AP36" s="825"/>
    </row>
    <row r="37" spans="1:42" ht="14" thickBot="1">
      <c r="A37" s="825"/>
      <c r="B37" s="1145" t="s">
        <v>856</v>
      </c>
      <c r="C37" s="1138"/>
      <c r="D37" s="1133" t="s">
        <v>857</v>
      </c>
      <c r="E37" s="825"/>
      <c r="F37" s="1133"/>
      <c r="G37" s="1138"/>
      <c r="H37" s="1138"/>
      <c r="I37" s="825"/>
      <c r="J37" s="825"/>
      <c r="K37" s="825"/>
      <c r="L37" s="1154" t="s">
        <v>215</v>
      </c>
      <c r="M37" s="1154"/>
      <c r="N37" s="1154"/>
      <c r="O37" s="1153" t="s">
        <v>842</v>
      </c>
      <c r="P37" s="825"/>
      <c r="Q37" s="825"/>
      <c r="R37" s="825"/>
      <c r="S37" s="1153" t="s">
        <v>858</v>
      </c>
      <c r="T37" s="809">
        <v>5744.0574474325094</v>
      </c>
      <c r="U37" s="810">
        <v>6276.6283464101834</v>
      </c>
      <c r="V37" s="810">
        <v>6918.0718850190706</v>
      </c>
      <c r="W37" s="810">
        <v>6553.4548375891245</v>
      </c>
      <c r="X37" s="810">
        <v>6566.0408988509871</v>
      </c>
      <c r="Y37" s="810">
        <v>6581.6808151083587</v>
      </c>
      <c r="Z37" s="810">
        <v>6600.3313474791921</v>
      </c>
      <c r="AA37" s="811">
        <v>5772.7033958211505</v>
      </c>
      <c r="AB37" s="812">
        <v>4731.8764616998169</v>
      </c>
      <c r="AC37" s="810">
        <v>4391.006066235801</v>
      </c>
      <c r="AD37" s="825"/>
      <c r="AE37" s="825"/>
      <c r="AF37" s="825"/>
      <c r="AG37" s="825"/>
      <c r="AH37" s="825"/>
      <c r="AI37" s="825"/>
      <c r="AJ37" s="825"/>
      <c r="AK37" s="825"/>
      <c r="AL37" s="825"/>
      <c r="AM37" s="825"/>
      <c r="AN37" s="825"/>
      <c r="AO37" s="825"/>
      <c r="AP37" s="825"/>
    </row>
    <row r="38" spans="1:42">
      <c r="A38" s="825"/>
      <c r="B38" s="1145" t="s">
        <v>859</v>
      </c>
      <c r="C38" s="1145"/>
      <c r="D38" s="1133" t="s">
        <v>860</v>
      </c>
      <c r="E38" s="1133"/>
      <c r="F38" s="1133"/>
      <c r="G38" s="1133"/>
      <c r="H38" s="1133"/>
      <c r="I38" s="1133"/>
      <c r="J38" s="1133"/>
      <c r="K38" s="1133"/>
      <c r="L38" s="1154" t="s">
        <v>219</v>
      </c>
      <c r="M38" s="1154"/>
      <c r="N38" s="1154"/>
      <c r="O38" s="1153" t="s">
        <v>861</v>
      </c>
      <c r="P38" s="1133"/>
      <c r="Q38" s="1133"/>
      <c r="R38" s="825"/>
      <c r="S38" s="1153" t="s">
        <v>862</v>
      </c>
      <c r="T38" s="813">
        <v>3235.982</v>
      </c>
      <c r="U38" s="814">
        <v>3235.982</v>
      </c>
      <c r="V38" s="814">
        <v>4209.076</v>
      </c>
      <c r="W38" s="814">
        <v>3828.5509999999995</v>
      </c>
      <c r="X38" s="814">
        <v>3828.5509999999995</v>
      </c>
      <c r="Y38" s="814">
        <v>3428.5509999999995</v>
      </c>
      <c r="Z38" s="814">
        <v>3328.5509999999995</v>
      </c>
      <c r="AA38" s="815">
        <v>3128.5509999999995</v>
      </c>
      <c r="AB38" s="816">
        <v>1799.681</v>
      </c>
      <c r="AC38" s="814">
        <v>1120.0619999999999</v>
      </c>
      <c r="AD38" s="825"/>
      <c r="AE38" s="825"/>
      <c r="AF38" s="825"/>
      <c r="AG38" s="825"/>
      <c r="AH38" s="825"/>
      <c r="AI38" s="825"/>
      <c r="AJ38" s="825"/>
      <c r="AK38" s="825"/>
      <c r="AL38" s="825"/>
      <c r="AM38" s="825"/>
      <c r="AN38" s="825"/>
      <c r="AO38" s="825"/>
      <c r="AP38" s="825"/>
    </row>
    <row r="39" spans="1:42" ht="14" thickBot="1">
      <c r="A39" s="825"/>
      <c r="B39" s="1145" t="s">
        <v>863</v>
      </c>
      <c r="C39" s="1138"/>
      <c r="D39" s="1133" t="s">
        <v>864</v>
      </c>
      <c r="E39" s="825"/>
      <c r="F39" s="1133"/>
      <c r="G39" s="1138"/>
      <c r="H39" s="1138"/>
      <c r="I39" s="1138"/>
      <c r="J39" s="825"/>
      <c r="K39" s="825"/>
      <c r="L39" s="1154" t="s">
        <v>222</v>
      </c>
      <c r="M39" s="1154"/>
      <c r="N39" s="1154"/>
      <c r="O39" s="1153" t="s">
        <v>861</v>
      </c>
      <c r="P39" s="825"/>
      <c r="Q39" s="825"/>
      <c r="R39" s="825"/>
      <c r="S39" s="1153" t="s">
        <v>865</v>
      </c>
      <c r="T39" s="817">
        <v>-3235.982</v>
      </c>
      <c r="U39" s="818">
        <v>-3235.982</v>
      </c>
      <c r="V39" s="818">
        <v>-4209.076</v>
      </c>
      <c r="W39" s="818">
        <v>-3828.5509999999995</v>
      </c>
      <c r="X39" s="818">
        <v>-3828.5509999999995</v>
      </c>
      <c r="Y39" s="818">
        <v>-3428.5509999999995</v>
      </c>
      <c r="Z39" s="818">
        <v>-3328.5509999999995</v>
      </c>
      <c r="AA39" s="819">
        <v>-3128.5509999999995</v>
      </c>
      <c r="AB39" s="820">
        <v>-1799.6809999999998</v>
      </c>
      <c r="AC39" s="818">
        <v>-1120.0619999999999</v>
      </c>
      <c r="AD39" s="825"/>
      <c r="AE39" s="825"/>
      <c r="AF39" s="825"/>
      <c r="AG39" s="825"/>
      <c r="AH39" s="825"/>
      <c r="AI39" s="825"/>
      <c r="AJ39" s="825"/>
      <c r="AK39" s="825"/>
      <c r="AL39" s="825"/>
      <c r="AM39" s="825"/>
      <c r="AN39" s="825"/>
      <c r="AO39" s="825"/>
      <c r="AP39" s="825"/>
    </row>
    <row r="40" spans="1:42">
      <c r="A40" s="825"/>
      <c r="B40" s="1145" t="s">
        <v>866</v>
      </c>
      <c r="C40" s="1138"/>
      <c r="D40" s="1133" t="s">
        <v>216</v>
      </c>
      <c r="E40" s="825"/>
      <c r="F40" s="1133"/>
      <c r="G40" s="1138"/>
      <c r="H40" s="1138"/>
      <c r="I40" s="1138"/>
      <c r="J40" s="825"/>
      <c r="K40" s="825"/>
      <c r="L40" s="1154" t="s">
        <v>216</v>
      </c>
      <c r="M40" s="1154"/>
      <c r="N40" s="1154"/>
      <c r="O40" s="1153" t="s">
        <v>842</v>
      </c>
      <c r="P40" s="825"/>
      <c r="Q40" s="825"/>
      <c r="R40" s="825"/>
      <c r="S40" s="1153" t="s">
        <v>867</v>
      </c>
      <c r="T40" s="821">
        <v>0</v>
      </c>
      <c r="U40" s="822">
        <v>0</v>
      </c>
      <c r="V40" s="822">
        <v>0</v>
      </c>
      <c r="W40" s="822">
        <v>0</v>
      </c>
      <c r="X40" s="822">
        <v>0</v>
      </c>
      <c r="Y40" s="822">
        <v>0</v>
      </c>
      <c r="Z40" s="822">
        <v>0</v>
      </c>
      <c r="AA40" s="823">
        <v>0</v>
      </c>
      <c r="AB40" s="824">
        <v>0</v>
      </c>
      <c r="AC40" s="822">
        <v>0</v>
      </c>
      <c r="AD40" s="825"/>
      <c r="AE40" s="825"/>
      <c r="AF40" s="825"/>
      <c r="AG40" s="825"/>
      <c r="AH40" s="825"/>
      <c r="AI40" s="825"/>
      <c r="AJ40" s="825"/>
      <c r="AK40" s="825"/>
      <c r="AL40" s="825"/>
      <c r="AM40" s="825"/>
      <c r="AN40" s="825"/>
      <c r="AO40" s="825"/>
      <c r="AP40" s="825"/>
    </row>
    <row r="41" spans="1:42">
      <c r="A41" s="825"/>
      <c r="B41" s="1138"/>
      <c r="C41" s="1138"/>
      <c r="D41" s="1155" t="s">
        <v>557</v>
      </c>
      <c r="E41" s="825"/>
      <c r="F41" s="825"/>
      <c r="G41" s="825"/>
      <c r="H41" s="825"/>
      <c r="I41" s="825"/>
      <c r="J41" s="825"/>
      <c r="K41" s="825"/>
      <c r="L41" s="825"/>
      <c r="M41" s="825"/>
      <c r="N41" s="825"/>
      <c r="O41" s="825"/>
      <c r="P41" s="825"/>
      <c r="Q41" s="825"/>
      <c r="R41" s="825"/>
      <c r="S41" s="825"/>
      <c r="T41" s="825" t="s">
        <v>1258</v>
      </c>
      <c r="U41" s="825" t="s">
        <v>1258</v>
      </c>
      <c r="V41" s="825" t="s">
        <v>1258</v>
      </c>
      <c r="W41" s="825" t="s">
        <v>1258</v>
      </c>
      <c r="X41" s="825" t="s">
        <v>1258</v>
      </c>
      <c r="Y41" s="825" t="s">
        <v>1258</v>
      </c>
      <c r="Z41" s="825" t="s">
        <v>1258</v>
      </c>
      <c r="AA41" s="826" t="s">
        <v>1258</v>
      </c>
      <c r="AB41" s="825" t="s">
        <v>1258</v>
      </c>
      <c r="AC41" s="825" t="s">
        <v>1258</v>
      </c>
      <c r="AD41" s="825"/>
      <c r="AE41" s="825"/>
      <c r="AF41" s="825"/>
      <c r="AG41" s="825"/>
      <c r="AH41" s="825"/>
      <c r="AI41" s="825"/>
      <c r="AJ41" s="825"/>
      <c r="AK41" s="825"/>
      <c r="AL41" s="825"/>
      <c r="AM41" s="825"/>
      <c r="AN41" s="825"/>
      <c r="AO41" s="825"/>
      <c r="AP41" s="825"/>
    </row>
    <row r="42" spans="1:42">
      <c r="A42" s="825"/>
      <c r="B42" s="1138"/>
      <c r="C42" s="1138"/>
      <c r="D42" s="825"/>
      <c r="E42" s="825"/>
      <c r="F42" s="1138"/>
      <c r="G42" s="1138"/>
      <c r="H42" s="1138"/>
      <c r="I42" s="1138"/>
      <c r="J42" s="825"/>
      <c r="K42" s="825"/>
      <c r="L42" s="825"/>
      <c r="M42" s="825"/>
      <c r="N42" s="825"/>
      <c r="O42" s="825"/>
      <c r="P42" s="825"/>
      <c r="Q42" s="825"/>
      <c r="R42" s="825"/>
      <c r="S42" s="825"/>
      <c r="T42" s="1156"/>
      <c r="U42" s="1156"/>
      <c r="V42" s="1156"/>
      <c r="W42" s="1156"/>
      <c r="X42" s="1156"/>
      <c r="Y42" s="1156"/>
      <c r="Z42" s="1156"/>
      <c r="AA42" s="825"/>
      <c r="AB42" s="835"/>
      <c r="AC42" s="825"/>
      <c r="AD42" s="825"/>
      <c r="AE42" s="825"/>
      <c r="AF42" s="825"/>
      <c r="AG42" s="825"/>
      <c r="AH42" s="825"/>
      <c r="AI42" s="825"/>
      <c r="AJ42" s="825"/>
      <c r="AK42" s="825"/>
      <c r="AL42" s="825"/>
      <c r="AM42" s="825"/>
      <c r="AN42" s="825"/>
      <c r="AO42" s="825"/>
      <c r="AP42" s="825"/>
    </row>
    <row r="43" spans="1:42">
      <c r="A43" s="825"/>
      <c r="B43" s="1138"/>
      <c r="C43" s="1138"/>
      <c r="D43" s="825"/>
      <c r="E43" s="825"/>
      <c r="F43" s="825"/>
      <c r="G43" s="825"/>
      <c r="H43" s="825"/>
      <c r="I43" s="825"/>
      <c r="J43" s="825"/>
      <c r="K43" s="825"/>
      <c r="L43" s="825"/>
      <c r="M43" s="825"/>
      <c r="N43" s="825"/>
      <c r="O43" s="825"/>
      <c r="P43" s="825"/>
      <c r="Q43" s="825"/>
      <c r="R43" s="825"/>
      <c r="S43" s="1157" t="s">
        <v>868</v>
      </c>
      <c r="T43" s="700">
        <v>6573.8163318594234</v>
      </c>
      <c r="U43" s="701">
        <v>6724.3492342257887</v>
      </c>
      <c r="V43" s="701">
        <v>7074.272281979197</v>
      </c>
      <c r="W43" s="701">
        <v>6903.6423017448724</v>
      </c>
      <c r="X43" s="701">
        <v>7056.040898850988</v>
      </c>
      <c r="Y43" s="701">
        <v>6671.6808151083587</v>
      </c>
      <c r="Z43" s="701">
        <v>6690.3313474791921</v>
      </c>
      <c r="AA43" s="702">
        <v>5862.7033958211505</v>
      </c>
      <c r="AB43" s="827">
        <v>4821.8764616998169</v>
      </c>
      <c r="AC43" s="701">
        <v>4331.006066235801</v>
      </c>
      <c r="AD43" s="825"/>
      <c r="AE43" s="825"/>
      <c r="AF43" s="825"/>
      <c r="AG43" s="825"/>
      <c r="AH43" s="825"/>
      <c r="AI43" s="825"/>
      <c r="AJ43" s="825"/>
      <c r="AK43" s="825"/>
      <c r="AL43" s="825"/>
      <c r="AM43" s="825"/>
      <c r="AN43" s="825"/>
      <c r="AO43" s="825"/>
      <c r="AP43" s="825"/>
    </row>
    <row r="44" spans="1:42">
      <c r="A44" s="825"/>
      <c r="B44" s="1138"/>
      <c r="C44" s="1138"/>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35"/>
      <c r="AC44" s="825"/>
      <c r="AD44" s="825"/>
      <c r="AE44" s="825"/>
      <c r="AF44" s="825"/>
      <c r="AG44" s="825"/>
      <c r="AH44" s="825"/>
      <c r="AI44" s="825"/>
      <c r="AJ44" s="825"/>
      <c r="AK44" s="825"/>
      <c r="AL44" s="825"/>
      <c r="AM44" s="825"/>
      <c r="AN44" s="825"/>
      <c r="AO44" s="825"/>
      <c r="AP44" s="825"/>
    </row>
    <row r="45" spans="1:42" ht="16">
      <c r="A45" s="825"/>
      <c r="B45" s="1127" t="s">
        <v>869</v>
      </c>
      <c r="C45" s="1127"/>
      <c r="D45" s="1128"/>
      <c r="E45" s="1128"/>
      <c r="F45" s="1128"/>
      <c r="G45" s="1128"/>
      <c r="H45" s="1128"/>
      <c r="I45" s="1128"/>
      <c r="J45" s="1128"/>
      <c r="K45" s="1128"/>
      <c r="L45" s="1128"/>
      <c r="M45" s="1128"/>
      <c r="N45" s="1128"/>
      <c r="O45" s="1128"/>
      <c r="P45" s="1128"/>
      <c r="Q45" s="1128"/>
      <c r="R45" s="825"/>
      <c r="S45" s="825"/>
      <c r="T45" s="825"/>
      <c r="U45" s="825"/>
      <c r="V45" s="825"/>
      <c r="W45" s="825"/>
      <c r="X45" s="825"/>
      <c r="Y45" s="825"/>
      <c r="Z45" s="825"/>
      <c r="AA45" s="825"/>
      <c r="AB45" s="835"/>
      <c r="AC45" s="825"/>
      <c r="AD45" s="825"/>
      <c r="AE45" s="825"/>
      <c r="AF45" s="825"/>
      <c r="AG45" s="825"/>
      <c r="AH45" s="825"/>
      <c r="AI45" s="825"/>
      <c r="AJ45" s="825"/>
      <c r="AK45" s="825"/>
      <c r="AL45" s="825"/>
      <c r="AM45" s="825"/>
      <c r="AN45" s="825"/>
      <c r="AO45" s="825"/>
      <c r="AP45" s="825"/>
    </row>
    <row r="46" spans="1:42">
      <c r="A46" s="825"/>
      <c r="B46" s="1138"/>
      <c r="C46" s="1138"/>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35"/>
      <c r="AC46" s="825"/>
      <c r="AD46" s="825"/>
      <c r="AE46" s="825"/>
      <c r="AF46" s="825"/>
      <c r="AG46" s="825"/>
      <c r="AH46" s="825"/>
      <c r="AI46" s="825"/>
      <c r="AJ46" s="825"/>
      <c r="AK46" s="825"/>
      <c r="AL46" s="825"/>
      <c r="AM46" s="825"/>
      <c r="AN46" s="825"/>
      <c r="AO46" s="825"/>
      <c r="AP46" s="825"/>
    </row>
    <row r="47" spans="1:42">
      <c r="A47" s="825"/>
      <c r="B47" s="1138"/>
      <c r="C47" s="1138"/>
      <c r="D47" s="1158" t="s">
        <v>870</v>
      </c>
      <c r="E47" s="1158"/>
      <c r="F47" s="1159"/>
      <c r="G47" s="1159"/>
      <c r="H47" s="1159"/>
      <c r="I47" s="1159"/>
      <c r="J47" s="1159"/>
      <c r="K47" s="1159"/>
      <c r="L47" s="1159"/>
      <c r="M47" s="1159"/>
      <c r="N47" s="1159"/>
      <c r="O47" s="1159"/>
      <c r="P47" s="1159"/>
      <c r="Q47" s="1159"/>
      <c r="R47" s="1159"/>
      <c r="S47" s="825"/>
      <c r="T47" s="1159"/>
      <c r="U47" s="825"/>
      <c r="V47" s="825"/>
      <c r="W47" s="825"/>
      <c r="X47" s="825"/>
      <c r="Y47" s="825"/>
      <c r="Z47" s="825"/>
      <c r="AA47" s="825"/>
      <c r="AB47" s="835"/>
      <c r="AC47" s="825"/>
      <c r="AD47" s="825"/>
      <c r="AE47" s="825"/>
      <c r="AF47" s="825"/>
      <c r="AG47" s="825"/>
      <c r="AH47" s="825"/>
      <c r="AI47" s="825"/>
      <c r="AJ47" s="825"/>
      <c r="AK47" s="825"/>
      <c r="AL47" s="825"/>
      <c r="AM47" s="825"/>
      <c r="AN47" s="825"/>
      <c r="AO47" s="825"/>
      <c r="AP47" s="825"/>
    </row>
    <row r="48" spans="1:42">
      <c r="A48" s="825"/>
      <c r="B48" s="1145" t="s">
        <v>822</v>
      </c>
      <c r="C48" s="1145"/>
      <c r="D48" s="1380"/>
      <c r="E48" s="1381"/>
      <c r="F48" s="1381"/>
      <c r="G48" s="1381"/>
      <c r="H48" s="1381"/>
      <c r="I48" s="1381"/>
      <c r="J48" s="1381"/>
      <c r="K48" s="1381"/>
      <c r="L48" s="1381"/>
      <c r="M48" s="1381"/>
      <c r="N48" s="1381"/>
      <c r="O48" s="1381"/>
      <c r="P48" s="1381"/>
      <c r="Q48" s="1382"/>
      <c r="R48" s="1159"/>
      <c r="S48" s="825"/>
      <c r="T48" s="1159"/>
      <c r="U48" s="825"/>
      <c r="V48" s="825"/>
      <c r="W48" s="825"/>
      <c r="X48" s="825"/>
      <c r="Y48" s="825"/>
      <c r="Z48" s="825"/>
      <c r="AA48" s="825"/>
      <c r="AB48" s="835"/>
      <c r="AC48" s="825"/>
      <c r="AD48" s="825"/>
      <c r="AE48" s="825"/>
      <c r="AF48" s="825"/>
      <c r="AG48" s="825"/>
      <c r="AH48" s="825"/>
      <c r="AI48" s="825"/>
      <c r="AJ48" s="825"/>
      <c r="AK48" s="825"/>
      <c r="AL48" s="825"/>
      <c r="AM48" s="825"/>
      <c r="AN48" s="825"/>
      <c r="AO48" s="825"/>
      <c r="AP48" s="825"/>
    </row>
    <row r="49" spans="1:42">
      <c r="A49" s="825"/>
      <c r="B49" s="1145" t="s">
        <v>840</v>
      </c>
      <c r="C49" s="1145"/>
      <c r="D49" s="1380"/>
      <c r="E49" s="1381"/>
      <c r="F49" s="1381"/>
      <c r="G49" s="1381"/>
      <c r="H49" s="1381"/>
      <c r="I49" s="1381"/>
      <c r="J49" s="1381"/>
      <c r="K49" s="1381"/>
      <c r="L49" s="1381"/>
      <c r="M49" s="1381"/>
      <c r="N49" s="1381"/>
      <c r="O49" s="1381"/>
      <c r="P49" s="1381"/>
      <c r="Q49" s="1382"/>
      <c r="R49" s="1159"/>
      <c r="S49" s="825"/>
      <c r="T49" s="1159"/>
      <c r="U49" s="825"/>
      <c r="V49" s="825"/>
      <c r="W49" s="825"/>
      <c r="X49" s="825"/>
      <c r="Y49" s="825"/>
      <c r="Z49" s="825"/>
      <c r="AA49" s="825"/>
      <c r="AB49" s="835"/>
      <c r="AC49" s="825"/>
      <c r="AD49" s="825"/>
      <c r="AE49" s="825"/>
      <c r="AF49" s="825"/>
      <c r="AG49" s="825"/>
      <c r="AH49" s="825"/>
      <c r="AI49" s="825"/>
      <c r="AJ49" s="825"/>
      <c r="AK49" s="825"/>
      <c r="AL49" s="825"/>
      <c r="AM49" s="825"/>
      <c r="AN49" s="825"/>
      <c r="AO49" s="825"/>
      <c r="AP49" s="825"/>
    </row>
    <row r="50" spans="1:42">
      <c r="A50" s="825"/>
      <c r="B50" s="1145" t="s">
        <v>844</v>
      </c>
      <c r="C50" s="1145"/>
      <c r="D50" s="1380"/>
      <c r="E50" s="1381"/>
      <c r="F50" s="1381"/>
      <c r="G50" s="1381"/>
      <c r="H50" s="1381"/>
      <c r="I50" s="1381"/>
      <c r="J50" s="1381"/>
      <c r="K50" s="1381"/>
      <c r="L50" s="1381"/>
      <c r="M50" s="1381"/>
      <c r="N50" s="1381"/>
      <c r="O50" s="1381"/>
      <c r="P50" s="1381"/>
      <c r="Q50" s="1382"/>
      <c r="R50" s="1159"/>
      <c r="S50" s="825"/>
      <c r="T50" s="1159"/>
      <c r="U50" s="825"/>
      <c r="V50" s="825"/>
      <c r="W50" s="825"/>
      <c r="X50" s="825"/>
      <c r="Y50" s="825"/>
      <c r="Z50" s="825"/>
      <c r="AA50" s="825"/>
      <c r="AB50" s="835"/>
      <c r="AC50" s="825"/>
      <c r="AD50" s="825"/>
      <c r="AE50" s="825"/>
      <c r="AF50" s="825"/>
      <c r="AG50" s="825"/>
      <c r="AH50" s="825"/>
      <c r="AI50" s="825"/>
      <c r="AJ50" s="825"/>
      <c r="AK50" s="825"/>
      <c r="AL50" s="825"/>
      <c r="AM50" s="825"/>
      <c r="AN50" s="825"/>
      <c r="AO50" s="825"/>
      <c r="AP50" s="825"/>
    </row>
    <row r="51" spans="1:42">
      <c r="A51" s="825"/>
      <c r="B51" s="1145" t="s">
        <v>847</v>
      </c>
      <c r="C51" s="1145"/>
      <c r="D51" s="1380"/>
      <c r="E51" s="1381"/>
      <c r="F51" s="1381"/>
      <c r="G51" s="1381"/>
      <c r="H51" s="1381"/>
      <c r="I51" s="1381"/>
      <c r="J51" s="1381"/>
      <c r="K51" s="1381"/>
      <c r="L51" s="1381"/>
      <c r="M51" s="1381"/>
      <c r="N51" s="1381"/>
      <c r="O51" s="1381"/>
      <c r="P51" s="1381"/>
      <c r="Q51" s="1382"/>
      <c r="R51" s="1159"/>
      <c r="S51" s="825"/>
      <c r="T51" s="1159"/>
      <c r="U51" s="825"/>
      <c r="V51" s="825"/>
      <c r="W51" s="825"/>
      <c r="X51" s="825"/>
      <c r="Y51" s="825"/>
      <c r="Z51" s="825"/>
      <c r="AA51" s="825"/>
      <c r="AB51" s="835"/>
      <c r="AC51" s="825"/>
      <c r="AD51" s="825"/>
      <c r="AE51" s="825"/>
      <c r="AF51" s="825"/>
      <c r="AG51" s="825"/>
      <c r="AH51" s="825"/>
      <c r="AI51" s="825"/>
      <c r="AJ51" s="825"/>
      <c r="AK51" s="825"/>
      <c r="AL51" s="825"/>
      <c r="AM51" s="825"/>
      <c r="AN51" s="825"/>
      <c r="AO51" s="825"/>
      <c r="AP51" s="825"/>
    </row>
    <row r="52" spans="1:42">
      <c r="A52" s="825"/>
      <c r="B52" s="1145" t="s">
        <v>850</v>
      </c>
      <c r="C52" s="1145"/>
      <c r="D52" s="1380"/>
      <c r="E52" s="1381"/>
      <c r="F52" s="1381"/>
      <c r="G52" s="1381"/>
      <c r="H52" s="1381"/>
      <c r="I52" s="1381"/>
      <c r="J52" s="1381"/>
      <c r="K52" s="1381"/>
      <c r="L52" s="1381"/>
      <c r="M52" s="1381"/>
      <c r="N52" s="1381"/>
      <c r="O52" s="1381"/>
      <c r="P52" s="1381"/>
      <c r="Q52" s="1382"/>
      <c r="R52" s="1159"/>
      <c r="S52" s="825"/>
      <c r="T52" s="1159"/>
      <c r="U52" s="825"/>
      <c r="V52" s="825"/>
      <c r="W52" s="825"/>
      <c r="X52" s="825"/>
      <c r="Y52" s="825"/>
      <c r="Z52" s="825"/>
      <c r="AA52" s="825"/>
      <c r="AB52" s="835"/>
      <c r="AC52" s="825"/>
      <c r="AD52" s="825"/>
      <c r="AE52" s="825"/>
      <c r="AF52" s="825"/>
      <c r="AG52" s="825"/>
      <c r="AH52" s="825"/>
      <c r="AI52" s="825"/>
      <c r="AJ52" s="825"/>
      <c r="AK52" s="825"/>
      <c r="AL52" s="825"/>
      <c r="AM52" s="825"/>
      <c r="AN52" s="825"/>
      <c r="AO52" s="825"/>
      <c r="AP52" s="825"/>
    </row>
    <row r="53" spans="1:42">
      <c r="A53" s="825"/>
      <c r="B53" s="1145" t="s">
        <v>853</v>
      </c>
      <c r="C53" s="1145"/>
      <c r="D53" s="1380"/>
      <c r="E53" s="1381"/>
      <c r="F53" s="1381"/>
      <c r="G53" s="1381"/>
      <c r="H53" s="1381"/>
      <c r="I53" s="1381"/>
      <c r="J53" s="1381"/>
      <c r="K53" s="1381"/>
      <c r="L53" s="1381"/>
      <c r="M53" s="1381"/>
      <c r="N53" s="1381"/>
      <c r="O53" s="1381"/>
      <c r="P53" s="1381"/>
      <c r="Q53" s="1382"/>
      <c r="R53" s="1159"/>
      <c r="S53" s="825"/>
      <c r="T53" s="1159"/>
      <c r="U53" s="825"/>
      <c r="V53" s="825"/>
      <c r="W53" s="825"/>
      <c r="X53" s="825"/>
      <c r="Y53" s="825"/>
      <c r="Z53" s="825"/>
      <c r="AA53" s="825"/>
      <c r="AB53" s="835"/>
      <c r="AC53" s="825"/>
      <c r="AD53" s="825"/>
      <c r="AE53" s="825"/>
      <c r="AF53" s="825"/>
      <c r="AG53" s="825"/>
      <c r="AH53" s="825"/>
      <c r="AI53" s="825"/>
      <c r="AJ53" s="825"/>
      <c r="AK53" s="825"/>
      <c r="AL53" s="825"/>
      <c r="AM53" s="825"/>
      <c r="AN53" s="825"/>
      <c r="AO53" s="825"/>
      <c r="AP53" s="825"/>
    </row>
    <row r="54" spans="1:42">
      <c r="A54" s="825"/>
      <c r="B54" s="1145" t="s">
        <v>856</v>
      </c>
      <c r="C54" s="1145"/>
      <c r="D54" s="1380"/>
      <c r="E54" s="1381"/>
      <c r="F54" s="1381"/>
      <c r="G54" s="1381"/>
      <c r="H54" s="1381"/>
      <c r="I54" s="1381"/>
      <c r="J54" s="1381"/>
      <c r="K54" s="1381"/>
      <c r="L54" s="1381"/>
      <c r="M54" s="1381"/>
      <c r="N54" s="1381"/>
      <c r="O54" s="1381"/>
      <c r="P54" s="1381"/>
      <c r="Q54" s="1382"/>
      <c r="R54" s="1159"/>
      <c r="S54" s="825"/>
      <c r="T54" s="1159"/>
      <c r="U54" s="825"/>
      <c r="V54" s="825"/>
      <c r="W54" s="825"/>
      <c r="X54" s="825"/>
      <c r="Y54" s="825"/>
      <c r="Z54" s="825"/>
      <c r="AA54" s="825"/>
      <c r="AB54" s="835"/>
      <c r="AC54" s="825"/>
      <c r="AD54" s="825"/>
      <c r="AE54" s="825"/>
      <c r="AF54" s="825"/>
      <c r="AG54" s="825"/>
      <c r="AH54" s="825"/>
      <c r="AI54" s="825"/>
      <c r="AJ54" s="825"/>
      <c r="AK54" s="825"/>
      <c r="AL54" s="825"/>
      <c r="AM54" s="825"/>
      <c r="AN54" s="825"/>
      <c r="AO54" s="825"/>
      <c r="AP54" s="825"/>
    </row>
    <row r="55" spans="1:42">
      <c r="A55" s="825"/>
      <c r="B55" s="1145" t="s">
        <v>871</v>
      </c>
      <c r="C55" s="1145"/>
      <c r="D55" s="1380"/>
      <c r="E55" s="1381"/>
      <c r="F55" s="1381"/>
      <c r="G55" s="1381"/>
      <c r="H55" s="1381"/>
      <c r="I55" s="1381"/>
      <c r="J55" s="1381"/>
      <c r="K55" s="1381"/>
      <c r="L55" s="1381"/>
      <c r="M55" s="1381"/>
      <c r="N55" s="1381"/>
      <c r="O55" s="1381"/>
      <c r="P55" s="1381"/>
      <c r="Q55" s="1382"/>
      <c r="R55" s="1159"/>
      <c r="S55" s="825"/>
      <c r="T55" s="1159"/>
      <c r="U55" s="825"/>
      <c r="V55" s="825"/>
      <c r="W55" s="825"/>
      <c r="X55" s="825"/>
      <c r="Y55" s="825"/>
      <c r="Z55" s="825"/>
      <c r="AA55" s="825"/>
      <c r="AB55" s="835"/>
      <c r="AC55" s="825"/>
      <c r="AD55" s="825"/>
      <c r="AE55" s="825"/>
      <c r="AF55" s="825"/>
      <c r="AG55" s="825"/>
      <c r="AH55" s="825"/>
      <c r="AI55" s="825"/>
      <c r="AJ55" s="825"/>
      <c r="AK55" s="825"/>
      <c r="AL55" s="825"/>
      <c r="AM55" s="825"/>
      <c r="AN55" s="825"/>
      <c r="AO55" s="825"/>
      <c r="AP55" s="825"/>
    </row>
    <row r="56" spans="1:42">
      <c r="A56" s="825"/>
      <c r="B56" s="1145" t="s">
        <v>863</v>
      </c>
      <c r="C56" s="1145"/>
      <c r="D56" s="1380"/>
      <c r="E56" s="1381"/>
      <c r="F56" s="1381"/>
      <c r="G56" s="1381"/>
      <c r="H56" s="1381"/>
      <c r="I56" s="1381"/>
      <c r="J56" s="1381"/>
      <c r="K56" s="1381"/>
      <c r="L56" s="1381"/>
      <c r="M56" s="1381"/>
      <c r="N56" s="1381"/>
      <c r="O56" s="1381"/>
      <c r="P56" s="1381"/>
      <c r="Q56" s="1382"/>
      <c r="R56" s="1159"/>
      <c r="S56" s="825"/>
      <c r="T56" s="1159"/>
      <c r="U56" s="825"/>
      <c r="V56" s="825"/>
      <c r="W56" s="825"/>
      <c r="X56" s="825"/>
      <c r="Y56" s="825"/>
      <c r="Z56" s="825"/>
      <c r="AA56" s="825"/>
      <c r="AB56" s="835"/>
      <c r="AC56" s="825"/>
      <c r="AD56" s="825"/>
      <c r="AE56" s="825"/>
      <c r="AF56" s="825"/>
      <c r="AG56" s="825"/>
      <c r="AH56" s="825"/>
      <c r="AI56" s="825"/>
      <c r="AJ56" s="825"/>
      <c r="AK56" s="825"/>
      <c r="AL56" s="825"/>
      <c r="AM56" s="825"/>
      <c r="AN56" s="825"/>
      <c r="AO56" s="825"/>
      <c r="AP56" s="825"/>
    </row>
    <row r="57" spans="1:42">
      <c r="A57" s="825"/>
      <c r="B57" s="1145" t="s">
        <v>866</v>
      </c>
      <c r="C57" s="1145"/>
      <c r="D57" s="1380"/>
      <c r="E57" s="1381"/>
      <c r="F57" s="1381"/>
      <c r="G57" s="1381"/>
      <c r="H57" s="1381"/>
      <c r="I57" s="1381"/>
      <c r="J57" s="1381"/>
      <c r="K57" s="1381"/>
      <c r="L57" s="1381"/>
      <c r="M57" s="1381"/>
      <c r="N57" s="1381"/>
      <c r="O57" s="1381"/>
      <c r="P57" s="1381"/>
      <c r="Q57" s="1382"/>
      <c r="R57" s="1159"/>
      <c r="S57" s="825"/>
      <c r="T57" s="1159"/>
      <c r="U57" s="825"/>
      <c r="V57" s="825"/>
      <c r="W57" s="825"/>
      <c r="X57" s="825"/>
      <c r="Y57" s="825"/>
      <c r="Z57" s="825"/>
      <c r="AA57" s="825"/>
      <c r="AB57" s="835"/>
      <c r="AC57" s="825"/>
      <c r="AD57" s="825"/>
      <c r="AE57" s="825"/>
      <c r="AF57" s="825"/>
      <c r="AG57" s="825"/>
      <c r="AH57" s="825"/>
      <c r="AI57" s="825"/>
      <c r="AJ57" s="825"/>
      <c r="AK57" s="825"/>
      <c r="AL57" s="825"/>
      <c r="AM57" s="825"/>
      <c r="AN57" s="825"/>
      <c r="AO57" s="825"/>
      <c r="AP57" s="825"/>
    </row>
    <row r="58" spans="1:42">
      <c r="A58" s="825"/>
      <c r="B58" s="1138"/>
      <c r="C58" s="1138"/>
      <c r="D58" s="825"/>
      <c r="E58" s="825"/>
      <c r="F58" s="825"/>
      <c r="G58" s="825"/>
      <c r="H58" s="825"/>
      <c r="I58" s="825"/>
      <c r="J58" s="825"/>
      <c r="K58" s="825"/>
      <c r="L58" s="825"/>
      <c r="M58" s="825"/>
      <c r="N58" s="825"/>
      <c r="O58" s="825"/>
      <c r="P58" s="825"/>
      <c r="Q58" s="825"/>
      <c r="R58" s="825"/>
      <c r="S58" s="825"/>
      <c r="T58" s="825"/>
      <c r="U58" s="825"/>
      <c r="V58" s="825"/>
      <c r="W58" s="825"/>
      <c r="X58" s="825"/>
      <c r="Y58" s="825"/>
      <c r="Z58" s="825"/>
      <c r="AA58" s="825"/>
      <c r="AB58" s="835"/>
      <c r="AC58" s="825"/>
      <c r="AD58" s="825"/>
      <c r="AE58" s="825"/>
      <c r="AF58" s="825"/>
      <c r="AG58" s="825"/>
      <c r="AH58" s="825"/>
      <c r="AI58" s="825"/>
      <c r="AJ58" s="825"/>
      <c r="AK58" s="825"/>
      <c r="AL58" s="825"/>
      <c r="AM58" s="825"/>
      <c r="AN58" s="825"/>
      <c r="AO58" s="825"/>
      <c r="AP58" s="825"/>
    </row>
    <row r="59" spans="1:42">
      <c r="A59" s="825"/>
      <c r="B59" s="1138"/>
      <c r="C59" s="1138"/>
      <c r="D59" s="1158" t="s">
        <v>643</v>
      </c>
      <c r="E59" s="1158"/>
      <c r="S59" s="825"/>
      <c r="T59" s="1147" t="s">
        <v>739</v>
      </c>
      <c r="U59" s="1148" t="s">
        <v>739</v>
      </c>
      <c r="V59" s="1148" t="s">
        <v>739</v>
      </c>
      <c r="W59" s="1148" t="s">
        <v>739</v>
      </c>
      <c r="X59" s="1148" t="s">
        <v>739</v>
      </c>
      <c r="Y59" s="1148" t="s">
        <v>739</v>
      </c>
      <c r="Z59" s="1148" t="s">
        <v>739</v>
      </c>
      <c r="AA59" s="1149" t="s">
        <v>739</v>
      </c>
      <c r="AB59" s="1150" t="s">
        <v>739</v>
      </c>
      <c r="AC59" s="1148" t="s">
        <v>739</v>
      </c>
      <c r="AD59" s="825"/>
      <c r="AE59" s="825"/>
      <c r="AF59" s="825"/>
      <c r="AG59" s="825"/>
      <c r="AH59" s="825"/>
      <c r="AI59" s="825"/>
      <c r="AJ59" s="825"/>
      <c r="AK59" s="825"/>
      <c r="AL59" s="825"/>
      <c r="AM59" s="825"/>
      <c r="AN59" s="825"/>
      <c r="AO59" s="825"/>
      <c r="AP59" s="825"/>
    </row>
    <row r="60" spans="1:42">
      <c r="A60" s="825"/>
      <c r="B60" s="1138"/>
      <c r="C60" s="1138"/>
      <c r="D60" s="1369" t="s">
        <v>868</v>
      </c>
      <c r="E60" s="1369"/>
      <c r="F60" s="1369"/>
      <c r="G60" s="1369"/>
      <c r="H60" s="1369"/>
      <c r="I60" s="1369"/>
      <c r="J60" s="1369"/>
      <c r="K60" s="1369"/>
      <c r="L60" s="1369"/>
      <c r="M60" s="1369"/>
      <c r="N60" s="1369"/>
      <c r="O60" s="1369"/>
      <c r="P60" s="1369"/>
      <c r="Q60" s="1369"/>
      <c r="R60" s="1369"/>
      <c r="S60" s="825"/>
      <c r="T60" s="768">
        <v>6573.8163318594234</v>
      </c>
      <c r="U60" s="828">
        <v>6724.3492342257887</v>
      </c>
      <c r="V60" s="828">
        <v>7074.272281979197</v>
      </c>
      <c r="W60" s="828">
        <v>6903.6423017448724</v>
      </c>
      <c r="X60" s="828">
        <v>7056.040898850988</v>
      </c>
      <c r="Y60" s="828">
        <v>6671.6808151083587</v>
      </c>
      <c r="Z60" s="828">
        <v>6690.3313474791921</v>
      </c>
      <c r="AA60" s="829">
        <v>5862.7033958211505</v>
      </c>
      <c r="AB60" s="830">
        <v>4821.8764616998169</v>
      </c>
      <c r="AC60" s="828">
        <v>4331.006066235801</v>
      </c>
      <c r="AD60" s="825"/>
      <c r="AE60" s="825"/>
      <c r="AF60" s="825"/>
      <c r="AG60" s="825"/>
      <c r="AH60" s="825"/>
      <c r="AI60" s="825"/>
      <c r="AJ60" s="825"/>
      <c r="AK60" s="825"/>
      <c r="AL60" s="825"/>
      <c r="AM60" s="825"/>
      <c r="AN60" s="825"/>
      <c r="AO60" s="825"/>
      <c r="AP60" s="825"/>
    </row>
    <row r="61" spans="1:42">
      <c r="A61" s="825"/>
      <c r="B61" s="1138"/>
      <c r="C61" s="1138"/>
      <c r="D61" s="1369" t="s">
        <v>872</v>
      </c>
      <c r="E61" s="1369"/>
      <c r="F61" s="1369"/>
      <c r="G61" s="1369"/>
      <c r="H61" s="1369"/>
      <c r="I61" s="1369"/>
      <c r="J61" s="1369"/>
      <c r="K61" s="1369"/>
      <c r="L61" s="1369"/>
      <c r="M61" s="1369"/>
      <c r="N61" s="1369"/>
      <c r="O61" s="1369"/>
      <c r="P61" s="1369"/>
      <c r="Q61" s="1369"/>
      <c r="R61" s="1369"/>
      <c r="S61" s="825"/>
      <c r="T61" s="90">
        <v>0</v>
      </c>
      <c r="U61" s="90">
        <v>0</v>
      </c>
      <c r="V61" s="90">
        <v>0</v>
      </c>
      <c r="W61" s="90">
        <v>0</v>
      </c>
      <c r="X61" s="90">
        <v>0</v>
      </c>
      <c r="Y61" s="90">
        <v>0</v>
      </c>
      <c r="Z61" s="90">
        <v>0</v>
      </c>
      <c r="AA61" s="90">
        <v>0</v>
      </c>
      <c r="AB61" s="90">
        <v>0</v>
      </c>
      <c r="AC61" s="90">
        <v>0</v>
      </c>
      <c r="AD61" s="825"/>
      <c r="AE61" s="825"/>
      <c r="AF61" s="825"/>
      <c r="AG61" s="825"/>
      <c r="AH61" s="825"/>
      <c r="AI61" s="825"/>
      <c r="AJ61" s="825"/>
      <c r="AK61" s="825"/>
      <c r="AL61" s="825"/>
      <c r="AM61" s="825"/>
      <c r="AN61" s="825"/>
      <c r="AO61" s="825"/>
      <c r="AP61" s="825"/>
    </row>
    <row r="62" spans="1:42" ht="12.75" customHeight="1">
      <c r="A62" s="825"/>
      <c r="B62" s="1138"/>
      <c r="C62" s="1138"/>
      <c r="D62" s="1369" t="s">
        <v>873</v>
      </c>
      <c r="E62" s="1369"/>
      <c r="F62" s="1369"/>
      <c r="G62" s="1369"/>
      <c r="H62" s="1369"/>
      <c r="I62" s="1369"/>
      <c r="J62" s="1369"/>
      <c r="K62" s="1369"/>
      <c r="L62" s="1369"/>
      <c r="M62" s="1369"/>
      <c r="N62" s="1369"/>
      <c r="O62" s="1369"/>
      <c r="P62" s="1369"/>
      <c r="Q62" s="1369"/>
      <c r="R62" s="1369"/>
      <c r="S62" s="825"/>
      <c r="T62" s="90">
        <v>0</v>
      </c>
      <c r="U62" s="90">
        <v>0</v>
      </c>
      <c r="V62" s="90">
        <v>0</v>
      </c>
      <c r="W62" s="90">
        <v>0</v>
      </c>
      <c r="X62" s="90">
        <v>0</v>
      </c>
      <c r="Y62" s="90">
        <v>0</v>
      </c>
      <c r="Z62" s="90">
        <v>0</v>
      </c>
      <c r="AA62" s="90">
        <v>0</v>
      </c>
      <c r="AB62" s="90">
        <v>0</v>
      </c>
      <c r="AC62" s="90">
        <v>0</v>
      </c>
      <c r="AD62" s="825"/>
      <c r="AE62" s="825"/>
      <c r="AF62" s="825"/>
      <c r="AG62" s="825"/>
      <c r="AH62" s="825"/>
      <c r="AI62" s="825"/>
      <c r="AJ62" s="825"/>
      <c r="AK62" s="825"/>
      <c r="AL62" s="825"/>
      <c r="AM62" s="825"/>
      <c r="AN62" s="825"/>
      <c r="AO62" s="825"/>
      <c r="AP62" s="825"/>
    </row>
    <row r="63" spans="1:42" ht="12.75" customHeight="1">
      <c r="A63" s="825"/>
      <c r="B63" s="1138"/>
      <c r="C63" s="1138"/>
      <c r="D63" s="1369" t="s">
        <v>874</v>
      </c>
      <c r="E63" s="1369"/>
      <c r="F63" s="1369"/>
      <c r="G63" s="1369"/>
      <c r="H63" s="1369"/>
      <c r="I63" s="1369"/>
      <c r="J63" s="1369"/>
      <c r="K63" s="1369"/>
      <c r="L63" s="1369"/>
      <c r="M63" s="1369"/>
      <c r="N63" s="1369"/>
      <c r="O63" s="1369"/>
      <c r="P63" s="1369"/>
      <c r="Q63" s="1369"/>
      <c r="R63" s="1369"/>
      <c r="S63" s="825"/>
      <c r="T63" s="90">
        <v>0</v>
      </c>
      <c r="U63" s="90">
        <v>0</v>
      </c>
      <c r="V63" s="90">
        <v>0</v>
      </c>
      <c r="W63" s="90">
        <v>0</v>
      </c>
      <c r="X63" s="90">
        <v>0</v>
      </c>
      <c r="Y63" s="90">
        <v>0</v>
      </c>
      <c r="Z63" s="90">
        <v>0</v>
      </c>
      <c r="AA63" s="90">
        <v>0</v>
      </c>
      <c r="AB63" s="90">
        <v>0</v>
      </c>
      <c r="AC63" s="90">
        <v>0</v>
      </c>
      <c r="AD63" s="825"/>
      <c r="AE63" s="825"/>
      <c r="AF63" s="825"/>
      <c r="AG63" s="825"/>
      <c r="AH63" s="825"/>
      <c r="AI63" s="825"/>
      <c r="AJ63" s="825"/>
      <c r="AK63" s="825"/>
      <c r="AL63" s="825"/>
      <c r="AM63" s="825"/>
      <c r="AN63" s="825"/>
      <c r="AO63" s="825"/>
      <c r="AP63" s="825"/>
    </row>
    <row r="64" spans="1:42" ht="12.75" customHeight="1">
      <c r="A64" s="825"/>
      <c r="B64" s="1138"/>
      <c r="C64" s="1138"/>
      <c r="D64" s="1369" t="s">
        <v>875</v>
      </c>
      <c r="E64" s="1369"/>
      <c r="F64" s="1369"/>
      <c r="G64" s="1369"/>
      <c r="H64" s="1369"/>
      <c r="I64" s="1369"/>
      <c r="J64" s="1369"/>
      <c r="K64" s="1369"/>
      <c r="L64" s="1369"/>
      <c r="M64" s="1369"/>
      <c r="N64" s="1369"/>
      <c r="O64" s="1369"/>
      <c r="P64" s="1369"/>
      <c r="Q64" s="1369"/>
      <c r="R64" s="1369"/>
      <c r="S64" s="825"/>
      <c r="T64" s="90">
        <v>0</v>
      </c>
      <c r="U64" s="90">
        <v>0</v>
      </c>
      <c r="V64" s="90">
        <v>0</v>
      </c>
      <c r="W64" s="90">
        <v>0</v>
      </c>
      <c r="X64" s="90">
        <v>0</v>
      </c>
      <c r="Y64" s="90">
        <v>0</v>
      </c>
      <c r="Z64" s="90">
        <v>0</v>
      </c>
      <c r="AA64" s="90">
        <v>0</v>
      </c>
      <c r="AB64" s="90">
        <v>0</v>
      </c>
      <c r="AC64" s="90">
        <v>0</v>
      </c>
      <c r="AD64" s="825"/>
      <c r="AE64" s="825"/>
      <c r="AF64" s="825"/>
      <c r="AG64" s="825"/>
      <c r="AH64" s="825"/>
      <c r="AI64" s="825"/>
      <c r="AJ64" s="825"/>
      <c r="AK64" s="825"/>
      <c r="AL64" s="825"/>
      <c r="AM64" s="825"/>
      <c r="AN64" s="825"/>
      <c r="AO64" s="825"/>
      <c r="AP64" s="825"/>
    </row>
    <row r="65" spans="1:42" ht="12.75" customHeight="1">
      <c r="A65" s="825"/>
      <c r="B65" s="1138"/>
      <c r="C65" s="1280"/>
      <c r="D65" s="1369" t="s">
        <v>876</v>
      </c>
      <c r="E65" s="1369"/>
      <c r="F65" s="1369"/>
      <c r="G65" s="1369"/>
      <c r="H65" s="1369"/>
      <c r="I65" s="1369"/>
      <c r="J65" s="1369"/>
      <c r="K65" s="1369"/>
      <c r="L65" s="1369"/>
      <c r="M65" s="1369"/>
      <c r="N65" s="1369"/>
      <c r="O65" s="1369"/>
      <c r="P65" s="1369"/>
      <c r="Q65" s="1369"/>
      <c r="R65" s="1369"/>
      <c r="S65" s="825"/>
      <c r="T65" s="90">
        <v>0</v>
      </c>
      <c r="U65" s="90">
        <v>0</v>
      </c>
      <c r="V65" s="90">
        <v>0</v>
      </c>
      <c r="W65" s="90">
        <v>0</v>
      </c>
      <c r="X65" s="90">
        <v>0</v>
      </c>
      <c r="Y65" s="90">
        <v>0</v>
      </c>
      <c r="Z65" s="90">
        <v>0</v>
      </c>
      <c r="AA65" s="90">
        <v>0</v>
      </c>
      <c r="AB65" s="90">
        <v>0</v>
      </c>
      <c r="AC65" s="90">
        <v>0</v>
      </c>
      <c r="AD65" s="825"/>
      <c r="AE65" s="825"/>
      <c r="AF65" s="825"/>
      <c r="AG65" s="825"/>
      <c r="AH65" s="825"/>
      <c r="AI65" s="825"/>
      <c r="AJ65" s="825"/>
      <c r="AK65" s="825"/>
      <c r="AL65" s="825"/>
      <c r="AM65" s="825"/>
      <c r="AN65" s="825"/>
      <c r="AO65" s="825"/>
      <c r="AP65" s="825"/>
    </row>
    <row r="66" spans="1:42" ht="12.75" customHeight="1">
      <c r="A66" s="825"/>
      <c r="B66" s="1138"/>
      <c r="C66" s="1138"/>
      <c r="D66" s="1371" t="s">
        <v>1245</v>
      </c>
      <c r="E66" s="1372"/>
      <c r="F66" s="1372"/>
      <c r="G66" s="1372"/>
      <c r="H66" s="1372"/>
      <c r="I66" s="1372"/>
      <c r="J66" s="1372"/>
      <c r="K66" s="1372"/>
      <c r="L66" s="1372"/>
      <c r="M66" s="1372"/>
      <c r="N66" s="1372"/>
      <c r="O66" s="1372"/>
      <c r="P66" s="1372"/>
      <c r="Q66" s="1372"/>
      <c r="R66" s="1373"/>
      <c r="S66" s="825"/>
      <c r="T66" s="90">
        <v>126.27</v>
      </c>
      <c r="U66" s="90">
        <v>293.57299999999998</v>
      </c>
      <c r="V66" s="90">
        <v>367.62895997000004</v>
      </c>
      <c r="W66" s="90">
        <v>410.57710988605169</v>
      </c>
      <c r="X66" s="90">
        <v>445.21176663291527</v>
      </c>
      <c r="Y66" s="90">
        <v>487.5710931129986</v>
      </c>
      <c r="Z66" s="90">
        <v>514.58748250296389</v>
      </c>
      <c r="AA66" s="90">
        <v>534.88101625485888</v>
      </c>
      <c r="AB66" s="90">
        <v>554.05937499308845</v>
      </c>
      <c r="AC66" s="90">
        <v>573.38586353775133</v>
      </c>
      <c r="AD66" s="825"/>
      <c r="AE66" s="825"/>
      <c r="AF66" s="825"/>
      <c r="AG66" s="825"/>
      <c r="AH66" s="825"/>
      <c r="AI66" s="825"/>
      <c r="AJ66" s="825"/>
      <c r="AK66" s="825"/>
      <c r="AL66" s="825"/>
      <c r="AM66" s="825"/>
      <c r="AN66" s="825"/>
      <c r="AO66" s="825"/>
      <c r="AP66" s="825"/>
    </row>
    <row r="67" spans="1:42" ht="12.75" customHeight="1">
      <c r="A67" s="825"/>
      <c r="B67" s="1138"/>
      <c r="C67" s="1138"/>
      <c r="D67" s="1371" t="s">
        <v>1246</v>
      </c>
      <c r="E67" s="1372"/>
      <c r="F67" s="1372"/>
      <c r="G67" s="1372"/>
      <c r="H67" s="1372"/>
      <c r="I67" s="1372"/>
      <c r="J67" s="1372"/>
      <c r="K67" s="1372"/>
      <c r="L67" s="1372"/>
      <c r="M67" s="1372"/>
      <c r="N67" s="1372"/>
      <c r="O67" s="1372"/>
      <c r="P67" s="1372"/>
      <c r="Q67" s="1372"/>
      <c r="R67" s="1373"/>
      <c r="S67" s="825"/>
      <c r="T67" s="90">
        <v>3.5</v>
      </c>
      <c r="U67" s="90">
        <v>2.75</v>
      </c>
      <c r="V67" s="90">
        <v>1.9035324566289009</v>
      </c>
      <c r="W67" s="90">
        <v>1.1117474341389915</v>
      </c>
      <c r="X67" s="90">
        <v>0.31996241164908157</v>
      </c>
      <c r="Y67" s="90">
        <v>0</v>
      </c>
      <c r="Z67" s="90">
        <v>0</v>
      </c>
      <c r="AA67" s="90">
        <v>0</v>
      </c>
      <c r="AB67" s="90">
        <v>0</v>
      </c>
      <c r="AC67" s="90">
        <v>0</v>
      </c>
      <c r="AD67" s="825"/>
      <c r="AE67" s="825"/>
      <c r="AF67" s="825"/>
      <c r="AG67" s="825"/>
      <c r="AH67" s="825"/>
      <c r="AI67" s="825"/>
      <c r="AJ67" s="825"/>
      <c r="AK67" s="825"/>
      <c r="AL67" s="825"/>
      <c r="AM67" s="825"/>
      <c r="AN67" s="825"/>
      <c r="AO67" s="825"/>
      <c r="AP67" s="825"/>
    </row>
    <row r="68" spans="1:42" ht="12.75" customHeight="1">
      <c r="A68" s="825"/>
      <c r="B68" s="1138"/>
      <c r="C68" s="1138"/>
      <c r="D68" s="1371" t="s">
        <v>1247</v>
      </c>
      <c r="E68" s="1372"/>
      <c r="F68" s="1372"/>
      <c r="G68" s="1372"/>
      <c r="H68" s="1372"/>
      <c r="I68" s="1372"/>
      <c r="J68" s="1372"/>
      <c r="K68" s="1372"/>
      <c r="L68" s="1372"/>
      <c r="M68" s="1372"/>
      <c r="N68" s="1372"/>
      <c r="O68" s="1372"/>
      <c r="P68" s="1372"/>
      <c r="Q68" s="1372"/>
      <c r="R68" s="1373"/>
      <c r="S68" s="825"/>
      <c r="T68" s="90">
        <v>11.385</v>
      </c>
      <c r="U68" s="90">
        <v>11.385</v>
      </c>
      <c r="V68" s="90">
        <v>17.377841401050006</v>
      </c>
      <c r="W68" s="90">
        <v>20.752841401049949</v>
      </c>
      <c r="X68" s="90">
        <v>20.752841401049949</v>
      </c>
      <c r="Y68" s="90">
        <v>20.752841401049949</v>
      </c>
      <c r="Z68" s="90">
        <v>20.752841401049949</v>
      </c>
      <c r="AA68" s="90">
        <v>20.752841401049949</v>
      </c>
      <c r="AB68" s="90">
        <v>15.870579529999958</v>
      </c>
      <c r="AC68" s="90">
        <v>-2.4980847200000511</v>
      </c>
      <c r="AD68" s="825"/>
      <c r="AE68" s="825"/>
      <c r="AF68" s="825"/>
      <c r="AG68" s="825"/>
      <c r="AH68" s="825"/>
      <c r="AI68" s="825"/>
      <c r="AJ68" s="825"/>
      <c r="AK68" s="825"/>
      <c r="AL68" s="825"/>
      <c r="AM68" s="825"/>
      <c r="AN68" s="825"/>
      <c r="AO68" s="825"/>
      <c r="AP68" s="825"/>
    </row>
    <row r="69" spans="1:42" ht="12.75" customHeight="1">
      <c r="A69" s="825"/>
      <c r="B69" s="1138"/>
      <c r="C69" s="1138"/>
      <c r="D69" s="1371" t="s">
        <v>1248</v>
      </c>
      <c r="E69" s="1372"/>
      <c r="F69" s="1372"/>
      <c r="G69" s="1372"/>
      <c r="H69" s="1372"/>
      <c r="I69" s="1372"/>
      <c r="J69" s="1372"/>
      <c r="K69" s="1372"/>
      <c r="L69" s="1372"/>
      <c r="M69" s="1372"/>
      <c r="N69" s="1372"/>
      <c r="O69" s="1372"/>
      <c r="P69" s="1372"/>
      <c r="Q69" s="1372"/>
      <c r="R69" s="1373"/>
      <c r="S69" s="825"/>
      <c r="T69" s="90">
        <v>-5101.2914616978069</v>
      </c>
      <c r="U69" s="90">
        <v>-5331.6548346165455</v>
      </c>
      <c r="V69" s="90">
        <v>-5641.649798847634</v>
      </c>
      <c r="W69" s="90">
        <v>-5537.7695380990481</v>
      </c>
      <c r="X69" s="90">
        <v>-5673.7659472253008</v>
      </c>
      <c r="Y69" s="90">
        <v>-5415.5681797603529</v>
      </c>
      <c r="Z69" s="90">
        <v>-5450.0127709520775</v>
      </c>
      <c r="AA69" s="90">
        <v>-4841.0752094180407</v>
      </c>
      <c r="AB69" s="90">
        <v>-4066.8072344464767</v>
      </c>
      <c r="AC69" s="90">
        <v>-3697.2872934702732</v>
      </c>
      <c r="AD69" s="825"/>
      <c r="AE69" s="825"/>
      <c r="AF69" s="825"/>
      <c r="AG69" s="825"/>
      <c r="AH69" s="825"/>
      <c r="AI69" s="825"/>
      <c r="AJ69" s="825"/>
      <c r="AK69" s="825"/>
      <c r="AL69" s="825"/>
      <c r="AM69" s="825"/>
      <c r="AN69" s="825"/>
      <c r="AO69" s="825"/>
      <c r="AP69" s="825"/>
    </row>
    <row r="70" spans="1:42" ht="12.75" customHeight="1">
      <c r="A70" s="825"/>
      <c r="B70" s="1138"/>
      <c r="C70" s="1138"/>
      <c r="D70" s="1371" t="s">
        <v>834</v>
      </c>
      <c r="E70" s="1372"/>
      <c r="F70" s="1372"/>
      <c r="G70" s="1372"/>
      <c r="H70" s="1372"/>
      <c r="I70" s="1372"/>
      <c r="J70" s="1372"/>
      <c r="K70" s="1372"/>
      <c r="L70" s="1372"/>
      <c r="M70" s="1372"/>
      <c r="N70" s="1372"/>
      <c r="O70" s="1372"/>
      <c r="P70" s="1372"/>
      <c r="Q70" s="1372"/>
      <c r="R70" s="1373"/>
      <c r="S70" s="825"/>
      <c r="T70" s="90">
        <v>0</v>
      </c>
      <c r="U70" s="90">
        <v>0</v>
      </c>
      <c r="V70" s="90">
        <v>0</v>
      </c>
      <c r="W70" s="90">
        <v>0</v>
      </c>
      <c r="X70" s="90">
        <v>0</v>
      </c>
      <c r="Y70" s="90">
        <v>0</v>
      </c>
      <c r="Z70" s="90">
        <v>0</v>
      </c>
      <c r="AA70" s="90">
        <v>0</v>
      </c>
      <c r="AB70" s="90">
        <v>0</v>
      </c>
      <c r="AC70" s="90">
        <v>0</v>
      </c>
      <c r="AD70" s="825"/>
      <c r="AE70" s="825"/>
      <c r="AF70" s="825"/>
      <c r="AG70" s="825"/>
      <c r="AH70" s="825"/>
      <c r="AI70" s="825"/>
      <c r="AJ70" s="825"/>
      <c r="AK70" s="825"/>
      <c r="AL70" s="825"/>
      <c r="AM70" s="825"/>
      <c r="AN70" s="825"/>
      <c r="AO70" s="825"/>
      <c r="AP70" s="825"/>
    </row>
    <row r="71" spans="1:42" ht="12.75" customHeight="1">
      <c r="A71" s="825"/>
      <c r="B71" s="1138"/>
      <c r="C71" s="1138"/>
      <c r="D71" s="1371" t="s">
        <v>835</v>
      </c>
      <c r="E71" s="1372"/>
      <c r="F71" s="1372"/>
      <c r="G71" s="1372"/>
      <c r="H71" s="1372"/>
      <c r="I71" s="1372"/>
      <c r="J71" s="1372"/>
      <c r="K71" s="1372"/>
      <c r="L71" s="1372"/>
      <c r="M71" s="1372"/>
      <c r="N71" s="1372"/>
      <c r="O71" s="1372"/>
      <c r="P71" s="1372"/>
      <c r="Q71" s="1372"/>
      <c r="R71" s="1373"/>
      <c r="S71" s="825"/>
      <c r="T71" s="90">
        <v>0</v>
      </c>
      <c r="U71" s="90">
        <v>0</v>
      </c>
      <c r="V71" s="90">
        <v>0</v>
      </c>
      <c r="W71" s="90">
        <v>0</v>
      </c>
      <c r="X71" s="90">
        <v>0</v>
      </c>
      <c r="Y71" s="90">
        <v>0</v>
      </c>
      <c r="Z71" s="90">
        <v>0</v>
      </c>
      <c r="AA71" s="90">
        <v>0</v>
      </c>
      <c r="AB71" s="90">
        <v>0</v>
      </c>
      <c r="AC71" s="90">
        <v>0</v>
      </c>
      <c r="AD71" s="825"/>
      <c r="AE71" s="825"/>
      <c r="AF71" s="825"/>
      <c r="AG71" s="825"/>
      <c r="AH71" s="825"/>
      <c r="AI71" s="825"/>
      <c r="AJ71" s="825"/>
      <c r="AK71" s="825"/>
      <c r="AL71" s="825"/>
      <c r="AM71" s="825"/>
      <c r="AN71" s="825"/>
      <c r="AO71" s="825"/>
      <c r="AP71" s="825"/>
    </row>
    <row r="72" spans="1:42" ht="12.75" customHeight="1">
      <c r="A72" s="825"/>
      <c r="B72" s="1138"/>
      <c r="C72" s="1138"/>
      <c r="D72" s="1371" t="s">
        <v>836</v>
      </c>
      <c r="E72" s="1372"/>
      <c r="F72" s="1372"/>
      <c r="G72" s="1372"/>
      <c r="H72" s="1372"/>
      <c r="I72" s="1372"/>
      <c r="J72" s="1372"/>
      <c r="K72" s="1372"/>
      <c r="L72" s="1372"/>
      <c r="M72" s="1372"/>
      <c r="N72" s="1372"/>
      <c r="O72" s="1372"/>
      <c r="P72" s="1372"/>
      <c r="Q72" s="1372"/>
      <c r="R72" s="1373"/>
      <c r="S72" s="825"/>
      <c r="T72" s="90">
        <v>0</v>
      </c>
      <c r="U72" s="90">
        <v>0</v>
      </c>
      <c r="V72" s="90">
        <v>0</v>
      </c>
      <c r="W72" s="90">
        <v>0</v>
      </c>
      <c r="X72" s="90">
        <v>0</v>
      </c>
      <c r="Y72" s="90">
        <v>0</v>
      </c>
      <c r="Z72" s="90">
        <v>0</v>
      </c>
      <c r="AA72" s="90">
        <v>0</v>
      </c>
      <c r="AB72" s="90">
        <v>0</v>
      </c>
      <c r="AC72" s="90">
        <v>0</v>
      </c>
      <c r="AD72" s="825"/>
      <c r="AE72" s="825"/>
      <c r="AF72" s="825"/>
      <c r="AG72" s="825"/>
      <c r="AH72" s="825"/>
      <c r="AI72" s="825"/>
      <c r="AJ72" s="825"/>
      <c r="AK72" s="825"/>
      <c r="AL72" s="825"/>
      <c r="AM72" s="825"/>
      <c r="AN72" s="825"/>
      <c r="AO72" s="825"/>
      <c r="AP72" s="825"/>
    </row>
    <row r="73" spans="1:42" ht="12.75" customHeight="1">
      <c r="A73" s="825"/>
      <c r="B73" s="1138"/>
      <c r="C73" s="1138"/>
      <c r="D73" s="1371" t="s">
        <v>837</v>
      </c>
      <c r="E73" s="1372"/>
      <c r="F73" s="1372"/>
      <c r="G73" s="1372"/>
      <c r="H73" s="1372"/>
      <c r="I73" s="1372"/>
      <c r="J73" s="1372"/>
      <c r="K73" s="1372"/>
      <c r="L73" s="1372"/>
      <c r="M73" s="1372"/>
      <c r="N73" s="1372"/>
      <c r="O73" s="1372"/>
      <c r="P73" s="1372"/>
      <c r="Q73" s="1372"/>
      <c r="R73" s="1373"/>
      <c r="S73" s="825"/>
      <c r="T73" s="90">
        <v>0</v>
      </c>
      <c r="U73" s="90">
        <v>0</v>
      </c>
      <c r="V73" s="90">
        <v>0</v>
      </c>
      <c r="W73" s="90">
        <v>0</v>
      </c>
      <c r="X73" s="90">
        <v>0</v>
      </c>
      <c r="Y73" s="90">
        <v>0</v>
      </c>
      <c r="Z73" s="90">
        <v>0</v>
      </c>
      <c r="AA73" s="90">
        <v>0</v>
      </c>
      <c r="AB73" s="90">
        <v>0</v>
      </c>
      <c r="AC73" s="90">
        <v>0</v>
      </c>
      <c r="AD73" s="825"/>
      <c r="AE73" s="825"/>
      <c r="AF73" s="825"/>
      <c r="AG73" s="825"/>
      <c r="AH73" s="825"/>
      <c r="AI73" s="825"/>
      <c r="AJ73" s="825"/>
      <c r="AK73" s="825"/>
      <c r="AL73" s="825"/>
      <c r="AM73" s="825"/>
      <c r="AN73" s="825"/>
      <c r="AO73" s="825"/>
      <c r="AP73" s="825"/>
    </row>
    <row r="74" spans="1:42" ht="12.75" customHeight="1">
      <c r="A74" s="825"/>
      <c r="B74" s="1138"/>
      <c r="C74" s="1138"/>
      <c r="D74" s="1374" t="s">
        <v>655</v>
      </c>
      <c r="E74" s="1375"/>
      <c r="F74" s="1375"/>
      <c r="G74" s="1375"/>
      <c r="H74" s="1375"/>
      <c r="I74" s="1375"/>
      <c r="J74" s="1375"/>
      <c r="K74" s="1375"/>
      <c r="L74" s="1375"/>
      <c r="M74" s="1375"/>
      <c r="N74" s="1375"/>
      <c r="O74" s="1375"/>
      <c r="P74" s="1375"/>
      <c r="Q74" s="1375"/>
      <c r="R74" s="1376"/>
      <c r="S74" s="825"/>
      <c r="T74" s="90">
        <v>0</v>
      </c>
      <c r="U74" s="90">
        <v>0</v>
      </c>
      <c r="V74" s="90">
        <v>0</v>
      </c>
      <c r="W74" s="90">
        <v>0</v>
      </c>
      <c r="X74" s="90">
        <v>0</v>
      </c>
      <c r="Y74" s="90">
        <v>0</v>
      </c>
      <c r="Z74" s="90">
        <v>0</v>
      </c>
      <c r="AA74" s="90">
        <v>0</v>
      </c>
      <c r="AB74" s="90">
        <v>0</v>
      </c>
      <c r="AC74" s="90">
        <v>0</v>
      </c>
      <c r="AD74" s="825"/>
      <c r="AE74" s="825"/>
      <c r="AF74" s="825"/>
      <c r="AG74" s="825"/>
      <c r="AH74" s="825"/>
      <c r="AI74" s="825"/>
      <c r="AJ74" s="825"/>
      <c r="AK74" s="825"/>
      <c r="AL74" s="825"/>
      <c r="AM74" s="825"/>
      <c r="AN74" s="825"/>
      <c r="AO74" s="825"/>
      <c r="AP74" s="825"/>
    </row>
    <row r="75" spans="1:42" ht="12.75" customHeight="1">
      <c r="A75" s="825"/>
      <c r="B75" s="1138"/>
      <c r="C75" s="1138"/>
      <c r="D75" s="1374" t="s">
        <v>656</v>
      </c>
      <c r="E75" s="1375"/>
      <c r="F75" s="1375"/>
      <c r="G75" s="1375"/>
      <c r="H75" s="1375"/>
      <c r="I75" s="1375"/>
      <c r="J75" s="1375"/>
      <c r="K75" s="1375"/>
      <c r="L75" s="1375"/>
      <c r="M75" s="1375"/>
      <c r="N75" s="1375"/>
      <c r="O75" s="1375"/>
      <c r="P75" s="1375"/>
      <c r="Q75" s="1375"/>
      <c r="R75" s="1376"/>
      <c r="S75" s="825"/>
      <c r="T75" s="90">
        <v>0</v>
      </c>
      <c r="U75" s="90">
        <v>0</v>
      </c>
      <c r="V75" s="90">
        <v>0</v>
      </c>
      <c r="W75" s="90">
        <v>0</v>
      </c>
      <c r="X75" s="90">
        <v>0</v>
      </c>
      <c r="Y75" s="90">
        <v>0</v>
      </c>
      <c r="Z75" s="90">
        <v>0</v>
      </c>
      <c r="AA75" s="90">
        <v>0</v>
      </c>
      <c r="AB75" s="90">
        <v>0</v>
      </c>
      <c r="AC75" s="90">
        <v>0</v>
      </c>
      <c r="AD75" s="825"/>
      <c r="AE75" s="825"/>
      <c r="AF75" s="825"/>
      <c r="AG75" s="825"/>
      <c r="AH75" s="825"/>
      <c r="AI75" s="825"/>
      <c r="AJ75" s="825"/>
      <c r="AK75" s="825"/>
      <c r="AL75" s="825"/>
      <c r="AM75" s="825"/>
      <c r="AN75" s="825"/>
      <c r="AO75" s="825"/>
      <c r="AP75" s="825"/>
    </row>
    <row r="76" spans="1:42" ht="12.75" customHeight="1">
      <c r="A76" s="825"/>
      <c r="B76" s="1138"/>
      <c r="C76" s="1138"/>
      <c r="D76" s="1377" t="s">
        <v>877</v>
      </c>
      <c r="E76" s="1378"/>
      <c r="F76" s="1378"/>
      <c r="G76" s="1378"/>
      <c r="H76" s="1378"/>
      <c r="I76" s="1378"/>
      <c r="J76" s="1378"/>
      <c r="K76" s="1378"/>
      <c r="L76" s="1378"/>
      <c r="M76" s="1378"/>
      <c r="N76" s="1378"/>
      <c r="O76" s="1378"/>
      <c r="P76" s="1378"/>
      <c r="Q76" s="1378"/>
      <c r="R76" s="1379"/>
      <c r="S76" s="825"/>
      <c r="T76" s="90">
        <v>0</v>
      </c>
      <c r="U76" s="90">
        <v>0</v>
      </c>
      <c r="V76" s="90">
        <v>0</v>
      </c>
      <c r="W76" s="90">
        <v>0</v>
      </c>
      <c r="X76" s="90">
        <v>0</v>
      </c>
      <c r="Y76" s="90">
        <v>0</v>
      </c>
      <c r="Z76" s="90">
        <v>0</v>
      </c>
      <c r="AA76" s="90">
        <v>0</v>
      </c>
      <c r="AB76" s="90">
        <v>0</v>
      </c>
      <c r="AC76" s="90">
        <v>0</v>
      </c>
      <c r="AD76" s="825"/>
      <c r="AE76" s="825"/>
      <c r="AF76" s="825"/>
      <c r="AG76" s="825"/>
      <c r="AH76" s="825"/>
      <c r="AI76" s="825"/>
      <c r="AJ76" s="825"/>
      <c r="AK76" s="825"/>
      <c r="AL76" s="825"/>
      <c r="AM76" s="825"/>
      <c r="AN76" s="825"/>
      <c r="AO76" s="825"/>
      <c r="AP76" s="825"/>
    </row>
    <row r="77" spans="1:42">
      <c r="A77" s="825"/>
      <c r="B77" s="1138"/>
      <c r="C77" s="1138"/>
      <c r="D77" s="1370" t="s">
        <v>878</v>
      </c>
      <c r="E77" s="1370"/>
      <c r="F77" s="1370"/>
      <c r="G77" s="1370"/>
      <c r="H77" s="1370"/>
      <c r="I77" s="1370"/>
      <c r="J77" s="1370"/>
      <c r="K77" s="1370"/>
      <c r="L77" s="1370"/>
      <c r="M77" s="1370"/>
      <c r="N77" s="1370"/>
      <c r="O77" s="1370"/>
      <c r="P77" s="1370"/>
      <c r="Q77" s="1370"/>
      <c r="R77" s="1370"/>
      <c r="S77" s="825"/>
      <c r="T77" s="700">
        <v>1613.6798701616171</v>
      </c>
      <c r="U77" s="701">
        <v>1700.4023996092437</v>
      </c>
      <c r="V77" s="701">
        <v>1819.5328169592422</v>
      </c>
      <c r="W77" s="701">
        <v>1798.3144623670651</v>
      </c>
      <c r="X77" s="701">
        <v>1848.5595220713012</v>
      </c>
      <c r="Y77" s="701">
        <v>1764.436569862055</v>
      </c>
      <c r="Z77" s="701">
        <v>1775.658900431129</v>
      </c>
      <c r="AA77" s="702">
        <v>1577.262044059019</v>
      </c>
      <c r="AB77" s="827">
        <v>1324.9991817764289</v>
      </c>
      <c r="AC77" s="701">
        <v>1204.6065515832784</v>
      </c>
      <c r="AD77" s="825"/>
      <c r="AE77" s="825"/>
      <c r="AF77" s="825"/>
      <c r="AG77" s="825"/>
      <c r="AH77" s="825"/>
      <c r="AI77" s="825"/>
      <c r="AJ77" s="825"/>
      <c r="AK77" s="825"/>
      <c r="AL77" s="825"/>
      <c r="AM77" s="825"/>
      <c r="AN77" s="825"/>
      <c r="AO77" s="825"/>
      <c r="AP77" s="825"/>
    </row>
    <row r="78" spans="1:42">
      <c r="A78" s="825"/>
      <c r="B78" s="1138"/>
      <c r="C78" s="1138"/>
      <c r="D78" s="825"/>
      <c r="E78" s="825"/>
      <c r="F78" s="825"/>
      <c r="G78" s="825"/>
      <c r="H78" s="825"/>
      <c r="I78" s="825"/>
      <c r="J78" s="825"/>
      <c r="K78" s="825"/>
      <c r="L78" s="825"/>
      <c r="M78" s="825"/>
      <c r="N78" s="825"/>
      <c r="O78" s="825"/>
      <c r="P78" s="825"/>
      <c r="Q78" s="825"/>
      <c r="R78" s="825"/>
      <c r="S78" s="825"/>
      <c r="T78" s="825"/>
      <c r="U78" s="825"/>
      <c r="V78" s="825"/>
      <c r="W78" s="825"/>
      <c r="X78" s="825"/>
      <c r="Y78" s="825"/>
      <c r="Z78" s="825"/>
      <c r="AA78" s="825"/>
      <c r="AB78" s="835"/>
      <c r="AC78" s="825"/>
      <c r="AD78" s="825"/>
      <c r="AE78" s="825"/>
      <c r="AF78" s="825"/>
      <c r="AG78" s="825"/>
      <c r="AH78" s="825"/>
      <c r="AI78" s="825"/>
      <c r="AJ78" s="825"/>
      <c r="AK78" s="825"/>
      <c r="AL78" s="825"/>
      <c r="AM78" s="825"/>
      <c r="AN78" s="825"/>
      <c r="AO78" s="825"/>
      <c r="AP78" s="825"/>
    </row>
    <row r="79" spans="1:42">
      <c r="A79" s="825"/>
      <c r="B79" s="1138"/>
      <c r="C79" s="1138"/>
      <c r="D79" s="1133" t="s">
        <v>658</v>
      </c>
      <c r="E79" s="1133"/>
      <c r="F79" s="825"/>
      <c r="G79" s="825"/>
      <c r="H79" s="825"/>
      <c r="I79" s="825"/>
      <c r="J79" s="825"/>
      <c r="K79" s="825"/>
      <c r="L79" s="825"/>
      <c r="M79" s="825"/>
      <c r="N79" s="825"/>
      <c r="O79" s="825"/>
      <c r="P79" s="825"/>
      <c r="Q79" s="825"/>
      <c r="R79" s="825"/>
      <c r="S79" s="825"/>
      <c r="T79" s="825"/>
      <c r="U79" s="825"/>
      <c r="V79" s="825"/>
      <c r="W79" s="825"/>
      <c r="X79" s="825"/>
      <c r="Y79" s="825"/>
      <c r="Z79" s="825"/>
      <c r="AA79" s="825"/>
      <c r="AB79" s="835"/>
      <c r="AC79" s="825"/>
      <c r="AD79" s="825"/>
      <c r="AE79" s="825"/>
      <c r="AF79" s="825"/>
      <c r="AG79" s="825"/>
      <c r="AH79" s="825"/>
      <c r="AI79" s="825"/>
      <c r="AJ79" s="825"/>
      <c r="AK79" s="825"/>
      <c r="AL79" s="825"/>
      <c r="AM79" s="825"/>
      <c r="AN79" s="825"/>
      <c r="AO79" s="825"/>
      <c r="AP79" s="825"/>
    </row>
    <row r="80" spans="1:42">
      <c r="A80" s="825"/>
      <c r="B80" s="1138"/>
      <c r="C80" s="1138"/>
      <c r="D80" s="825" t="s">
        <v>659</v>
      </c>
      <c r="E80" s="825"/>
      <c r="F80" s="825"/>
      <c r="G80" s="825"/>
      <c r="H80" s="825"/>
      <c r="I80" s="825"/>
      <c r="J80" s="825"/>
      <c r="K80" s="825"/>
      <c r="L80" s="825"/>
      <c r="M80" s="825"/>
      <c r="N80" s="825"/>
      <c r="O80" s="825"/>
      <c r="P80" s="825"/>
      <c r="Q80" s="825"/>
      <c r="R80" s="825"/>
      <c r="S80" s="825"/>
      <c r="T80" s="90">
        <v>0</v>
      </c>
      <c r="U80" s="90">
        <v>0</v>
      </c>
      <c r="V80" s="90">
        <v>0</v>
      </c>
      <c r="W80" s="90">
        <v>0</v>
      </c>
      <c r="X80" s="90">
        <v>0</v>
      </c>
      <c r="Y80" s="90">
        <v>0</v>
      </c>
      <c r="Z80" s="90">
        <v>0</v>
      </c>
      <c r="AA80" s="90">
        <v>0</v>
      </c>
      <c r="AB80" s="90">
        <v>0</v>
      </c>
      <c r="AC80" s="90">
        <v>0</v>
      </c>
      <c r="AD80" s="825"/>
      <c r="AE80" s="825"/>
      <c r="AF80" s="825"/>
      <c r="AG80" s="825"/>
      <c r="AH80" s="825"/>
      <c r="AI80" s="825"/>
      <c r="AJ80" s="825"/>
      <c r="AK80" s="825"/>
      <c r="AL80" s="825"/>
      <c r="AM80" s="825"/>
      <c r="AN80" s="825"/>
      <c r="AO80" s="825"/>
      <c r="AP80" s="825"/>
    </row>
    <row r="81" spans="1:42">
      <c r="A81" s="825"/>
      <c r="B81" s="1138"/>
      <c r="C81" s="1138"/>
      <c r="D81" s="825" t="s">
        <v>660</v>
      </c>
      <c r="E81" s="825"/>
      <c r="F81" s="825"/>
      <c r="G81" s="825"/>
      <c r="H81" s="825"/>
      <c r="I81" s="825"/>
      <c r="J81" s="825"/>
      <c r="K81" s="825"/>
      <c r="L81" s="825"/>
      <c r="M81" s="825"/>
      <c r="N81" s="825"/>
      <c r="O81" s="825"/>
      <c r="P81" s="825"/>
      <c r="Q81" s="825"/>
      <c r="R81" s="825"/>
      <c r="S81" s="825"/>
      <c r="T81" s="55">
        <v>1</v>
      </c>
      <c r="U81" s="56">
        <v>1</v>
      </c>
      <c r="V81" s="56">
        <v>1</v>
      </c>
      <c r="W81" s="56">
        <v>1</v>
      </c>
      <c r="X81" s="56">
        <v>1</v>
      </c>
      <c r="Y81" s="56">
        <v>1</v>
      </c>
      <c r="Z81" s="56">
        <v>1</v>
      </c>
      <c r="AA81" s="57">
        <v>1</v>
      </c>
      <c r="AB81" s="58">
        <v>1</v>
      </c>
      <c r="AC81" s="56">
        <v>1</v>
      </c>
      <c r="AD81" s="825"/>
      <c r="AE81" s="825"/>
      <c r="AF81" s="825"/>
      <c r="AG81" s="825"/>
      <c r="AH81" s="825"/>
      <c r="AI81" s="825"/>
      <c r="AJ81" s="825"/>
      <c r="AK81" s="825"/>
      <c r="AL81" s="825"/>
      <c r="AM81" s="825"/>
      <c r="AN81" s="825"/>
      <c r="AO81" s="825"/>
      <c r="AP81" s="825"/>
    </row>
    <row r="82" spans="1:42">
      <c r="A82" s="825"/>
      <c r="B82" s="1138"/>
      <c r="C82" s="1138"/>
      <c r="D82" s="825"/>
      <c r="E82" s="825"/>
      <c r="F82" s="825"/>
      <c r="G82" s="825"/>
      <c r="H82" s="825"/>
      <c r="I82" s="825"/>
      <c r="J82" s="825"/>
      <c r="K82" s="825"/>
      <c r="L82" s="825"/>
      <c r="M82" s="825"/>
      <c r="N82" s="825"/>
      <c r="O82" s="825"/>
      <c r="P82" s="825"/>
      <c r="Q82" s="825"/>
      <c r="R82" s="825"/>
      <c r="S82" s="825"/>
      <c r="T82" s="825"/>
      <c r="U82" s="825"/>
      <c r="V82" s="825"/>
      <c r="W82" s="825"/>
      <c r="X82" s="825"/>
      <c r="Y82" s="825"/>
      <c r="Z82" s="825"/>
      <c r="AA82" s="825"/>
      <c r="AB82" s="835"/>
      <c r="AC82" s="825"/>
      <c r="AD82" s="825"/>
      <c r="AE82" s="825"/>
      <c r="AF82" s="825"/>
      <c r="AG82" s="825"/>
      <c r="AH82" s="825"/>
      <c r="AI82" s="825"/>
      <c r="AJ82" s="825"/>
      <c r="AK82" s="825"/>
      <c r="AL82" s="825"/>
      <c r="AM82" s="825"/>
      <c r="AN82" s="825"/>
      <c r="AO82" s="825"/>
      <c r="AP82" s="825"/>
    </row>
    <row r="83" spans="1:42">
      <c r="A83" s="825"/>
      <c r="B83" s="1138"/>
      <c r="C83" s="1138"/>
      <c r="D83" s="825"/>
      <c r="E83" s="825"/>
      <c r="F83" s="825"/>
      <c r="G83" s="825"/>
      <c r="H83" s="825"/>
      <c r="I83" s="825"/>
      <c r="J83" s="825"/>
      <c r="K83" s="825"/>
      <c r="L83" s="825"/>
      <c r="M83" s="825"/>
      <c r="N83" s="825"/>
      <c r="O83" s="825"/>
      <c r="P83" s="825"/>
      <c r="Q83" s="825"/>
      <c r="R83" s="825"/>
      <c r="S83" s="825"/>
      <c r="T83" s="825"/>
      <c r="U83" s="825"/>
      <c r="V83" s="825"/>
      <c r="W83" s="825"/>
      <c r="X83" s="825"/>
      <c r="Y83" s="825"/>
      <c r="Z83" s="825"/>
      <c r="AA83" s="825"/>
      <c r="AB83" s="835"/>
      <c r="AC83" s="825"/>
      <c r="AD83" s="825"/>
      <c r="AE83" s="825"/>
      <c r="AF83" s="825"/>
      <c r="AG83" s="825"/>
      <c r="AH83" s="825"/>
      <c r="AI83" s="825"/>
      <c r="AJ83" s="825"/>
      <c r="AK83" s="825"/>
      <c r="AL83" s="825"/>
      <c r="AM83" s="825"/>
      <c r="AN83" s="825"/>
      <c r="AO83" s="825"/>
      <c r="AP83" s="825"/>
    </row>
    <row r="84" spans="1:42" ht="16">
      <c r="A84" s="825"/>
      <c r="B84" s="1127" t="s">
        <v>879</v>
      </c>
      <c r="C84" s="1127"/>
      <c r="D84" s="1128"/>
      <c r="E84" s="1128"/>
      <c r="F84" s="1128"/>
      <c r="G84" s="1128"/>
      <c r="H84" s="1128"/>
      <c r="I84" s="1128"/>
      <c r="J84" s="1128"/>
      <c r="K84" s="1128"/>
      <c r="L84" s="1128"/>
      <c r="M84" s="1128"/>
      <c r="N84" s="1128"/>
      <c r="O84" s="1128"/>
      <c r="P84" s="1128"/>
      <c r="Q84" s="1128"/>
      <c r="R84" s="825"/>
      <c r="S84" s="825"/>
      <c r="T84" s="825"/>
      <c r="U84" s="825"/>
      <c r="V84" s="825"/>
      <c r="W84" s="825"/>
      <c r="X84" s="825"/>
      <c r="Y84" s="825"/>
      <c r="Z84" s="825"/>
      <c r="AA84" s="825"/>
      <c r="AB84" s="835"/>
      <c r="AC84" s="825"/>
      <c r="AD84" s="825"/>
      <c r="AE84" s="825"/>
      <c r="AF84" s="825"/>
      <c r="AG84" s="825"/>
      <c r="AH84" s="825"/>
      <c r="AI84" s="825"/>
      <c r="AJ84" s="825"/>
      <c r="AK84" s="825"/>
      <c r="AL84" s="825"/>
      <c r="AM84" s="825"/>
      <c r="AN84" s="825"/>
      <c r="AO84" s="825"/>
      <c r="AP84" s="825"/>
    </row>
    <row r="85" spans="1:42">
      <c r="A85" s="825"/>
      <c r="B85" s="1138"/>
      <c r="C85" s="1138"/>
      <c r="D85" s="825"/>
      <c r="E85" s="825"/>
      <c r="F85" s="825"/>
      <c r="G85" s="825"/>
      <c r="H85" s="825"/>
      <c r="I85" s="825"/>
      <c r="J85" s="825"/>
      <c r="K85" s="825"/>
      <c r="L85" s="825"/>
      <c r="M85" s="825"/>
      <c r="N85" s="825"/>
      <c r="O85" s="825"/>
      <c r="P85" s="825"/>
      <c r="Q85" s="825"/>
      <c r="R85" s="825"/>
      <c r="S85" s="825"/>
      <c r="T85" s="825"/>
      <c r="U85" s="825"/>
      <c r="V85" s="825"/>
      <c r="W85" s="825"/>
      <c r="X85" s="825"/>
      <c r="Y85" s="825"/>
      <c r="Z85" s="825"/>
      <c r="AA85" s="825"/>
      <c r="AB85" s="835"/>
      <c r="AC85" s="825"/>
      <c r="AD85" s="825"/>
      <c r="AE85" s="825"/>
      <c r="AF85" s="825"/>
      <c r="AG85" s="825"/>
      <c r="AH85" s="825"/>
      <c r="AI85" s="825"/>
      <c r="AJ85" s="825"/>
      <c r="AK85" s="825"/>
      <c r="AL85" s="825"/>
      <c r="AM85" s="825"/>
      <c r="AN85" s="825"/>
      <c r="AO85" s="825"/>
      <c r="AP85" s="825"/>
    </row>
    <row r="86" spans="1:42">
      <c r="A86" s="825"/>
      <c r="B86" s="1138"/>
      <c r="C86" s="1138"/>
      <c r="D86" s="1158" t="s">
        <v>880</v>
      </c>
      <c r="E86" s="1158"/>
      <c r="S86" s="825"/>
      <c r="T86" s="1147" t="s">
        <v>486</v>
      </c>
      <c r="U86" s="1148" t="s">
        <v>486</v>
      </c>
      <c r="V86" s="1148" t="s">
        <v>486</v>
      </c>
      <c r="W86" s="1148" t="s">
        <v>486</v>
      </c>
      <c r="X86" s="1148" t="s">
        <v>486</v>
      </c>
      <c r="Y86" s="1148" t="s">
        <v>486</v>
      </c>
      <c r="Z86" s="1148" t="s">
        <v>486</v>
      </c>
      <c r="AA86" s="1149" t="s">
        <v>486</v>
      </c>
      <c r="AB86" s="1150" t="s">
        <v>486</v>
      </c>
      <c r="AC86" s="1148" t="s">
        <v>486</v>
      </c>
      <c r="AD86" s="825"/>
      <c r="AE86" s="825"/>
      <c r="AF86" s="825"/>
      <c r="AG86" s="825"/>
      <c r="AH86" s="825"/>
      <c r="AI86" s="825"/>
      <c r="AJ86" s="825"/>
      <c r="AK86" s="825"/>
      <c r="AL86" s="825"/>
      <c r="AM86" s="825"/>
      <c r="AN86" s="825"/>
      <c r="AO86" s="825"/>
      <c r="AP86" s="825"/>
    </row>
    <row r="87" spans="1:42" ht="12.75" customHeight="1">
      <c r="A87" s="825"/>
      <c r="B87" s="1138"/>
      <c r="C87" s="1138"/>
      <c r="D87" s="1369" t="s">
        <v>881</v>
      </c>
      <c r="E87" s="1369"/>
      <c r="F87" s="1369"/>
      <c r="G87" s="1369"/>
      <c r="H87" s="1369"/>
      <c r="I87" s="1369"/>
      <c r="J87" s="1369"/>
      <c r="K87" s="1369"/>
      <c r="L87" s="1369"/>
      <c r="M87" s="1369"/>
      <c r="N87" s="1369"/>
      <c r="O87" s="1369"/>
      <c r="P87" s="1369"/>
      <c r="Q87" s="1369"/>
      <c r="R87" s="1369"/>
      <c r="S87" s="825"/>
      <c r="T87" s="831">
        <v>0.79105033343544517</v>
      </c>
      <c r="U87" s="831">
        <v>0.79077683896528717</v>
      </c>
      <c r="V87" s="831">
        <v>0.82647852276631972</v>
      </c>
      <c r="W87" s="831">
        <v>0.83902784476209336</v>
      </c>
      <c r="X87" s="831">
        <v>0.83754386567812134</v>
      </c>
      <c r="Y87" s="831">
        <v>0.88536527004828458</v>
      </c>
      <c r="Z87" s="831">
        <v>0.88291908884931081</v>
      </c>
      <c r="AA87" s="831">
        <v>0.86331495282288351</v>
      </c>
      <c r="AB87" s="831">
        <v>0.83012037494751867</v>
      </c>
      <c r="AC87" s="831">
        <v>0.84064898280773459</v>
      </c>
      <c r="AD87" s="825"/>
      <c r="AE87" s="825"/>
      <c r="AF87" s="825"/>
      <c r="AG87" s="825"/>
      <c r="AH87" s="825"/>
      <c r="AI87" s="825"/>
      <c r="AJ87" s="825"/>
      <c r="AK87" s="825"/>
      <c r="AL87" s="825"/>
      <c r="AM87" s="825"/>
      <c r="AN87" s="825"/>
      <c r="AO87" s="825"/>
      <c r="AP87" s="825"/>
    </row>
    <row r="88" spans="1:42" ht="12.75" customHeight="1">
      <c r="A88" s="825"/>
      <c r="B88" s="1138"/>
      <c r="C88" s="1138"/>
      <c r="D88" s="1369" t="s">
        <v>882</v>
      </c>
      <c r="E88" s="1369"/>
      <c r="F88" s="1369"/>
      <c r="G88" s="1369"/>
      <c r="H88" s="1369"/>
      <c r="I88" s="1369"/>
      <c r="J88" s="1369"/>
      <c r="K88" s="1369"/>
      <c r="L88" s="1369"/>
      <c r="M88" s="1369"/>
      <c r="N88" s="1369"/>
      <c r="O88" s="1369"/>
      <c r="P88" s="1369"/>
      <c r="Q88" s="1369"/>
      <c r="R88" s="1369"/>
      <c r="S88" s="825"/>
      <c r="T88" s="831">
        <v>6.0007653989533241E-2</v>
      </c>
      <c r="U88" s="831">
        <v>5.5033128859087815E-2</v>
      </c>
      <c r="V88" s="831">
        <v>7.1686715458711261E-2</v>
      </c>
      <c r="W88" s="831">
        <v>7.7427112943631679E-2</v>
      </c>
      <c r="X88" s="831">
        <v>7.729016848242222E-2</v>
      </c>
      <c r="Y88" s="831">
        <v>2.2282696420089471E-2</v>
      </c>
      <c r="Z88" s="831">
        <v>2.2221131419869516E-2</v>
      </c>
      <c r="AA88" s="831">
        <v>2.532627247649016E-2</v>
      </c>
      <c r="AB88" s="831">
        <v>3.072589017292986E-2</v>
      </c>
      <c r="AC88" s="831">
        <v>0</v>
      </c>
      <c r="AD88" s="825"/>
      <c r="AE88" s="825"/>
      <c r="AF88" s="825"/>
      <c r="AG88" s="825"/>
      <c r="AH88" s="825"/>
      <c r="AI88" s="825"/>
      <c r="AJ88" s="825"/>
      <c r="AK88" s="825"/>
      <c r="AL88" s="825"/>
      <c r="AM88" s="825"/>
      <c r="AN88" s="825"/>
      <c r="AO88" s="825"/>
      <c r="AP88" s="825"/>
    </row>
    <row r="89" spans="1:42" ht="12.75" customHeight="1">
      <c r="A89" s="825"/>
      <c r="B89" s="1138"/>
      <c r="C89" s="1138"/>
      <c r="D89" s="1369" t="s">
        <v>883</v>
      </c>
      <c r="E89" s="1369"/>
      <c r="F89" s="1369"/>
      <c r="G89" s="1369"/>
      <c r="H89" s="1369"/>
      <c r="I89" s="1369"/>
      <c r="J89" s="1369"/>
      <c r="K89" s="1369"/>
      <c r="L89" s="1369"/>
      <c r="M89" s="1369"/>
      <c r="N89" s="1369"/>
      <c r="O89" s="1369"/>
      <c r="P89" s="1369"/>
      <c r="Q89" s="1369"/>
      <c r="R89" s="1369"/>
      <c r="S89" s="825"/>
      <c r="T89" s="831">
        <v>0.14894201257502174</v>
      </c>
      <c r="U89" s="831">
        <v>0.15419003217562499</v>
      </c>
      <c r="V89" s="831">
        <v>0.10183476177496897</v>
      </c>
      <c r="W89" s="831">
        <v>8.3545042294274993E-2</v>
      </c>
      <c r="X89" s="831">
        <v>8.5165965839456459E-2</v>
      </c>
      <c r="Y89" s="831">
        <v>9.2352033531625938E-2</v>
      </c>
      <c r="Z89" s="831">
        <v>9.4859779730819688E-2</v>
      </c>
      <c r="AA89" s="831">
        <v>0.11135877470062634</v>
      </c>
      <c r="AB89" s="831">
        <v>0.13915373487955146</v>
      </c>
      <c r="AC89" s="831">
        <v>0.15935101719226541</v>
      </c>
      <c r="AD89" s="825"/>
      <c r="AE89" s="825"/>
      <c r="AF89" s="825"/>
      <c r="AG89" s="825"/>
      <c r="AH89" s="825"/>
      <c r="AI89" s="825"/>
      <c r="AJ89" s="825"/>
      <c r="AK89" s="825"/>
      <c r="AL89" s="825"/>
      <c r="AM89" s="825"/>
      <c r="AN89" s="825"/>
      <c r="AO89" s="825"/>
      <c r="AP89" s="825"/>
    </row>
    <row r="90" spans="1:42" ht="12.75" customHeight="1">
      <c r="A90" s="825"/>
      <c r="B90" s="1138"/>
      <c r="C90" s="1138"/>
      <c r="D90" s="1369" t="s">
        <v>884</v>
      </c>
      <c r="E90" s="1369"/>
      <c r="F90" s="1369"/>
      <c r="G90" s="1369"/>
      <c r="H90" s="1369"/>
      <c r="I90" s="1369"/>
      <c r="J90" s="1369"/>
      <c r="K90" s="1369"/>
      <c r="L90" s="1369"/>
      <c r="M90" s="1369"/>
      <c r="N90" s="1369"/>
      <c r="O90" s="1369"/>
      <c r="P90" s="1369"/>
      <c r="Q90" s="1369"/>
      <c r="R90" s="1369"/>
      <c r="S90" s="825"/>
      <c r="T90" s="831">
        <v>0</v>
      </c>
      <c r="U90" s="831">
        <v>0</v>
      </c>
      <c r="V90" s="831">
        <v>0</v>
      </c>
      <c r="W90" s="831">
        <v>0</v>
      </c>
      <c r="X90" s="831">
        <v>0</v>
      </c>
      <c r="Y90" s="831">
        <v>0</v>
      </c>
      <c r="Z90" s="831">
        <v>0</v>
      </c>
      <c r="AA90" s="831">
        <v>0</v>
      </c>
      <c r="AB90" s="831">
        <v>0</v>
      </c>
      <c r="AC90" s="831">
        <v>0</v>
      </c>
      <c r="AD90" s="825"/>
      <c r="AE90" s="825"/>
      <c r="AF90" s="825"/>
      <c r="AG90" s="825"/>
      <c r="AH90" s="825"/>
      <c r="AI90" s="825"/>
      <c r="AJ90" s="825"/>
      <c r="AK90" s="825"/>
      <c r="AL90" s="825"/>
      <c r="AM90" s="825"/>
      <c r="AN90" s="825"/>
      <c r="AO90" s="825"/>
      <c r="AP90" s="825"/>
    </row>
    <row r="91" spans="1:42" ht="12.75" customHeight="1">
      <c r="A91" s="825"/>
      <c r="B91" s="1138"/>
      <c r="C91" s="1138"/>
      <c r="D91" s="1369" t="s">
        <v>885</v>
      </c>
      <c r="E91" s="1369"/>
      <c r="F91" s="1369"/>
      <c r="G91" s="1369"/>
      <c r="H91" s="1369"/>
      <c r="I91" s="1369"/>
      <c r="J91" s="1369"/>
      <c r="K91" s="1369"/>
      <c r="L91" s="1369"/>
      <c r="M91" s="1369"/>
      <c r="N91" s="1369"/>
      <c r="O91" s="1369"/>
      <c r="P91" s="1369"/>
      <c r="Q91" s="1369"/>
      <c r="R91" s="1369"/>
      <c r="S91" s="825"/>
      <c r="T91" s="832">
        <v>0</v>
      </c>
      <c r="U91" s="833">
        <v>0</v>
      </c>
      <c r="V91" s="833">
        <v>0</v>
      </c>
      <c r="W91" s="833">
        <v>0</v>
      </c>
      <c r="X91" s="833">
        <v>0</v>
      </c>
      <c r="Y91" s="833">
        <v>0</v>
      </c>
      <c r="Z91" s="833">
        <v>0</v>
      </c>
      <c r="AA91" s="834">
        <v>0</v>
      </c>
      <c r="AB91" s="833">
        <v>0</v>
      </c>
      <c r="AC91" s="833">
        <v>0</v>
      </c>
      <c r="AD91" s="825"/>
      <c r="AE91" s="825"/>
      <c r="AF91" s="825"/>
      <c r="AG91" s="825"/>
      <c r="AH91" s="825"/>
      <c r="AI91" s="825"/>
      <c r="AJ91" s="825"/>
      <c r="AK91" s="825"/>
      <c r="AL91" s="825"/>
      <c r="AM91" s="825"/>
      <c r="AN91" s="825"/>
      <c r="AO91" s="825"/>
      <c r="AP91" s="825"/>
    </row>
    <row r="92" spans="1:42">
      <c r="A92" s="825"/>
      <c r="B92" s="1138"/>
      <c r="C92" s="1138"/>
      <c r="D92" s="1370" t="s">
        <v>613</v>
      </c>
      <c r="E92" s="1370"/>
      <c r="F92" s="1370"/>
      <c r="G92" s="1370"/>
      <c r="H92" s="1370"/>
      <c r="I92" s="1370"/>
      <c r="J92" s="1370"/>
      <c r="K92" s="1370"/>
      <c r="L92" s="1370"/>
      <c r="M92" s="1370"/>
      <c r="N92" s="1370"/>
      <c r="O92" s="1370"/>
      <c r="P92" s="1370"/>
      <c r="Q92" s="1370"/>
      <c r="R92" s="1370"/>
      <c r="S92" s="825"/>
      <c r="T92" s="262">
        <v>1.0000000000000002</v>
      </c>
      <c r="U92" s="263">
        <v>1</v>
      </c>
      <c r="V92" s="263">
        <v>1</v>
      </c>
      <c r="W92" s="263">
        <v>1</v>
      </c>
      <c r="X92" s="263">
        <v>1</v>
      </c>
      <c r="Y92" s="263">
        <v>1</v>
      </c>
      <c r="Z92" s="263">
        <v>1</v>
      </c>
      <c r="AA92" s="264">
        <v>1</v>
      </c>
      <c r="AB92" s="265">
        <v>1</v>
      </c>
      <c r="AC92" s="263">
        <v>1</v>
      </c>
      <c r="AD92" s="825"/>
      <c r="AE92" s="825"/>
      <c r="AF92" s="825"/>
      <c r="AG92" s="825"/>
      <c r="AH92" s="825"/>
      <c r="AI92" s="825"/>
      <c r="AJ92" s="825"/>
      <c r="AK92" s="825"/>
      <c r="AL92" s="825"/>
      <c r="AM92" s="825"/>
      <c r="AN92" s="825"/>
      <c r="AO92" s="825"/>
      <c r="AP92" s="825"/>
    </row>
    <row r="93" spans="1:42">
      <c r="A93" s="825"/>
      <c r="B93" s="1138"/>
      <c r="C93" s="1138"/>
      <c r="D93" s="1155" t="s">
        <v>557</v>
      </c>
      <c r="E93" s="825"/>
      <c r="F93" s="825"/>
      <c r="G93" s="825"/>
      <c r="H93" s="825"/>
      <c r="I93" s="825"/>
      <c r="J93" s="825"/>
      <c r="K93" s="825"/>
      <c r="L93" s="825"/>
      <c r="M93" s="825"/>
      <c r="N93" s="825"/>
      <c r="O93" s="825"/>
      <c r="P93" s="825"/>
      <c r="Q93" s="825"/>
      <c r="R93" s="825"/>
      <c r="S93" s="825"/>
      <c r="T93" s="825" t="s">
        <v>1258</v>
      </c>
      <c r="U93" s="825" t="s">
        <v>1258</v>
      </c>
      <c r="V93" s="825" t="s">
        <v>1258</v>
      </c>
      <c r="W93" s="825" t="s">
        <v>1258</v>
      </c>
      <c r="X93" s="825" t="s">
        <v>1258</v>
      </c>
      <c r="Y93" s="825" t="s">
        <v>1258</v>
      </c>
      <c r="Z93" s="825" t="s">
        <v>1258</v>
      </c>
      <c r="AA93" s="825" t="s">
        <v>1258</v>
      </c>
      <c r="AB93" s="835" t="s">
        <v>1258</v>
      </c>
      <c r="AC93" s="825" t="s">
        <v>1258</v>
      </c>
      <c r="AD93" s="825"/>
      <c r="AE93" s="825"/>
      <c r="AF93" s="825"/>
      <c r="AG93" s="825"/>
      <c r="AH93" s="825"/>
      <c r="AI93" s="825"/>
      <c r="AJ93" s="825"/>
      <c r="AK93" s="825"/>
      <c r="AL93" s="825"/>
      <c r="AM93" s="825"/>
      <c r="AN93" s="825"/>
      <c r="AO93" s="825"/>
      <c r="AP93" s="825"/>
    </row>
    <row r="94" spans="1:42">
      <c r="A94" s="825"/>
      <c r="B94" s="1138"/>
      <c r="C94" s="1138"/>
      <c r="D94" s="825"/>
      <c r="E94" s="825"/>
      <c r="F94" s="825"/>
      <c r="G94" s="825"/>
      <c r="H94" s="825"/>
      <c r="I94" s="825"/>
      <c r="J94" s="825"/>
      <c r="K94" s="825"/>
      <c r="L94" s="825"/>
      <c r="M94" s="825"/>
      <c r="N94" s="825"/>
      <c r="O94" s="825"/>
      <c r="P94" s="825"/>
      <c r="Q94" s="825"/>
      <c r="R94" s="825"/>
      <c r="S94" s="825"/>
      <c r="T94" s="825"/>
      <c r="U94" s="825"/>
      <c r="V94" s="825"/>
      <c r="W94" s="825"/>
      <c r="X94" s="825"/>
      <c r="Y94" s="825"/>
      <c r="Z94" s="825"/>
      <c r="AA94" s="825"/>
      <c r="AB94" s="835"/>
      <c r="AC94" s="825"/>
      <c r="AD94" s="825"/>
      <c r="AE94" s="825"/>
      <c r="AF94" s="825"/>
      <c r="AG94" s="825"/>
      <c r="AH94" s="825"/>
      <c r="AI94" s="825"/>
      <c r="AJ94" s="825"/>
      <c r="AK94" s="825"/>
      <c r="AL94" s="825"/>
      <c r="AM94" s="825"/>
      <c r="AN94" s="825"/>
      <c r="AO94" s="825"/>
      <c r="AP94" s="825"/>
    </row>
    <row r="95" spans="1:42">
      <c r="A95" s="825"/>
      <c r="B95" s="1138"/>
      <c r="C95" s="1138"/>
      <c r="D95" s="1158" t="s">
        <v>886</v>
      </c>
      <c r="E95" s="1158"/>
      <c r="S95" s="825"/>
      <c r="T95" s="825"/>
      <c r="U95" s="825"/>
      <c r="V95" s="825"/>
      <c r="W95" s="825"/>
      <c r="X95" s="825"/>
      <c r="Y95" s="825"/>
      <c r="Z95" s="825"/>
      <c r="AA95" s="825"/>
      <c r="AB95" s="835"/>
      <c r="AC95" s="825"/>
      <c r="AD95" s="825"/>
      <c r="AE95" s="825"/>
      <c r="AF95" s="825"/>
      <c r="AG95" s="825"/>
      <c r="AH95" s="825"/>
      <c r="AI95" s="825"/>
      <c r="AJ95" s="825"/>
      <c r="AK95" s="825"/>
      <c r="AL95" s="825"/>
      <c r="AM95" s="825"/>
      <c r="AN95" s="825"/>
      <c r="AO95" s="825"/>
      <c r="AP95" s="825"/>
    </row>
    <row r="96" spans="1:42">
      <c r="A96" s="825"/>
      <c r="B96" s="1138"/>
      <c r="C96" s="1138"/>
      <c r="D96" s="1369" t="s">
        <v>881</v>
      </c>
      <c r="E96" s="1369"/>
      <c r="F96" s="1369"/>
      <c r="G96" s="1369"/>
      <c r="H96" s="1369"/>
      <c r="I96" s="1369"/>
      <c r="J96" s="1369"/>
      <c r="K96" s="1369"/>
      <c r="L96" s="1369"/>
      <c r="M96" s="1369"/>
      <c r="N96" s="1369"/>
      <c r="O96" s="1369"/>
      <c r="P96" s="1369"/>
      <c r="Q96" s="1369"/>
      <c r="R96" s="1369"/>
      <c r="S96" s="825"/>
      <c r="T96" s="831">
        <v>0.64103119846161216</v>
      </c>
      <c r="U96" s="831">
        <v>0.6531940168175675</v>
      </c>
      <c r="V96" s="831">
        <v>0.64566898564153152</v>
      </c>
      <c r="W96" s="831">
        <v>0.64373977272997562</v>
      </c>
      <c r="X96" s="831">
        <v>0.64260119745596533</v>
      </c>
      <c r="Y96" s="831">
        <v>0.67929192252910786</v>
      </c>
      <c r="Z96" s="831">
        <v>0.69222919027408114</v>
      </c>
      <c r="AA96" s="831">
        <v>0.67974675307695254</v>
      </c>
      <c r="AB96" s="831">
        <v>0.62220851811069333</v>
      </c>
      <c r="AC96" s="831">
        <v>0.70058996427688336</v>
      </c>
      <c r="AD96" s="825"/>
      <c r="AE96" s="825"/>
      <c r="AF96" s="825"/>
      <c r="AG96" s="825"/>
      <c r="AH96" s="825"/>
      <c r="AI96" s="825"/>
      <c r="AJ96" s="825"/>
      <c r="AK96" s="825"/>
      <c r="AL96" s="825"/>
      <c r="AM96" s="825"/>
      <c r="AN96" s="825"/>
      <c r="AO96" s="825"/>
      <c r="AP96" s="825"/>
    </row>
    <row r="97" spans="1:42">
      <c r="A97" s="825"/>
      <c r="B97" s="1138"/>
      <c r="C97" s="1138"/>
      <c r="D97" s="1369" t="s">
        <v>882</v>
      </c>
      <c r="E97" s="1369"/>
      <c r="F97" s="1369"/>
      <c r="G97" s="1369"/>
      <c r="H97" s="1369"/>
      <c r="I97" s="1369"/>
      <c r="J97" s="1369"/>
      <c r="K97" s="1369"/>
      <c r="L97" s="1369"/>
      <c r="M97" s="1369"/>
      <c r="N97" s="1369"/>
      <c r="O97" s="1369"/>
      <c r="P97" s="1369"/>
      <c r="Q97" s="1369"/>
      <c r="R97" s="1369"/>
      <c r="S97" s="825"/>
      <c r="T97" s="831">
        <v>0</v>
      </c>
      <c r="U97" s="831">
        <v>0</v>
      </c>
      <c r="V97" s="831">
        <v>7.0020976870416113E-2</v>
      </c>
      <c r="W97" s="831">
        <v>7.5627988391959666E-2</v>
      </c>
      <c r="X97" s="831">
        <v>7.5494226022048833E-2</v>
      </c>
      <c r="Y97" s="831">
        <v>7.9804734472003105E-2</v>
      </c>
      <c r="Z97" s="831">
        <v>7.9584241475882014E-2</v>
      </c>
      <c r="AA97" s="831">
        <v>9.0705200665466959E-2</v>
      </c>
      <c r="AB97" s="831">
        <v>9.5250259536082571E-2</v>
      </c>
      <c r="AC97" s="831">
        <v>7.1737546076777431E-2</v>
      </c>
      <c r="AD97" s="825"/>
      <c r="AE97" s="825"/>
      <c r="AF97" s="825"/>
      <c r="AG97" s="825"/>
      <c r="AH97" s="825"/>
      <c r="AI97" s="825"/>
      <c r="AJ97" s="825"/>
      <c r="AK97" s="825"/>
      <c r="AL97" s="825"/>
      <c r="AM97" s="825"/>
      <c r="AN97" s="825"/>
      <c r="AO97" s="825"/>
      <c r="AP97" s="825"/>
    </row>
    <row r="98" spans="1:42">
      <c r="A98" s="825"/>
      <c r="B98" s="1138"/>
      <c r="C98" s="1138"/>
      <c r="D98" s="1369" t="s">
        <v>883</v>
      </c>
      <c r="E98" s="1369"/>
      <c r="F98" s="1369"/>
      <c r="G98" s="1369"/>
      <c r="H98" s="1369"/>
      <c r="I98" s="1369"/>
      <c r="J98" s="1369"/>
      <c r="K98" s="1369"/>
      <c r="L98" s="1369"/>
      <c r="M98" s="1369"/>
      <c r="N98" s="1369"/>
      <c r="O98" s="1369"/>
      <c r="P98" s="1369"/>
      <c r="Q98" s="1369"/>
      <c r="R98" s="1369"/>
      <c r="S98" s="825"/>
      <c r="T98" s="831">
        <v>0.20894966656455496</v>
      </c>
      <c r="U98" s="831">
        <v>0.20922316103471275</v>
      </c>
      <c r="V98" s="831">
        <v>0.15397055483584987</v>
      </c>
      <c r="W98" s="831">
        <v>0.13985566988964349</v>
      </c>
      <c r="X98" s="831">
        <v>0.14137699746303622</v>
      </c>
      <c r="Y98" s="831">
        <v>9.2352033531625938E-2</v>
      </c>
      <c r="Z98" s="831">
        <v>9.4859779730819688E-2</v>
      </c>
      <c r="AA98" s="831">
        <v>0.11135877470062634</v>
      </c>
      <c r="AB98" s="831">
        <v>0.13915373487955146</v>
      </c>
      <c r="AC98" s="831">
        <v>0.15935101719226541</v>
      </c>
      <c r="AD98" s="825"/>
      <c r="AE98" s="825"/>
      <c r="AF98" s="825"/>
      <c r="AG98" s="825"/>
      <c r="AH98" s="825"/>
      <c r="AI98" s="825"/>
      <c r="AJ98" s="825"/>
      <c r="AK98" s="825"/>
      <c r="AL98" s="825"/>
      <c r="AM98" s="825"/>
      <c r="AN98" s="825"/>
      <c r="AO98" s="825"/>
      <c r="AP98" s="825"/>
    </row>
    <row r="99" spans="1:42">
      <c r="A99" s="825"/>
      <c r="B99" s="1138"/>
      <c r="C99" s="1138"/>
      <c r="D99" s="1369" t="s">
        <v>884</v>
      </c>
      <c r="E99" s="1369"/>
      <c r="F99" s="1369"/>
      <c r="G99" s="1369"/>
      <c r="H99" s="1369"/>
      <c r="I99" s="1369"/>
      <c r="J99" s="1369"/>
      <c r="K99" s="1369"/>
      <c r="L99" s="1369"/>
      <c r="M99" s="1369"/>
      <c r="N99" s="1369"/>
      <c r="O99" s="1369"/>
      <c r="P99" s="1369"/>
      <c r="Q99" s="1369"/>
      <c r="R99" s="1369"/>
      <c r="S99" s="825"/>
      <c r="T99" s="831">
        <v>0.15001913497383312</v>
      </c>
      <c r="U99" s="831">
        <v>0.13758282214771952</v>
      </c>
      <c r="V99" s="831">
        <v>0.1303394826522023</v>
      </c>
      <c r="W99" s="831">
        <v>0.14077656898842125</v>
      </c>
      <c r="X99" s="831">
        <v>0.14052757905894947</v>
      </c>
      <c r="Y99" s="831">
        <v>0.14855130946726314</v>
      </c>
      <c r="Z99" s="831">
        <v>0.13332678851921709</v>
      </c>
      <c r="AA99" s="831">
        <v>0.11818927155695408</v>
      </c>
      <c r="AB99" s="831">
        <v>0.14338748747367269</v>
      </c>
      <c r="AC99" s="831">
        <v>6.8321472454073745E-2</v>
      </c>
      <c r="AD99" s="825"/>
      <c r="AE99" s="825"/>
      <c r="AF99" s="825"/>
      <c r="AG99" s="825"/>
      <c r="AH99" s="825"/>
      <c r="AI99" s="825"/>
      <c r="AJ99" s="825"/>
      <c r="AK99" s="825"/>
      <c r="AL99" s="825"/>
      <c r="AM99" s="825"/>
      <c r="AN99" s="825"/>
      <c r="AO99" s="825"/>
      <c r="AP99" s="825"/>
    </row>
    <row r="100" spans="1:42">
      <c r="A100" s="825"/>
      <c r="B100" s="1138"/>
      <c r="C100" s="1138"/>
      <c r="D100" s="1160"/>
      <c r="E100" s="1160"/>
      <c r="F100" s="1160"/>
      <c r="G100" s="1160"/>
      <c r="H100" s="1160"/>
      <c r="I100" s="1160"/>
      <c r="J100" s="1160"/>
      <c r="K100" s="1160"/>
      <c r="L100" s="1160"/>
      <c r="M100" s="1160"/>
      <c r="N100" s="1160"/>
      <c r="O100" s="1160"/>
      <c r="P100" s="1160"/>
      <c r="Q100" s="1160"/>
      <c r="R100" s="1160"/>
      <c r="S100" s="825"/>
      <c r="T100" s="832">
        <v>0</v>
      </c>
      <c r="U100" s="833">
        <v>0</v>
      </c>
      <c r="V100" s="833">
        <v>0</v>
      </c>
      <c r="W100" s="833">
        <v>0</v>
      </c>
      <c r="X100" s="833">
        <v>0</v>
      </c>
      <c r="Y100" s="833">
        <v>0</v>
      </c>
      <c r="Z100" s="833">
        <v>0</v>
      </c>
      <c r="AA100" s="834">
        <v>0</v>
      </c>
      <c r="AB100" s="833">
        <v>0</v>
      </c>
      <c r="AC100" s="833">
        <v>0</v>
      </c>
      <c r="AD100" s="825"/>
      <c r="AE100" s="825"/>
      <c r="AF100" s="825"/>
      <c r="AG100" s="825"/>
      <c r="AH100" s="825"/>
      <c r="AI100" s="825"/>
      <c r="AJ100" s="825"/>
      <c r="AK100" s="825"/>
      <c r="AL100" s="825"/>
      <c r="AM100" s="825"/>
      <c r="AN100" s="825"/>
      <c r="AO100" s="825"/>
      <c r="AP100" s="825"/>
    </row>
    <row r="101" spans="1:42">
      <c r="A101" s="825"/>
      <c r="B101" s="1138"/>
      <c r="C101" s="1138"/>
      <c r="D101" s="1370" t="s">
        <v>613</v>
      </c>
      <c r="E101" s="1370"/>
      <c r="F101" s="1370"/>
      <c r="G101" s="1370"/>
      <c r="H101" s="1370"/>
      <c r="I101" s="1370"/>
      <c r="J101" s="1370"/>
      <c r="K101" s="1370"/>
      <c r="L101" s="1370"/>
      <c r="M101" s="1370"/>
      <c r="N101" s="1370"/>
      <c r="O101" s="1370"/>
      <c r="P101" s="1370"/>
      <c r="Q101" s="1370"/>
      <c r="R101" s="1370"/>
      <c r="S101" s="825"/>
      <c r="T101" s="262">
        <v>1.0000000000000002</v>
      </c>
      <c r="U101" s="263">
        <v>0.99999999999999978</v>
      </c>
      <c r="V101" s="263">
        <v>0.99999999999999978</v>
      </c>
      <c r="W101" s="263">
        <v>1</v>
      </c>
      <c r="X101" s="263">
        <v>0.99999999999999978</v>
      </c>
      <c r="Y101" s="263">
        <v>1</v>
      </c>
      <c r="Z101" s="263">
        <v>1</v>
      </c>
      <c r="AA101" s="264">
        <v>1</v>
      </c>
      <c r="AB101" s="265">
        <v>1</v>
      </c>
      <c r="AC101" s="263">
        <v>0.99999999999999989</v>
      </c>
      <c r="AD101" s="825"/>
      <c r="AE101" s="825"/>
      <c r="AF101" s="825"/>
      <c r="AG101" s="825"/>
      <c r="AH101" s="825"/>
      <c r="AI101" s="825"/>
      <c r="AJ101" s="825"/>
      <c r="AK101" s="825"/>
      <c r="AL101" s="825"/>
      <c r="AM101" s="825"/>
      <c r="AN101" s="825"/>
      <c r="AO101" s="825"/>
      <c r="AP101" s="825"/>
    </row>
    <row r="102" spans="1:42">
      <c r="A102" s="825"/>
      <c r="B102" s="1138"/>
      <c r="C102" s="1138"/>
      <c r="D102" s="1155" t="s">
        <v>557</v>
      </c>
      <c r="E102" s="825"/>
      <c r="F102" s="825"/>
      <c r="G102" s="825"/>
      <c r="H102" s="825"/>
      <c r="I102" s="825"/>
      <c r="J102" s="825"/>
      <c r="K102" s="825"/>
      <c r="L102" s="825"/>
      <c r="M102" s="825"/>
      <c r="N102" s="825"/>
      <c r="O102" s="825"/>
      <c r="P102" s="825"/>
      <c r="Q102" s="825"/>
      <c r="R102" s="825"/>
      <c r="S102" s="825"/>
      <c r="T102" s="825" t="s">
        <v>1258</v>
      </c>
      <c r="U102" s="825" t="s">
        <v>1258</v>
      </c>
      <c r="V102" s="825" t="s">
        <v>1258</v>
      </c>
      <c r="W102" s="825" t="s">
        <v>1258</v>
      </c>
      <c r="X102" s="825" t="s">
        <v>1258</v>
      </c>
      <c r="Y102" s="825" t="s">
        <v>1258</v>
      </c>
      <c r="Z102" s="825" t="s">
        <v>1258</v>
      </c>
      <c r="AA102" s="825" t="s">
        <v>1258</v>
      </c>
      <c r="AB102" s="835" t="s">
        <v>1258</v>
      </c>
      <c r="AC102" s="825" t="s">
        <v>1258</v>
      </c>
      <c r="AD102" s="825"/>
      <c r="AE102" s="825"/>
      <c r="AF102" s="825"/>
      <c r="AG102" s="825"/>
      <c r="AH102" s="825"/>
      <c r="AI102" s="825"/>
      <c r="AJ102" s="825"/>
      <c r="AK102" s="825"/>
      <c r="AL102" s="825"/>
      <c r="AM102" s="825"/>
      <c r="AN102" s="825"/>
      <c r="AO102" s="825"/>
      <c r="AP102" s="825"/>
    </row>
    <row r="103" spans="1:42">
      <c r="A103" s="825"/>
      <c r="B103" s="1138"/>
      <c r="C103" s="1138"/>
      <c r="D103" s="825"/>
      <c r="E103" s="825"/>
      <c r="F103" s="825"/>
      <c r="G103" s="825"/>
      <c r="H103" s="825"/>
      <c r="I103" s="825"/>
      <c r="J103" s="825"/>
      <c r="K103" s="825"/>
      <c r="L103" s="825"/>
      <c r="M103" s="825"/>
      <c r="N103" s="825"/>
      <c r="O103" s="825"/>
      <c r="P103" s="825"/>
      <c r="Q103" s="825"/>
      <c r="R103" s="825"/>
      <c r="S103" s="825"/>
      <c r="T103" s="825"/>
      <c r="U103" s="825"/>
      <c r="V103" s="825"/>
      <c r="W103" s="825"/>
      <c r="X103" s="825"/>
      <c r="Y103" s="825"/>
      <c r="Z103" s="825"/>
      <c r="AA103" s="825"/>
      <c r="AB103" s="835"/>
      <c r="AC103" s="825"/>
      <c r="AD103" s="825"/>
      <c r="AE103" s="825"/>
      <c r="AF103" s="825"/>
      <c r="AG103" s="825"/>
      <c r="AH103" s="825"/>
      <c r="AI103" s="825"/>
      <c r="AJ103" s="825"/>
      <c r="AK103" s="825"/>
      <c r="AL103" s="825"/>
      <c r="AM103" s="825"/>
      <c r="AN103" s="825"/>
      <c r="AO103" s="825"/>
      <c r="AP103" s="825"/>
    </row>
    <row r="104" spans="1:42">
      <c r="A104" s="825"/>
      <c r="B104" s="1138"/>
      <c r="C104" s="1138"/>
      <c r="D104" s="1158" t="s">
        <v>887</v>
      </c>
      <c r="E104" s="1158"/>
      <c r="S104" s="825"/>
      <c r="T104" s="1147" t="s">
        <v>486</v>
      </c>
      <c r="U104" s="1148" t="s">
        <v>486</v>
      </c>
      <c r="V104" s="1148" t="s">
        <v>486</v>
      </c>
      <c r="W104" s="1148" t="s">
        <v>486</v>
      </c>
      <c r="X104" s="1148" t="s">
        <v>486</v>
      </c>
      <c r="Y104" s="1148" t="s">
        <v>486</v>
      </c>
      <c r="Z104" s="1148" t="s">
        <v>486</v>
      </c>
      <c r="AA104" s="1149" t="s">
        <v>486</v>
      </c>
      <c r="AB104" s="1150" t="s">
        <v>486</v>
      </c>
      <c r="AC104" s="1148" t="s">
        <v>486</v>
      </c>
      <c r="AD104" s="825"/>
      <c r="AE104" s="825"/>
      <c r="AF104" s="825"/>
      <c r="AG104" s="825"/>
      <c r="AH104" s="825"/>
      <c r="AI104" s="825"/>
      <c r="AJ104" s="825"/>
      <c r="AK104" s="825"/>
      <c r="AL104" s="825"/>
      <c r="AM104" s="825"/>
      <c r="AN104" s="825"/>
      <c r="AO104" s="825"/>
      <c r="AP104" s="825"/>
    </row>
    <row r="105" spans="1:42">
      <c r="A105" s="825"/>
      <c r="B105" s="1138"/>
      <c r="C105" s="1138"/>
      <c r="D105" s="1369" t="s">
        <v>888</v>
      </c>
      <c r="E105" s="1369"/>
      <c r="F105" s="1369"/>
      <c r="G105" s="1369"/>
      <c r="H105" s="1369"/>
      <c r="I105" s="1369"/>
      <c r="J105" s="1369"/>
      <c r="K105" s="1369"/>
      <c r="L105" s="1369"/>
      <c r="M105" s="1369"/>
      <c r="N105" s="1369"/>
      <c r="O105" s="1369"/>
      <c r="P105" s="1369"/>
      <c r="Q105" s="1369"/>
      <c r="R105" s="1369"/>
      <c r="S105" s="825"/>
      <c r="T105" s="836">
        <v>0.72627550158918619</v>
      </c>
      <c r="U105" s="836">
        <v>0.74896676354721314</v>
      </c>
      <c r="V105" s="836">
        <v>0.72571187067825538</v>
      </c>
      <c r="W105" s="836">
        <v>0.75737983950747612</v>
      </c>
      <c r="X105" s="836">
        <v>0.75780895904834533</v>
      </c>
      <c r="Y105" s="836">
        <v>0.74398053025936184</v>
      </c>
      <c r="Z105" s="836">
        <v>0.74468788804110164</v>
      </c>
      <c r="AA105" s="836">
        <v>0.70901103135381249</v>
      </c>
      <c r="AB105" s="836">
        <v>0.84374285690791329</v>
      </c>
      <c r="AC105" s="836">
        <v>0.88577156908514665</v>
      </c>
      <c r="AD105" s="825"/>
      <c r="AE105" s="825"/>
      <c r="AF105" s="825"/>
      <c r="AG105" s="825"/>
      <c r="AH105" s="825"/>
      <c r="AI105" s="825"/>
      <c r="AJ105" s="825"/>
      <c r="AK105" s="825"/>
      <c r="AL105" s="825"/>
      <c r="AM105" s="825"/>
      <c r="AN105" s="825"/>
      <c r="AO105" s="825"/>
      <c r="AP105" s="825"/>
    </row>
    <row r="106" spans="1:42">
      <c r="A106" s="825"/>
      <c r="B106" s="1138"/>
      <c r="C106" s="1138"/>
      <c r="D106" s="1369" t="s">
        <v>889</v>
      </c>
      <c r="E106" s="1369"/>
      <c r="F106" s="1369"/>
      <c r="G106" s="1369"/>
      <c r="H106" s="1369"/>
      <c r="I106" s="1369"/>
      <c r="J106" s="1369"/>
      <c r="K106" s="1369"/>
      <c r="L106" s="1369"/>
      <c r="M106" s="1369"/>
      <c r="N106" s="1369"/>
      <c r="O106" s="1369"/>
      <c r="P106" s="1369"/>
      <c r="Q106" s="1369"/>
      <c r="R106" s="1369"/>
      <c r="S106" s="825"/>
      <c r="T106" s="836">
        <v>0.27372449841081403</v>
      </c>
      <c r="U106" s="836">
        <v>0.25103323645278669</v>
      </c>
      <c r="V106" s="836">
        <v>0.27428812932174446</v>
      </c>
      <c r="W106" s="836">
        <v>0.24262016049252375</v>
      </c>
      <c r="X106" s="836">
        <v>0.24219104095165447</v>
      </c>
      <c r="Y106" s="836">
        <v>0.25601946974063794</v>
      </c>
      <c r="Z106" s="836">
        <v>0.25531211195889819</v>
      </c>
      <c r="AA106" s="836">
        <v>0.29098896864618723</v>
      </c>
      <c r="AB106" s="836">
        <v>0.15625714309208669</v>
      </c>
      <c r="AC106" s="836">
        <v>0.11422843091485331</v>
      </c>
      <c r="AD106" s="825"/>
      <c r="AE106" s="825"/>
      <c r="AF106" s="825"/>
      <c r="AG106" s="825"/>
      <c r="AH106" s="825"/>
      <c r="AI106" s="825"/>
      <c r="AJ106" s="825"/>
      <c r="AK106" s="825"/>
      <c r="AL106" s="825"/>
      <c r="AM106" s="825"/>
      <c r="AN106" s="825"/>
      <c r="AO106" s="825"/>
      <c r="AP106" s="825"/>
    </row>
    <row r="107" spans="1:42">
      <c r="A107" s="825"/>
      <c r="B107" s="1138"/>
      <c r="C107" s="1138"/>
      <c r="D107" s="1370" t="s">
        <v>613</v>
      </c>
      <c r="E107" s="1370"/>
      <c r="F107" s="1370"/>
      <c r="G107" s="1370"/>
      <c r="H107" s="1370"/>
      <c r="I107" s="1370"/>
      <c r="J107" s="1370"/>
      <c r="K107" s="1370"/>
      <c r="L107" s="1370"/>
      <c r="M107" s="1370"/>
      <c r="N107" s="1370"/>
      <c r="O107" s="1370"/>
      <c r="P107" s="1370"/>
      <c r="Q107" s="1370"/>
      <c r="R107" s="1370"/>
      <c r="S107" s="825"/>
      <c r="T107" s="262">
        <v>1.0000000000000002</v>
      </c>
      <c r="U107" s="263">
        <v>0.99999999999999978</v>
      </c>
      <c r="V107" s="263">
        <v>0.99999999999999978</v>
      </c>
      <c r="W107" s="263">
        <v>0.99999999999999989</v>
      </c>
      <c r="X107" s="263">
        <v>0.99999999999999978</v>
      </c>
      <c r="Y107" s="263">
        <v>0.99999999999999978</v>
      </c>
      <c r="Z107" s="263">
        <v>0.99999999999999978</v>
      </c>
      <c r="AA107" s="264">
        <v>0.99999999999999978</v>
      </c>
      <c r="AB107" s="265">
        <v>1</v>
      </c>
      <c r="AC107" s="263">
        <v>1</v>
      </c>
      <c r="AD107" s="825"/>
      <c r="AE107" s="825"/>
      <c r="AF107" s="825"/>
      <c r="AG107" s="825"/>
      <c r="AH107" s="825"/>
      <c r="AI107" s="825"/>
      <c r="AJ107" s="825"/>
      <c r="AK107" s="825"/>
      <c r="AL107" s="825"/>
      <c r="AM107" s="825"/>
      <c r="AN107" s="825"/>
      <c r="AO107" s="825"/>
      <c r="AP107" s="825"/>
    </row>
    <row r="108" spans="1:42">
      <c r="A108" s="825"/>
      <c r="B108" s="1138"/>
      <c r="C108" s="1138"/>
      <c r="D108" s="1155" t="s">
        <v>557</v>
      </c>
      <c r="E108" s="825"/>
      <c r="F108" s="825"/>
      <c r="G108" s="825"/>
      <c r="H108" s="825"/>
      <c r="I108" s="825"/>
      <c r="J108" s="825"/>
      <c r="K108" s="825"/>
      <c r="L108" s="825"/>
      <c r="M108" s="825"/>
      <c r="N108" s="825"/>
      <c r="O108" s="825"/>
      <c r="P108" s="825"/>
      <c r="Q108" s="825"/>
      <c r="R108" s="825"/>
      <c r="S108" s="825"/>
      <c r="T108" s="825" t="s">
        <v>1258</v>
      </c>
      <c r="U108" s="825" t="s">
        <v>1258</v>
      </c>
      <c r="V108" s="825" t="s">
        <v>1258</v>
      </c>
      <c r="W108" s="825" t="s">
        <v>1258</v>
      </c>
      <c r="X108" s="825" t="s">
        <v>1258</v>
      </c>
      <c r="Y108" s="825" t="s">
        <v>1258</v>
      </c>
      <c r="Z108" s="825" t="s">
        <v>1258</v>
      </c>
      <c r="AA108" s="825" t="s">
        <v>1258</v>
      </c>
      <c r="AB108" s="835" t="s">
        <v>1258</v>
      </c>
      <c r="AC108" s="825" t="s">
        <v>1258</v>
      </c>
      <c r="AD108" s="825"/>
      <c r="AE108" s="825"/>
      <c r="AF108" s="825"/>
      <c r="AG108" s="825"/>
      <c r="AH108" s="825"/>
      <c r="AI108" s="825"/>
      <c r="AJ108" s="825"/>
      <c r="AK108" s="825"/>
      <c r="AL108" s="825"/>
      <c r="AM108" s="825"/>
      <c r="AN108" s="825"/>
      <c r="AO108" s="825"/>
      <c r="AP108" s="825"/>
    </row>
    <row r="109" spans="1:42">
      <c r="A109" s="825"/>
      <c r="B109" s="1138"/>
      <c r="C109" s="1138"/>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35"/>
      <c r="AC109" s="825"/>
      <c r="AD109" s="825"/>
      <c r="AE109" s="825"/>
      <c r="AF109" s="825"/>
      <c r="AG109" s="825"/>
      <c r="AH109" s="825"/>
      <c r="AI109" s="825"/>
      <c r="AJ109" s="825"/>
      <c r="AK109" s="825"/>
      <c r="AL109" s="825"/>
      <c r="AM109" s="825"/>
      <c r="AN109" s="825"/>
      <c r="AO109" s="825"/>
      <c r="AP109" s="825"/>
    </row>
    <row r="110" spans="1:42">
      <c r="A110" s="825"/>
      <c r="B110" s="1138"/>
      <c r="C110" s="1138"/>
      <c r="D110" s="1158" t="s">
        <v>890</v>
      </c>
      <c r="E110" s="1158"/>
      <c r="S110" s="825"/>
      <c r="T110" s="1161"/>
      <c r="U110" s="825"/>
      <c r="V110" s="825"/>
      <c r="W110" s="825"/>
      <c r="X110" s="825"/>
      <c r="Y110" s="825"/>
      <c r="Z110" s="825"/>
      <c r="AA110" s="825"/>
      <c r="AB110" s="835"/>
      <c r="AC110" s="825"/>
      <c r="AD110" s="825"/>
      <c r="AE110" s="825"/>
      <c r="AF110" s="825"/>
      <c r="AG110" s="825"/>
      <c r="AH110" s="825"/>
      <c r="AI110" s="825"/>
      <c r="AJ110" s="825"/>
      <c r="AK110" s="825"/>
      <c r="AL110" s="825"/>
      <c r="AM110" s="825"/>
      <c r="AN110" s="825"/>
      <c r="AO110" s="825"/>
      <c r="AP110" s="825"/>
    </row>
    <row r="111" spans="1:42" ht="12.75" customHeight="1">
      <c r="A111" s="825"/>
      <c r="B111" s="1138"/>
      <c r="C111" s="1138"/>
      <c r="D111" s="1369" t="s">
        <v>888</v>
      </c>
      <c r="E111" s="1369"/>
      <c r="F111" s="1369"/>
      <c r="G111" s="1369"/>
      <c r="H111" s="1369"/>
      <c r="I111" s="1369"/>
      <c r="J111" s="1369"/>
      <c r="K111" s="1369"/>
      <c r="L111" s="1369"/>
      <c r="M111" s="1369"/>
      <c r="N111" s="1369"/>
      <c r="O111" s="1369"/>
      <c r="P111" s="1369"/>
      <c r="Q111" s="1369"/>
      <c r="R111" s="1369"/>
      <c r="S111" s="825"/>
      <c r="T111" s="836">
        <v>1.0017079330567142</v>
      </c>
      <c r="U111" s="836">
        <v>1.0015663485196276</v>
      </c>
      <c r="V111" s="836">
        <v>1.0038662324587366</v>
      </c>
      <c r="W111" s="836">
        <v>1.0042387328336912</v>
      </c>
      <c r="X111" s="836">
        <v>1.0042312358347454</v>
      </c>
      <c r="Y111" s="836">
        <v>1.0044728275269907</v>
      </c>
      <c r="Z111" s="836">
        <v>1.0044604695240591</v>
      </c>
      <c r="AA111" s="836">
        <v>1.0050837675366247</v>
      </c>
      <c r="AB111" s="836">
        <v>1.0044763384198119</v>
      </c>
      <c r="AC111" s="836">
        <v>1.000793500820478</v>
      </c>
      <c r="AD111" s="825"/>
      <c r="AE111" s="825"/>
      <c r="AF111" s="825"/>
      <c r="AG111" s="825"/>
      <c r="AH111" s="825"/>
      <c r="AI111" s="825"/>
      <c r="AJ111" s="825"/>
      <c r="AK111" s="825"/>
      <c r="AL111" s="825"/>
      <c r="AM111" s="825"/>
      <c r="AN111" s="825"/>
      <c r="AO111" s="825"/>
      <c r="AP111" s="825"/>
    </row>
    <row r="112" spans="1:42" ht="12.75" customHeight="1">
      <c r="A112" s="825"/>
      <c r="B112" s="1138"/>
      <c r="C112" s="1138"/>
      <c r="D112" s="1369" t="s">
        <v>889</v>
      </c>
      <c r="E112" s="1369"/>
      <c r="F112" s="1369"/>
      <c r="G112" s="1369"/>
      <c r="H112" s="1369"/>
      <c r="I112" s="1369"/>
      <c r="J112" s="1369"/>
      <c r="K112" s="1369"/>
      <c r="L112" s="1369"/>
      <c r="M112" s="1369"/>
      <c r="N112" s="1369"/>
      <c r="O112" s="1369"/>
      <c r="P112" s="1369"/>
      <c r="Q112" s="1369"/>
      <c r="R112" s="1369"/>
      <c r="S112" s="825"/>
      <c r="T112" s="836">
        <v>-1.707933056714035E-3</v>
      </c>
      <c r="U112" s="836">
        <v>-1.5663485196277427E-3</v>
      </c>
      <c r="V112" s="836">
        <v>-3.8662324587368665E-3</v>
      </c>
      <c r="W112" s="836">
        <v>-4.2387328336913306E-3</v>
      </c>
      <c r="X112" s="836">
        <v>-4.2312358347454532E-3</v>
      </c>
      <c r="Y112" s="836">
        <v>-4.4728275269908012E-3</v>
      </c>
      <c r="Z112" s="836">
        <v>-4.4604695240592195E-3</v>
      </c>
      <c r="AA112" s="836">
        <v>-5.0837675366247181E-3</v>
      </c>
      <c r="AB112" s="836">
        <v>-4.4763384198118084E-3</v>
      </c>
      <c r="AC112" s="836">
        <v>-7.9350082047800286E-4</v>
      </c>
      <c r="AD112" s="825"/>
      <c r="AE112" s="825"/>
      <c r="AF112" s="825"/>
      <c r="AG112" s="825"/>
      <c r="AH112" s="825"/>
      <c r="AI112" s="825"/>
      <c r="AJ112" s="825"/>
      <c r="AK112" s="825"/>
      <c r="AL112" s="825"/>
      <c r="AM112" s="825"/>
      <c r="AN112" s="825"/>
      <c r="AO112" s="825"/>
      <c r="AP112" s="825"/>
    </row>
    <row r="113" spans="1:42">
      <c r="A113" s="825"/>
      <c r="B113" s="1138"/>
      <c r="C113" s="1138"/>
      <c r="D113" s="1370" t="s">
        <v>613</v>
      </c>
      <c r="E113" s="1370"/>
      <c r="F113" s="1370"/>
      <c r="G113" s="1370"/>
      <c r="H113" s="1370"/>
      <c r="I113" s="1370"/>
      <c r="J113" s="1370"/>
      <c r="K113" s="1370"/>
      <c r="L113" s="1370"/>
      <c r="M113" s="1370"/>
      <c r="N113" s="1370"/>
      <c r="O113" s="1370"/>
      <c r="P113" s="1370"/>
      <c r="Q113" s="1370"/>
      <c r="R113" s="1370"/>
      <c r="S113" s="825"/>
      <c r="T113" s="262">
        <v>1.0000000000000002</v>
      </c>
      <c r="U113" s="263">
        <v>0.99999999999999978</v>
      </c>
      <c r="V113" s="263">
        <v>0.99999999999999978</v>
      </c>
      <c r="W113" s="263">
        <v>0.99999999999999989</v>
      </c>
      <c r="X113" s="263">
        <v>0.99999999999999989</v>
      </c>
      <c r="Y113" s="263">
        <v>0.99999999999999989</v>
      </c>
      <c r="Z113" s="263">
        <v>0.99999999999999989</v>
      </c>
      <c r="AA113" s="264">
        <v>0.99999999999999989</v>
      </c>
      <c r="AB113" s="265">
        <v>1</v>
      </c>
      <c r="AC113" s="263">
        <v>1</v>
      </c>
      <c r="AD113" s="825"/>
      <c r="AE113" s="825"/>
      <c r="AF113" s="825"/>
      <c r="AG113" s="825"/>
      <c r="AH113" s="825"/>
      <c r="AI113" s="825"/>
      <c r="AJ113" s="825"/>
      <c r="AK113" s="825"/>
      <c r="AL113" s="825"/>
      <c r="AM113" s="825"/>
      <c r="AN113" s="825"/>
      <c r="AO113" s="825"/>
      <c r="AP113" s="825"/>
    </row>
    <row r="114" spans="1:42">
      <c r="A114" s="825"/>
      <c r="B114" s="1138"/>
      <c r="C114" s="1138"/>
      <c r="D114" s="1155" t="s">
        <v>557</v>
      </c>
      <c r="E114" s="825"/>
      <c r="F114" s="825"/>
      <c r="G114" s="825"/>
      <c r="H114" s="825"/>
      <c r="I114" s="825"/>
      <c r="J114" s="825"/>
      <c r="K114" s="825"/>
      <c r="L114" s="825"/>
      <c r="M114" s="825"/>
      <c r="N114" s="825"/>
      <c r="O114" s="825"/>
      <c r="P114" s="825"/>
      <c r="Q114" s="825"/>
      <c r="R114" s="825"/>
      <c r="S114" s="825"/>
      <c r="T114" s="825" t="s">
        <v>1258</v>
      </c>
      <c r="U114" s="825" t="s">
        <v>1258</v>
      </c>
      <c r="V114" s="825" t="s">
        <v>1258</v>
      </c>
      <c r="W114" s="825" t="s">
        <v>1258</v>
      </c>
      <c r="X114" s="825" t="s">
        <v>1258</v>
      </c>
      <c r="Y114" s="825" t="s">
        <v>1258</v>
      </c>
      <c r="Z114" s="825" t="s">
        <v>1258</v>
      </c>
      <c r="AA114" s="825" t="s">
        <v>1258</v>
      </c>
      <c r="AB114" s="835" t="s">
        <v>1258</v>
      </c>
      <c r="AC114" s="825" t="s">
        <v>1258</v>
      </c>
      <c r="AD114" s="825"/>
      <c r="AE114" s="825"/>
      <c r="AF114" s="825"/>
      <c r="AG114" s="825"/>
      <c r="AH114" s="825"/>
      <c r="AI114" s="825"/>
      <c r="AJ114" s="825"/>
      <c r="AK114" s="825"/>
      <c r="AL114" s="825"/>
      <c r="AM114" s="825"/>
      <c r="AN114" s="825"/>
      <c r="AO114" s="825"/>
      <c r="AP114" s="825"/>
    </row>
    <row r="115" spans="1:42">
      <c r="A115" s="825"/>
      <c r="B115" s="1138"/>
      <c r="C115" s="1138"/>
      <c r="D115" s="115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25"/>
      <c r="AF115" s="825"/>
      <c r="AG115" s="825"/>
      <c r="AH115" s="825"/>
      <c r="AI115" s="825"/>
      <c r="AJ115" s="825"/>
      <c r="AK115" s="825"/>
      <c r="AL115" s="825"/>
      <c r="AM115" s="825"/>
      <c r="AN115" s="825"/>
      <c r="AO115" s="825"/>
      <c r="AP115" s="825"/>
    </row>
    <row r="116" spans="1:42">
      <c r="A116" s="825"/>
      <c r="B116" s="1138"/>
      <c r="C116" s="1138"/>
      <c r="D116" s="1155"/>
      <c r="E116" s="825"/>
      <c r="F116" s="825"/>
      <c r="G116" s="825"/>
      <c r="H116" s="825"/>
      <c r="I116" s="825"/>
      <c r="J116" s="825"/>
      <c r="K116" s="825"/>
      <c r="L116" s="825"/>
      <c r="M116" s="825"/>
      <c r="N116" s="825"/>
      <c r="O116" s="825"/>
      <c r="P116" s="825"/>
      <c r="Q116" s="825"/>
      <c r="R116" s="825"/>
      <c r="S116" s="825"/>
      <c r="T116" s="825"/>
      <c r="U116" s="825"/>
      <c r="V116" s="825"/>
      <c r="W116" s="825"/>
      <c r="X116" s="825"/>
      <c r="Y116" s="825"/>
      <c r="Z116" s="825"/>
      <c r="AA116" s="825"/>
      <c r="AB116" s="825"/>
      <c r="AC116" s="825"/>
      <c r="AD116" s="825"/>
      <c r="AE116" s="825"/>
      <c r="AF116" s="825"/>
      <c r="AG116" s="825"/>
      <c r="AH116" s="825"/>
      <c r="AI116" s="825"/>
      <c r="AJ116" s="825"/>
      <c r="AK116" s="825"/>
      <c r="AL116" s="825"/>
      <c r="AM116" s="825"/>
      <c r="AN116" s="825"/>
      <c r="AO116" s="825"/>
      <c r="AP116" s="825"/>
    </row>
    <row r="117" spans="1:42">
      <c r="A117" s="825"/>
      <c r="B117" s="1145" t="s">
        <v>891</v>
      </c>
      <c r="C117" s="1138"/>
      <c r="D117" s="825"/>
      <c r="E117" s="825"/>
      <c r="F117" s="825"/>
      <c r="G117" s="825"/>
      <c r="H117" s="825"/>
      <c r="I117" s="825"/>
      <c r="J117" s="825"/>
      <c r="K117" s="825"/>
      <c r="L117" s="825"/>
      <c r="M117" s="825"/>
      <c r="N117" s="825"/>
      <c r="O117" s="825"/>
      <c r="P117" s="825"/>
      <c r="Q117" s="825"/>
      <c r="R117" s="825"/>
      <c r="S117" s="825"/>
      <c r="T117" s="825"/>
      <c r="U117" s="825"/>
      <c r="V117" s="825"/>
      <c r="W117" s="825"/>
      <c r="X117" s="825"/>
      <c r="Y117" s="825"/>
      <c r="Z117" s="825"/>
      <c r="AA117" s="825"/>
      <c r="AB117" s="825"/>
      <c r="AC117" s="825"/>
      <c r="AD117" s="825"/>
      <c r="AE117" s="825"/>
      <c r="AF117" s="825"/>
      <c r="AG117" s="825"/>
      <c r="AH117" s="825"/>
      <c r="AI117" s="825"/>
      <c r="AJ117" s="825"/>
      <c r="AK117" s="825"/>
      <c r="AL117" s="825"/>
      <c r="AM117" s="825"/>
      <c r="AN117" s="825"/>
      <c r="AO117" s="825"/>
      <c r="AP117" s="825"/>
    </row>
    <row r="118" spans="1:42">
      <c r="A118" s="825"/>
      <c r="B118" s="1145"/>
      <c r="C118" s="1138"/>
      <c r="D118" s="825"/>
      <c r="E118" s="825"/>
      <c r="F118" s="825"/>
      <c r="G118" s="825"/>
      <c r="H118" s="825"/>
      <c r="I118" s="825"/>
      <c r="J118" s="825"/>
      <c r="K118" s="825"/>
      <c r="L118" s="825"/>
      <c r="M118" s="825"/>
      <c r="N118" s="825"/>
      <c r="O118" s="825"/>
      <c r="P118" s="825"/>
      <c r="Q118" s="825"/>
      <c r="R118" s="825"/>
      <c r="S118" s="825"/>
      <c r="T118" s="825"/>
      <c r="U118" s="825"/>
      <c r="V118" s="825"/>
      <c r="W118" s="825"/>
      <c r="X118" s="825"/>
      <c r="Y118" s="825"/>
      <c r="Z118" s="825"/>
      <c r="AA118" s="825"/>
      <c r="AB118" s="825"/>
      <c r="AC118" s="825"/>
      <c r="AD118" s="825"/>
      <c r="AE118" s="825"/>
      <c r="AF118" s="825"/>
      <c r="AG118" s="825"/>
      <c r="AH118" s="825"/>
      <c r="AI118" s="825"/>
      <c r="AJ118" s="825"/>
      <c r="AK118" s="825"/>
      <c r="AL118" s="825"/>
      <c r="AM118" s="825"/>
      <c r="AN118" s="825"/>
      <c r="AO118" s="825"/>
      <c r="AP118" s="825"/>
    </row>
    <row r="119" spans="1:42">
      <c r="A119" s="825"/>
      <c r="B119" s="1145"/>
      <c r="C119" s="825"/>
      <c r="D119" s="1133" t="s">
        <v>807</v>
      </c>
      <c r="E119" s="825"/>
      <c r="F119" s="825"/>
      <c r="G119" s="825"/>
      <c r="H119" s="825"/>
      <c r="I119" s="825"/>
      <c r="J119" s="825"/>
      <c r="K119" s="825"/>
      <c r="L119" s="825"/>
      <c r="M119" s="825"/>
      <c r="N119" s="825"/>
      <c r="O119" s="825"/>
      <c r="P119" s="825"/>
      <c r="Q119" s="825"/>
      <c r="R119" s="825"/>
      <c r="S119" s="825"/>
      <c r="T119" s="825"/>
      <c r="U119" s="825"/>
      <c r="V119" s="825"/>
      <c r="W119" s="825"/>
      <c r="X119" s="825"/>
      <c r="Y119" s="825"/>
      <c r="Z119" s="825"/>
      <c r="AA119" s="825"/>
      <c r="AB119" s="825"/>
      <c r="AC119" s="825"/>
      <c r="AD119" s="825"/>
      <c r="AE119" s="825"/>
      <c r="AF119" s="825"/>
      <c r="AG119" s="825"/>
      <c r="AH119" s="825"/>
      <c r="AI119" s="825"/>
      <c r="AJ119" s="825"/>
      <c r="AK119" s="825"/>
      <c r="AL119" s="825"/>
      <c r="AM119" s="825"/>
      <c r="AN119" s="825"/>
      <c r="AO119" s="825"/>
      <c r="AP119" s="825"/>
    </row>
    <row r="120" spans="1:42">
      <c r="A120" s="825"/>
      <c r="B120" s="1138"/>
      <c r="C120" s="1138"/>
      <c r="D120" s="825" t="s">
        <v>808</v>
      </c>
      <c r="E120" s="825"/>
      <c r="F120" s="825"/>
      <c r="G120" s="825"/>
      <c r="H120" s="825"/>
      <c r="I120" s="825"/>
      <c r="J120" s="825"/>
      <c r="K120" s="825"/>
      <c r="L120" s="825"/>
      <c r="M120" s="825"/>
      <c r="N120" s="825"/>
      <c r="O120" s="825"/>
      <c r="P120" s="825"/>
      <c r="Q120" s="825"/>
      <c r="R120" s="825"/>
      <c r="S120" s="825"/>
      <c r="T120" s="768">
        <v>5272.9962319368333</v>
      </c>
      <c r="U120" s="768">
        <v>5747.6422319368339</v>
      </c>
      <c r="V120" s="768">
        <v>6340.9682618711468</v>
      </c>
      <c r="W120" s="768">
        <v>5959.9964027472688</v>
      </c>
      <c r="X120" s="768">
        <v>5959.9964027472688</v>
      </c>
      <c r="Y120" s="768">
        <v>5959.9964027472688</v>
      </c>
      <c r="Z120" s="768">
        <v>5959.9964027472688</v>
      </c>
      <c r="AA120" s="768">
        <v>5113.1584027472682</v>
      </c>
      <c r="AB120" s="768">
        <v>4052.5451188337179</v>
      </c>
      <c r="AC120" s="768">
        <v>3691.2947830837179</v>
      </c>
      <c r="AD120" s="825"/>
      <c r="AE120" s="825"/>
      <c r="AF120" s="825"/>
      <c r="AG120" s="825"/>
      <c r="AH120" s="825"/>
      <c r="AI120" s="825"/>
      <c r="AJ120" s="825"/>
      <c r="AK120" s="825"/>
      <c r="AL120" s="825"/>
      <c r="AM120" s="825"/>
      <c r="AN120" s="825"/>
      <c r="AO120" s="825"/>
      <c r="AP120" s="825"/>
    </row>
    <row r="121" spans="1:42">
      <c r="A121" s="825"/>
      <c r="B121" s="1138"/>
      <c r="C121" s="1138"/>
      <c r="D121" s="825" t="s">
        <v>809</v>
      </c>
      <c r="E121" s="825"/>
      <c r="F121" s="825"/>
      <c r="G121" s="825"/>
      <c r="H121" s="825"/>
      <c r="I121" s="825"/>
      <c r="J121" s="825"/>
      <c r="K121" s="825"/>
      <c r="L121" s="825"/>
      <c r="M121" s="825"/>
      <c r="N121" s="825"/>
      <c r="O121" s="825"/>
      <c r="P121" s="825"/>
      <c r="Q121" s="825"/>
      <c r="R121" s="825"/>
      <c r="S121" s="825"/>
      <c r="T121" s="768">
        <v>400</v>
      </c>
      <c r="U121" s="768">
        <v>400</v>
      </c>
      <c r="V121" s="768">
        <v>550</v>
      </c>
      <c r="W121" s="768">
        <v>550</v>
      </c>
      <c r="X121" s="768">
        <v>550</v>
      </c>
      <c r="Y121" s="768">
        <v>150</v>
      </c>
      <c r="Z121" s="768">
        <v>150</v>
      </c>
      <c r="AA121" s="768">
        <v>150</v>
      </c>
      <c r="AB121" s="768">
        <v>150</v>
      </c>
      <c r="AC121" s="768">
        <v>0</v>
      </c>
      <c r="AD121" s="825"/>
      <c r="AE121" s="825"/>
      <c r="AF121" s="825"/>
      <c r="AG121" s="825"/>
      <c r="AH121" s="825"/>
      <c r="AI121" s="825"/>
      <c r="AJ121" s="825"/>
      <c r="AK121" s="825"/>
      <c r="AL121" s="825"/>
      <c r="AM121" s="825"/>
      <c r="AN121" s="825"/>
      <c r="AO121" s="825"/>
      <c r="AP121" s="825"/>
    </row>
    <row r="122" spans="1:42">
      <c r="A122" s="825"/>
      <c r="B122" s="1138"/>
      <c r="C122" s="1138"/>
      <c r="D122" s="825" t="s">
        <v>892</v>
      </c>
      <c r="E122" s="825"/>
      <c r="F122" s="825"/>
      <c r="G122" s="825"/>
      <c r="H122" s="825"/>
      <c r="I122" s="825"/>
      <c r="J122" s="825"/>
      <c r="K122" s="825"/>
      <c r="L122" s="825"/>
      <c r="M122" s="825"/>
      <c r="N122" s="825"/>
      <c r="O122" s="825"/>
      <c r="P122" s="825"/>
      <c r="Q122" s="825"/>
      <c r="R122" s="825"/>
      <c r="S122" s="825"/>
      <c r="T122" s="768">
        <v>992.82009992259157</v>
      </c>
      <c r="U122" s="768">
        <v>1120.7070022889534</v>
      </c>
      <c r="V122" s="768">
        <v>781.30402010804903</v>
      </c>
      <c r="W122" s="768">
        <v>593.45843484185571</v>
      </c>
      <c r="X122" s="768">
        <v>606.04449610371819</v>
      </c>
      <c r="Y122" s="768">
        <v>621.68441236109015</v>
      </c>
      <c r="Z122" s="768">
        <v>640.33494473192343</v>
      </c>
      <c r="AA122" s="768">
        <v>659.5449930738821</v>
      </c>
      <c r="AB122" s="768">
        <v>679.33134286609913</v>
      </c>
      <c r="AC122" s="768">
        <v>699.71128315208284</v>
      </c>
      <c r="AD122" s="825"/>
      <c r="AE122" s="825"/>
      <c r="AF122" s="825"/>
      <c r="AG122" s="825"/>
      <c r="AH122" s="825"/>
      <c r="AI122" s="825"/>
      <c r="AJ122" s="825"/>
      <c r="AK122" s="825"/>
      <c r="AL122" s="825"/>
      <c r="AM122" s="825"/>
      <c r="AN122" s="825"/>
      <c r="AO122" s="825"/>
      <c r="AP122" s="825"/>
    </row>
    <row r="123" spans="1:42">
      <c r="A123" s="825"/>
      <c r="B123" s="1138"/>
      <c r="C123" s="1138"/>
      <c r="D123" s="825" t="s">
        <v>893</v>
      </c>
      <c r="E123" s="825"/>
      <c r="F123" s="825"/>
      <c r="G123" s="825"/>
      <c r="H123" s="825"/>
      <c r="I123" s="825"/>
      <c r="J123" s="825"/>
      <c r="K123" s="825"/>
      <c r="L123" s="825"/>
      <c r="M123" s="825"/>
      <c r="N123" s="825"/>
      <c r="O123" s="825"/>
      <c r="P123" s="825"/>
      <c r="Q123" s="825"/>
      <c r="R123" s="825"/>
      <c r="S123" s="825"/>
      <c r="T123" s="768">
        <v>0</v>
      </c>
      <c r="U123" s="768">
        <v>0</v>
      </c>
      <c r="V123" s="768">
        <v>0</v>
      </c>
      <c r="W123" s="768">
        <v>0</v>
      </c>
      <c r="X123" s="768">
        <v>0</v>
      </c>
      <c r="Y123" s="768">
        <v>0</v>
      </c>
      <c r="Z123" s="768">
        <v>0</v>
      </c>
      <c r="AA123" s="768">
        <v>0</v>
      </c>
      <c r="AB123" s="768">
        <v>0</v>
      </c>
      <c r="AC123" s="768">
        <v>0</v>
      </c>
      <c r="AD123" s="825"/>
      <c r="AE123" s="825"/>
      <c r="AF123" s="825"/>
      <c r="AG123" s="825"/>
      <c r="AH123" s="825"/>
      <c r="AI123" s="825"/>
      <c r="AJ123" s="825"/>
      <c r="AK123" s="825"/>
      <c r="AL123" s="825"/>
      <c r="AM123" s="825"/>
      <c r="AN123" s="825"/>
      <c r="AO123" s="825"/>
      <c r="AP123" s="825"/>
    </row>
    <row r="124" spans="1:42">
      <c r="A124" s="825"/>
      <c r="B124" s="1138"/>
      <c r="C124" s="1138"/>
      <c r="D124" s="825" t="s">
        <v>894</v>
      </c>
      <c r="E124" s="825"/>
      <c r="F124" s="825"/>
      <c r="G124" s="825"/>
      <c r="H124" s="825"/>
      <c r="I124" s="825"/>
      <c r="J124" s="825"/>
      <c r="K124" s="825"/>
      <c r="L124" s="825"/>
      <c r="M124" s="825"/>
      <c r="N124" s="825"/>
      <c r="O124" s="825"/>
      <c r="P124" s="825"/>
      <c r="Q124" s="825"/>
      <c r="R124" s="825"/>
      <c r="S124" s="825"/>
      <c r="T124" s="768">
        <v>0</v>
      </c>
      <c r="U124" s="768">
        <v>0</v>
      </c>
      <c r="V124" s="768">
        <v>0</v>
      </c>
      <c r="W124" s="768">
        <v>0</v>
      </c>
      <c r="X124" s="768">
        <v>0</v>
      </c>
      <c r="Y124" s="768">
        <v>0</v>
      </c>
      <c r="Z124" s="768">
        <v>0</v>
      </c>
      <c r="AA124" s="768">
        <v>0</v>
      </c>
      <c r="AB124" s="768">
        <v>0</v>
      </c>
      <c r="AC124" s="768">
        <v>0</v>
      </c>
      <c r="AD124" s="825"/>
      <c r="AE124" s="825"/>
      <c r="AF124" s="825"/>
      <c r="AG124" s="825"/>
      <c r="AH124" s="825"/>
      <c r="AI124" s="825"/>
      <c r="AJ124" s="825"/>
      <c r="AK124" s="825"/>
      <c r="AL124" s="825"/>
      <c r="AM124" s="825"/>
      <c r="AN124" s="825"/>
      <c r="AO124" s="825"/>
      <c r="AP124" s="825"/>
    </row>
    <row r="125" spans="1:42">
      <c r="A125" s="825"/>
      <c r="B125" s="1138"/>
      <c r="C125" s="1138"/>
      <c r="D125" s="1133" t="s">
        <v>613</v>
      </c>
      <c r="E125" s="1133"/>
      <c r="F125" s="1133"/>
      <c r="G125" s="1133"/>
      <c r="H125" s="1133"/>
      <c r="I125" s="1133"/>
      <c r="J125" s="1133"/>
      <c r="K125" s="1133"/>
      <c r="L125" s="1133"/>
      <c r="M125" s="1133"/>
      <c r="N125" s="1133"/>
      <c r="O125" s="1133"/>
      <c r="P125" s="1133"/>
      <c r="Q125" s="1133"/>
      <c r="R125" s="1133"/>
      <c r="S125" s="1133"/>
      <c r="T125" s="772">
        <v>6665.8163318594252</v>
      </c>
      <c r="U125" s="772">
        <v>7268.3492342257869</v>
      </c>
      <c r="V125" s="772">
        <v>7672.2722819791961</v>
      </c>
      <c r="W125" s="772">
        <v>7103.4548375891245</v>
      </c>
      <c r="X125" s="772">
        <v>7116.0408988509871</v>
      </c>
      <c r="Y125" s="772">
        <v>6731.6808151083587</v>
      </c>
      <c r="Z125" s="772">
        <v>6750.3313474791921</v>
      </c>
      <c r="AA125" s="772">
        <v>5922.7033958211505</v>
      </c>
      <c r="AB125" s="772">
        <v>4881.8764616998169</v>
      </c>
      <c r="AC125" s="772">
        <v>4391.006066235801</v>
      </c>
      <c r="AD125" s="825"/>
      <c r="AE125" s="825"/>
      <c r="AF125" s="825"/>
      <c r="AG125" s="825"/>
      <c r="AH125" s="825"/>
      <c r="AI125" s="825"/>
      <c r="AJ125" s="825"/>
      <c r="AK125" s="825"/>
      <c r="AL125" s="825"/>
      <c r="AM125" s="825"/>
      <c r="AN125" s="825"/>
      <c r="AO125" s="825"/>
      <c r="AP125" s="825"/>
    </row>
    <row r="126" spans="1:42">
      <c r="A126" s="825"/>
      <c r="B126" s="1138"/>
      <c r="C126" s="1138"/>
      <c r="D126" s="825"/>
      <c r="E126" s="825"/>
      <c r="F126" s="825"/>
      <c r="G126" s="825"/>
      <c r="H126" s="825"/>
      <c r="I126" s="825"/>
      <c r="J126" s="825"/>
      <c r="K126" s="825"/>
      <c r="L126" s="825"/>
      <c r="M126" s="825"/>
      <c r="N126" s="825"/>
      <c r="O126" s="825"/>
      <c r="P126" s="825"/>
      <c r="Q126" s="825"/>
      <c r="R126" s="825"/>
      <c r="S126" s="825"/>
      <c r="T126" s="825"/>
      <c r="U126" s="825"/>
      <c r="V126" s="825"/>
      <c r="W126" s="825"/>
      <c r="X126" s="825"/>
      <c r="Y126" s="825"/>
      <c r="Z126" s="825"/>
      <c r="AA126" s="825"/>
      <c r="AB126" s="825"/>
      <c r="AC126" s="825"/>
      <c r="AD126" s="825"/>
      <c r="AE126" s="825"/>
      <c r="AF126" s="825"/>
      <c r="AG126" s="825"/>
      <c r="AH126" s="825"/>
      <c r="AI126" s="825"/>
      <c r="AJ126" s="825"/>
      <c r="AK126" s="825"/>
      <c r="AL126" s="825"/>
      <c r="AM126" s="825"/>
      <c r="AN126" s="825"/>
      <c r="AO126" s="825"/>
      <c r="AP126" s="825"/>
    </row>
    <row r="127" spans="1:42">
      <c r="A127" s="825"/>
      <c r="B127" s="1145"/>
      <c r="C127" s="825"/>
      <c r="D127" s="1133" t="s">
        <v>816</v>
      </c>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5"/>
      <c r="AA127" s="825"/>
      <c r="AB127" s="825"/>
      <c r="AC127" s="825"/>
      <c r="AD127" s="825"/>
      <c r="AE127" s="825"/>
      <c r="AF127" s="825"/>
      <c r="AG127" s="825"/>
      <c r="AH127" s="825"/>
      <c r="AI127" s="825"/>
      <c r="AJ127" s="825"/>
      <c r="AK127" s="825"/>
      <c r="AL127" s="825"/>
      <c r="AM127" s="825"/>
      <c r="AN127" s="825"/>
      <c r="AO127" s="825"/>
      <c r="AP127" s="825"/>
    </row>
    <row r="128" spans="1:42">
      <c r="A128" s="825"/>
      <c r="B128" s="1138"/>
      <c r="C128" s="1138"/>
      <c r="D128" s="825" t="s">
        <v>808</v>
      </c>
      <c r="E128" s="825"/>
      <c r="F128" s="825"/>
      <c r="G128" s="825"/>
      <c r="H128" s="825"/>
      <c r="I128" s="825"/>
      <c r="J128" s="825"/>
      <c r="K128" s="825"/>
      <c r="L128" s="825"/>
      <c r="M128" s="825"/>
      <c r="N128" s="825"/>
      <c r="O128" s="825"/>
      <c r="P128" s="825"/>
      <c r="Q128" s="825"/>
      <c r="R128" s="825"/>
      <c r="S128" s="825"/>
      <c r="T128" s="768">
        <v>-1000</v>
      </c>
      <c r="U128" s="768">
        <v>-1000</v>
      </c>
      <c r="V128" s="768">
        <v>-1387.22</v>
      </c>
      <c r="W128" s="768">
        <v>-1387.22</v>
      </c>
      <c r="X128" s="768">
        <v>-1387.22</v>
      </c>
      <c r="Y128" s="768">
        <v>-1387.22</v>
      </c>
      <c r="Z128" s="768">
        <v>-1287.22</v>
      </c>
      <c r="AA128" s="768">
        <v>-1087.22</v>
      </c>
      <c r="AB128" s="768">
        <v>-1015</v>
      </c>
      <c r="AC128" s="768">
        <v>-615</v>
      </c>
      <c r="AD128" s="825"/>
      <c r="AE128" s="825"/>
      <c r="AF128" s="825"/>
      <c r="AG128" s="825"/>
      <c r="AH128" s="825"/>
      <c r="AI128" s="825"/>
      <c r="AJ128" s="825"/>
      <c r="AK128" s="825"/>
      <c r="AL128" s="825"/>
      <c r="AM128" s="825"/>
      <c r="AN128" s="825"/>
      <c r="AO128" s="825"/>
      <c r="AP128" s="825"/>
    </row>
    <row r="129" spans="1:42">
      <c r="A129" s="825"/>
      <c r="B129" s="1138"/>
      <c r="C129" s="1138"/>
      <c r="D129" s="825" t="s">
        <v>809</v>
      </c>
      <c r="E129" s="825"/>
      <c r="F129" s="825"/>
      <c r="G129" s="825"/>
      <c r="H129" s="825"/>
      <c r="I129" s="825"/>
      <c r="J129" s="825"/>
      <c r="K129" s="825"/>
      <c r="L129" s="825"/>
      <c r="M129" s="825"/>
      <c r="N129" s="825"/>
      <c r="O129" s="825"/>
      <c r="P129" s="825"/>
      <c r="Q129" s="825"/>
      <c r="R129" s="825"/>
      <c r="S129" s="825"/>
      <c r="T129" s="768">
        <v>-400</v>
      </c>
      <c r="U129" s="768">
        <v>-400</v>
      </c>
      <c r="V129" s="768">
        <v>-12.779999999999973</v>
      </c>
      <c r="W129" s="768">
        <v>-12.779999999999973</v>
      </c>
      <c r="X129" s="768">
        <v>-12.779999999999973</v>
      </c>
      <c r="Y129" s="768">
        <v>387.22</v>
      </c>
      <c r="Z129" s="768">
        <v>387.22</v>
      </c>
      <c r="AA129" s="768">
        <v>387.22</v>
      </c>
      <c r="AB129" s="768">
        <v>315</v>
      </c>
      <c r="AC129" s="768">
        <v>315</v>
      </c>
      <c r="AD129" s="825"/>
      <c r="AE129" s="825"/>
      <c r="AF129" s="825"/>
      <c r="AG129" s="825"/>
      <c r="AH129" s="825"/>
      <c r="AI129" s="825"/>
      <c r="AJ129" s="825"/>
      <c r="AK129" s="825"/>
      <c r="AL129" s="825"/>
      <c r="AM129" s="825"/>
      <c r="AN129" s="825"/>
      <c r="AO129" s="825"/>
      <c r="AP129" s="825"/>
    </row>
    <row r="130" spans="1:42">
      <c r="A130" s="825"/>
      <c r="B130" s="1138"/>
      <c r="C130" s="1138"/>
      <c r="D130" s="825" t="s">
        <v>892</v>
      </c>
      <c r="E130" s="825"/>
      <c r="F130" s="825"/>
      <c r="G130" s="825"/>
      <c r="H130" s="825"/>
      <c r="I130" s="825"/>
      <c r="J130" s="825"/>
      <c r="K130" s="825"/>
      <c r="L130" s="825"/>
      <c r="M130" s="825"/>
      <c r="N130" s="825"/>
      <c r="O130" s="825"/>
      <c r="P130" s="825"/>
      <c r="Q130" s="825"/>
      <c r="R130" s="825"/>
      <c r="S130" s="825"/>
      <c r="T130" s="768">
        <v>400</v>
      </c>
      <c r="U130" s="768">
        <v>400</v>
      </c>
      <c r="V130" s="768">
        <v>400</v>
      </c>
      <c r="W130" s="768">
        <v>400</v>
      </c>
      <c r="X130" s="768">
        <v>400</v>
      </c>
      <c r="Y130" s="768">
        <v>0</v>
      </c>
      <c r="Z130" s="768">
        <v>0</v>
      </c>
      <c r="AA130" s="768">
        <v>0</v>
      </c>
      <c r="AB130" s="768">
        <v>0</v>
      </c>
      <c r="AC130" s="768">
        <v>0</v>
      </c>
      <c r="AD130" s="825"/>
      <c r="AE130" s="825"/>
      <c r="AF130" s="825"/>
      <c r="AG130" s="825"/>
      <c r="AH130" s="825"/>
      <c r="AI130" s="825"/>
      <c r="AJ130" s="825"/>
      <c r="AK130" s="825"/>
      <c r="AL130" s="825"/>
      <c r="AM130" s="825"/>
      <c r="AN130" s="825"/>
      <c r="AO130" s="825"/>
      <c r="AP130" s="825"/>
    </row>
    <row r="131" spans="1:42">
      <c r="A131" s="825"/>
      <c r="B131" s="1138"/>
      <c r="C131" s="1138"/>
      <c r="D131" s="825" t="s">
        <v>893</v>
      </c>
      <c r="E131" s="825"/>
      <c r="F131" s="825"/>
      <c r="G131" s="825"/>
      <c r="H131" s="825"/>
      <c r="I131" s="825"/>
      <c r="J131" s="825"/>
      <c r="K131" s="825"/>
      <c r="L131" s="825"/>
      <c r="M131" s="825"/>
      <c r="N131" s="825"/>
      <c r="O131" s="825"/>
      <c r="P131" s="825"/>
      <c r="Q131" s="825"/>
      <c r="R131" s="825"/>
      <c r="S131" s="825"/>
      <c r="T131" s="768">
        <v>1000</v>
      </c>
      <c r="U131" s="768">
        <v>1000</v>
      </c>
      <c r="V131" s="768">
        <v>1000</v>
      </c>
      <c r="W131" s="768">
        <v>1000</v>
      </c>
      <c r="X131" s="768">
        <v>1000</v>
      </c>
      <c r="Y131" s="768">
        <v>1000</v>
      </c>
      <c r="Z131" s="768">
        <v>900</v>
      </c>
      <c r="AA131" s="768">
        <v>700</v>
      </c>
      <c r="AB131" s="768">
        <v>700</v>
      </c>
      <c r="AC131" s="768">
        <v>300</v>
      </c>
      <c r="AD131" s="825"/>
      <c r="AE131" s="825"/>
      <c r="AF131" s="825"/>
      <c r="AG131" s="825"/>
      <c r="AH131" s="825"/>
      <c r="AI131" s="825"/>
      <c r="AJ131" s="825"/>
      <c r="AK131" s="825"/>
      <c r="AL131" s="825"/>
      <c r="AM131" s="825"/>
      <c r="AN131" s="825"/>
      <c r="AO131" s="825"/>
      <c r="AP131" s="825"/>
    </row>
    <row r="132" spans="1:42">
      <c r="A132" s="825"/>
      <c r="B132" s="1138"/>
      <c r="C132" s="1138"/>
      <c r="D132" s="825" t="s">
        <v>894</v>
      </c>
      <c r="E132" s="825"/>
      <c r="F132" s="825"/>
      <c r="G132" s="825"/>
      <c r="H132" s="825"/>
      <c r="I132" s="825"/>
      <c r="J132" s="825"/>
      <c r="K132" s="825"/>
      <c r="L132" s="825"/>
      <c r="M132" s="825"/>
      <c r="N132" s="825"/>
      <c r="O132" s="825"/>
      <c r="P132" s="825"/>
      <c r="Q132" s="825"/>
      <c r="R132" s="825"/>
      <c r="S132" s="825"/>
      <c r="T132" s="768">
        <v>0</v>
      </c>
      <c r="U132" s="768">
        <v>0</v>
      </c>
      <c r="V132" s="768">
        <v>0</v>
      </c>
      <c r="W132" s="768">
        <v>0</v>
      </c>
      <c r="X132" s="768">
        <v>0</v>
      </c>
      <c r="Y132" s="768">
        <v>0</v>
      </c>
      <c r="Z132" s="768">
        <v>0</v>
      </c>
      <c r="AA132" s="768">
        <v>0</v>
      </c>
      <c r="AB132" s="768">
        <v>0</v>
      </c>
      <c r="AC132" s="768">
        <v>0</v>
      </c>
      <c r="AD132" s="825"/>
      <c r="AE132" s="825"/>
      <c r="AF132" s="825"/>
      <c r="AG132" s="825"/>
      <c r="AH132" s="825"/>
      <c r="AI132" s="825"/>
      <c r="AJ132" s="825"/>
      <c r="AK132" s="825"/>
      <c r="AL132" s="825"/>
      <c r="AM132" s="825"/>
      <c r="AN132" s="825"/>
      <c r="AO132" s="825"/>
      <c r="AP132" s="825"/>
    </row>
    <row r="133" spans="1:42">
      <c r="A133" s="825"/>
      <c r="B133" s="1138"/>
      <c r="C133" s="1138"/>
      <c r="D133" s="1133" t="s">
        <v>613</v>
      </c>
      <c r="E133" s="1133"/>
      <c r="F133" s="1133"/>
      <c r="G133" s="1133"/>
      <c r="H133" s="1133"/>
      <c r="I133" s="1133"/>
      <c r="J133" s="1133"/>
      <c r="K133" s="1133"/>
      <c r="L133" s="1133"/>
      <c r="M133" s="1133"/>
      <c r="N133" s="1133"/>
      <c r="O133" s="1133"/>
      <c r="P133" s="1133"/>
      <c r="Q133" s="1133"/>
      <c r="R133" s="1133"/>
      <c r="S133" s="1133"/>
      <c r="T133" s="772">
        <v>0</v>
      </c>
      <c r="U133" s="772">
        <v>0</v>
      </c>
      <c r="V133" s="772">
        <v>0</v>
      </c>
      <c r="W133" s="772">
        <v>0</v>
      </c>
      <c r="X133" s="772">
        <v>0</v>
      </c>
      <c r="Y133" s="772">
        <v>0</v>
      </c>
      <c r="Z133" s="772">
        <v>0</v>
      </c>
      <c r="AA133" s="772">
        <v>0</v>
      </c>
      <c r="AB133" s="772">
        <v>0</v>
      </c>
      <c r="AC133" s="772">
        <v>0</v>
      </c>
      <c r="AD133" s="825"/>
      <c r="AE133" s="825"/>
      <c r="AF133" s="825"/>
      <c r="AG133" s="825"/>
      <c r="AH133" s="825"/>
      <c r="AI133" s="825"/>
      <c r="AJ133" s="825"/>
      <c r="AK133" s="825"/>
      <c r="AL133" s="825"/>
      <c r="AM133" s="825"/>
      <c r="AN133" s="825"/>
      <c r="AO133" s="825"/>
      <c r="AP133" s="825"/>
    </row>
    <row r="134" spans="1:42">
      <c r="A134" s="825"/>
      <c r="B134" s="1138"/>
      <c r="C134" s="1138"/>
      <c r="D134" s="1133"/>
      <c r="E134" s="825"/>
      <c r="F134" s="825"/>
      <c r="G134" s="825"/>
      <c r="H134" s="825"/>
      <c r="I134" s="825"/>
      <c r="J134" s="825"/>
      <c r="K134" s="825"/>
      <c r="L134" s="825"/>
      <c r="M134" s="825"/>
      <c r="N134" s="825"/>
      <c r="O134" s="825"/>
      <c r="P134" s="825"/>
      <c r="Q134" s="825"/>
      <c r="R134" s="825"/>
      <c r="S134" s="825"/>
      <c r="T134" s="825"/>
      <c r="U134" s="825"/>
      <c r="V134" s="825"/>
      <c r="W134" s="825"/>
      <c r="X134" s="825"/>
      <c r="Y134" s="825"/>
      <c r="Z134" s="825"/>
      <c r="AA134" s="825"/>
      <c r="AB134" s="825"/>
      <c r="AC134" s="825"/>
      <c r="AD134" s="825"/>
      <c r="AE134" s="825"/>
      <c r="AF134" s="825"/>
      <c r="AG134" s="825"/>
      <c r="AH134" s="825"/>
      <c r="AI134" s="825"/>
      <c r="AJ134" s="825"/>
      <c r="AK134" s="825"/>
      <c r="AL134" s="825"/>
      <c r="AM134" s="825"/>
      <c r="AN134" s="825"/>
      <c r="AO134" s="825"/>
      <c r="AP134" s="825"/>
    </row>
    <row r="135" spans="1:42">
      <c r="A135" s="825"/>
      <c r="B135" s="1145"/>
      <c r="C135" s="825"/>
      <c r="D135" s="1133" t="s">
        <v>817</v>
      </c>
      <c r="E135" s="825"/>
      <c r="F135" s="825"/>
      <c r="G135" s="825"/>
      <c r="H135" s="825"/>
      <c r="I135" s="825"/>
      <c r="J135" s="825"/>
      <c r="K135" s="825"/>
      <c r="L135" s="825"/>
      <c r="M135" s="825"/>
      <c r="N135" s="825"/>
      <c r="O135" s="825"/>
      <c r="P135" s="825"/>
      <c r="Q135" s="825"/>
      <c r="R135" s="825"/>
      <c r="S135" s="825"/>
      <c r="T135" s="825"/>
      <c r="U135" s="825"/>
      <c r="V135" s="825"/>
      <c r="W135" s="825"/>
      <c r="X135" s="825"/>
      <c r="Y135" s="825"/>
      <c r="Z135" s="825"/>
      <c r="AA135" s="825"/>
      <c r="AB135" s="825"/>
      <c r="AC135" s="825"/>
      <c r="AD135" s="825"/>
      <c r="AE135" s="825"/>
      <c r="AF135" s="825"/>
      <c r="AG135" s="825"/>
      <c r="AH135" s="825"/>
      <c r="AI135" s="825"/>
      <c r="AJ135" s="825"/>
      <c r="AK135" s="825"/>
      <c r="AL135" s="825"/>
      <c r="AM135" s="825"/>
      <c r="AN135" s="825"/>
      <c r="AO135" s="825"/>
      <c r="AP135" s="825"/>
    </row>
    <row r="136" spans="1:42">
      <c r="A136" s="825"/>
      <c r="B136" s="1138"/>
      <c r="C136" s="1138"/>
      <c r="D136" s="825" t="s">
        <v>808</v>
      </c>
      <c r="E136" s="825"/>
      <c r="F136" s="825"/>
      <c r="G136" s="825"/>
      <c r="H136" s="825"/>
      <c r="I136" s="825"/>
      <c r="J136" s="825"/>
      <c r="K136" s="825"/>
      <c r="L136" s="825"/>
      <c r="M136" s="825"/>
      <c r="N136" s="825"/>
      <c r="O136" s="825"/>
      <c r="P136" s="825"/>
      <c r="Q136" s="825"/>
      <c r="R136" s="825"/>
      <c r="S136" s="825"/>
      <c r="T136" s="768">
        <v>4272.9962319368333</v>
      </c>
      <c r="U136" s="768">
        <v>4747.6422319368339</v>
      </c>
      <c r="V136" s="768">
        <v>4953.7482618711465</v>
      </c>
      <c r="W136" s="768">
        <v>4572.7764027472685</v>
      </c>
      <c r="X136" s="768">
        <v>4572.7764027472685</v>
      </c>
      <c r="Y136" s="768">
        <v>4572.7764027472685</v>
      </c>
      <c r="Z136" s="768">
        <v>4672.7764027472685</v>
      </c>
      <c r="AA136" s="768">
        <v>4025.9384027472679</v>
      </c>
      <c r="AB136" s="768">
        <v>3037.5451188337179</v>
      </c>
      <c r="AC136" s="768">
        <v>3076.2947830837179</v>
      </c>
      <c r="AD136" s="825"/>
      <c r="AE136" s="825"/>
      <c r="AF136" s="825"/>
      <c r="AG136" s="825"/>
      <c r="AH136" s="825"/>
      <c r="AI136" s="825"/>
      <c r="AJ136" s="825"/>
      <c r="AK136" s="825"/>
      <c r="AL136" s="825"/>
      <c r="AM136" s="825"/>
      <c r="AN136" s="825"/>
      <c r="AO136" s="825"/>
      <c r="AP136" s="825"/>
    </row>
    <row r="137" spans="1:42">
      <c r="A137" s="825"/>
      <c r="B137" s="1138"/>
      <c r="C137" s="1138"/>
      <c r="D137" s="825" t="s">
        <v>809</v>
      </c>
      <c r="E137" s="825"/>
      <c r="F137" s="825"/>
      <c r="G137" s="825"/>
      <c r="H137" s="825"/>
      <c r="I137" s="825"/>
      <c r="J137" s="825"/>
      <c r="K137" s="825"/>
      <c r="L137" s="825"/>
      <c r="M137" s="825"/>
      <c r="N137" s="825"/>
      <c r="O137" s="825"/>
      <c r="P137" s="825"/>
      <c r="Q137" s="825"/>
      <c r="R137" s="825"/>
      <c r="S137" s="825"/>
      <c r="T137" s="768">
        <v>0</v>
      </c>
      <c r="U137" s="768">
        <v>0</v>
      </c>
      <c r="V137" s="768">
        <v>537.22</v>
      </c>
      <c r="W137" s="768">
        <v>537.22</v>
      </c>
      <c r="X137" s="768">
        <v>537.22</v>
      </c>
      <c r="Y137" s="768">
        <v>537.22</v>
      </c>
      <c r="Z137" s="768">
        <v>537.22</v>
      </c>
      <c r="AA137" s="768">
        <v>537.22</v>
      </c>
      <c r="AB137" s="768">
        <v>465</v>
      </c>
      <c r="AC137" s="768">
        <v>315</v>
      </c>
      <c r="AD137" s="825"/>
      <c r="AE137" s="825"/>
      <c r="AF137" s="825"/>
      <c r="AG137" s="825"/>
      <c r="AH137" s="825"/>
      <c r="AI137" s="825"/>
      <c r="AJ137" s="825"/>
      <c r="AK137" s="825"/>
      <c r="AL137" s="825"/>
      <c r="AM137" s="825"/>
      <c r="AN137" s="825"/>
      <c r="AO137" s="825"/>
      <c r="AP137" s="825"/>
    </row>
    <row r="138" spans="1:42">
      <c r="A138" s="825"/>
      <c r="B138" s="1138"/>
      <c r="C138" s="1138"/>
      <c r="D138" s="825" t="s">
        <v>892</v>
      </c>
      <c r="E138" s="825"/>
      <c r="F138" s="825"/>
      <c r="G138" s="825"/>
      <c r="H138" s="825"/>
      <c r="I138" s="825"/>
      <c r="J138" s="825"/>
      <c r="K138" s="825"/>
      <c r="L138" s="825"/>
      <c r="M138" s="825"/>
      <c r="N138" s="825"/>
      <c r="O138" s="825"/>
      <c r="P138" s="825"/>
      <c r="Q138" s="825"/>
      <c r="R138" s="825"/>
      <c r="S138" s="825"/>
      <c r="T138" s="768">
        <v>1392.8200999225915</v>
      </c>
      <c r="U138" s="768">
        <v>1520.7070022889534</v>
      </c>
      <c r="V138" s="768">
        <v>1181.3040201080489</v>
      </c>
      <c r="W138" s="768">
        <v>993.45843484185571</v>
      </c>
      <c r="X138" s="768">
        <v>1006.0444961037182</v>
      </c>
      <c r="Y138" s="768">
        <v>621.68441236109015</v>
      </c>
      <c r="Z138" s="768">
        <v>640.33494473192343</v>
      </c>
      <c r="AA138" s="768">
        <v>659.5449930738821</v>
      </c>
      <c r="AB138" s="768">
        <v>679.33134286609913</v>
      </c>
      <c r="AC138" s="768">
        <v>699.71128315208284</v>
      </c>
      <c r="AD138" s="825"/>
      <c r="AE138" s="825"/>
      <c r="AF138" s="825"/>
      <c r="AG138" s="825"/>
      <c r="AH138" s="825"/>
      <c r="AI138" s="825"/>
      <c r="AJ138" s="825"/>
      <c r="AK138" s="825"/>
      <c r="AL138" s="825"/>
      <c r="AM138" s="825"/>
      <c r="AN138" s="825"/>
      <c r="AO138" s="825"/>
      <c r="AP138" s="825"/>
    </row>
    <row r="139" spans="1:42">
      <c r="A139" s="825"/>
      <c r="B139" s="1138"/>
      <c r="C139" s="1138"/>
      <c r="D139" s="825" t="s">
        <v>893</v>
      </c>
      <c r="E139" s="825"/>
      <c r="F139" s="825"/>
      <c r="G139" s="825"/>
      <c r="H139" s="825"/>
      <c r="I139" s="825"/>
      <c r="J139" s="825"/>
      <c r="K139" s="825"/>
      <c r="L139" s="825"/>
      <c r="M139" s="825"/>
      <c r="N139" s="825"/>
      <c r="O139" s="825"/>
      <c r="P139" s="825"/>
      <c r="Q139" s="825"/>
      <c r="R139" s="825"/>
      <c r="S139" s="825"/>
      <c r="T139" s="768">
        <v>1000</v>
      </c>
      <c r="U139" s="768">
        <v>1000</v>
      </c>
      <c r="V139" s="768">
        <v>1000</v>
      </c>
      <c r="W139" s="768">
        <v>1000</v>
      </c>
      <c r="X139" s="768">
        <v>1000</v>
      </c>
      <c r="Y139" s="768">
        <v>1000</v>
      </c>
      <c r="Z139" s="768">
        <v>900</v>
      </c>
      <c r="AA139" s="768">
        <v>700</v>
      </c>
      <c r="AB139" s="768">
        <v>700</v>
      </c>
      <c r="AC139" s="768">
        <v>300</v>
      </c>
      <c r="AD139" s="825"/>
      <c r="AE139" s="825"/>
      <c r="AF139" s="825"/>
      <c r="AG139" s="825"/>
      <c r="AH139" s="825"/>
      <c r="AI139" s="825"/>
      <c r="AJ139" s="825"/>
      <c r="AK139" s="825"/>
      <c r="AL139" s="825"/>
      <c r="AM139" s="825"/>
      <c r="AN139" s="825"/>
      <c r="AO139" s="825"/>
      <c r="AP139" s="825"/>
    </row>
    <row r="140" spans="1:42">
      <c r="A140" s="825"/>
      <c r="B140" s="1138"/>
      <c r="C140" s="1138"/>
      <c r="D140" s="825" t="s">
        <v>894</v>
      </c>
      <c r="E140" s="825"/>
      <c r="F140" s="825"/>
      <c r="G140" s="825"/>
      <c r="H140" s="825"/>
      <c r="I140" s="825"/>
      <c r="J140" s="825"/>
      <c r="K140" s="825"/>
      <c r="L140" s="825"/>
      <c r="M140" s="825"/>
      <c r="N140" s="825"/>
      <c r="O140" s="825"/>
      <c r="P140" s="825"/>
      <c r="Q140" s="825"/>
      <c r="R140" s="825"/>
      <c r="S140" s="825"/>
      <c r="T140" s="768">
        <v>0</v>
      </c>
      <c r="U140" s="768">
        <v>0</v>
      </c>
      <c r="V140" s="768">
        <v>0</v>
      </c>
      <c r="W140" s="768">
        <v>0</v>
      </c>
      <c r="X140" s="768">
        <v>0</v>
      </c>
      <c r="Y140" s="768">
        <v>0</v>
      </c>
      <c r="Z140" s="768">
        <v>0</v>
      </c>
      <c r="AA140" s="768">
        <v>0</v>
      </c>
      <c r="AB140" s="768">
        <v>0</v>
      </c>
      <c r="AC140" s="768">
        <v>0</v>
      </c>
      <c r="AD140" s="825"/>
      <c r="AE140" s="825"/>
      <c r="AF140" s="825"/>
      <c r="AG140" s="825"/>
      <c r="AH140" s="825"/>
      <c r="AI140" s="825"/>
      <c r="AJ140" s="825"/>
      <c r="AK140" s="825"/>
      <c r="AL140" s="825"/>
      <c r="AM140" s="825"/>
      <c r="AN140" s="825"/>
      <c r="AO140" s="825"/>
      <c r="AP140" s="825"/>
    </row>
    <row r="141" spans="1:42">
      <c r="A141" s="825"/>
      <c r="B141" s="1138"/>
      <c r="C141" s="1138"/>
      <c r="D141" s="1133" t="s">
        <v>613</v>
      </c>
      <c r="E141" s="1133"/>
      <c r="F141" s="1133"/>
      <c r="G141" s="1133"/>
      <c r="H141" s="1133"/>
      <c r="I141" s="1133"/>
      <c r="J141" s="1133"/>
      <c r="K141" s="1133"/>
      <c r="L141" s="1133"/>
      <c r="M141" s="1133"/>
      <c r="N141" s="1133"/>
      <c r="O141" s="1133"/>
      <c r="P141" s="1133"/>
      <c r="Q141" s="1133"/>
      <c r="R141" s="1133"/>
      <c r="S141" s="1133"/>
      <c r="T141" s="772">
        <v>6665.8163318594252</v>
      </c>
      <c r="U141" s="772">
        <v>7268.3492342257869</v>
      </c>
      <c r="V141" s="772">
        <v>7672.2722819791961</v>
      </c>
      <c r="W141" s="772">
        <v>7103.4548375891245</v>
      </c>
      <c r="X141" s="772">
        <v>7116.0408988509871</v>
      </c>
      <c r="Y141" s="772">
        <v>6731.6808151083587</v>
      </c>
      <c r="Z141" s="772">
        <v>6750.3313474791921</v>
      </c>
      <c r="AA141" s="772">
        <v>5922.7033958211505</v>
      </c>
      <c r="AB141" s="772">
        <v>4881.8764616998169</v>
      </c>
      <c r="AC141" s="772">
        <v>4391.006066235801</v>
      </c>
      <c r="AD141" s="825"/>
      <c r="AE141" s="825"/>
      <c r="AF141" s="825"/>
      <c r="AG141" s="825"/>
      <c r="AH141" s="825"/>
      <c r="AI141" s="825"/>
      <c r="AJ141" s="825"/>
      <c r="AK141" s="825"/>
      <c r="AL141" s="825"/>
      <c r="AM141" s="825"/>
      <c r="AN141" s="825"/>
      <c r="AO141" s="825"/>
      <c r="AP141" s="825"/>
    </row>
    <row r="142" spans="1:42">
      <c r="A142" s="825"/>
      <c r="B142" s="1138"/>
      <c r="C142" s="1138"/>
      <c r="D142" s="1133"/>
      <c r="E142" s="825"/>
      <c r="F142" s="825"/>
      <c r="G142" s="825"/>
      <c r="H142" s="825"/>
      <c r="I142" s="825"/>
      <c r="J142" s="825"/>
      <c r="K142" s="825"/>
      <c r="L142" s="825"/>
      <c r="M142" s="825"/>
      <c r="N142" s="825"/>
      <c r="O142" s="825"/>
      <c r="P142" s="825"/>
      <c r="Q142" s="825"/>
      <c r="R142" s="825"/>
      <c r="S142" s="825"/>
      <c r="T142" s="825"/>
      <c r="U142" s="825"/>
      <c r="V142" s="825"/>
      <c r="W142" s="825"/>
      <c r="X142" s="825"/>
      <c r="Y142" s="825"/>
      <c r="Z142" s="825"/>
      <c r="AA142" s="825"/>
      <c r="AB142" s="825"/>
      <c r="AC142" s="825"/>
      <c r="AD142" s="825"/>
      <c r="AE142" s="825"/>
      <c r="AF142" s="825"/>
      <c r="AG142" s="825"/>
      <c r="AH142" s="825"/>
      <c r="AI142" s="825"/>
      <c r="AJ142" s="825"/>
      <c r="AK142" s="825"/>
      <c r="AL142" s="825"/>
      <c r="AM142" s="825"/>
      <c r="AN142" s="825"/>
      <c r="AO142" s="825"/>
      <c r="AP142" s="825"/>
    </row>
    <row r="143" spans="1:42" ht="15" customHeight="1">
      <c r="A143" s="1162"/>
      <c r="B143" s="1163" t="s">
        <v>818</v>
      </c>
      <c r="C143" s="1163"/>
      <c r="D143" s="1164"/>
      <c r="E143" s="1164"/>
      <c r="F143" s="1164"/>
      <c r="G143" s="1164"/>
      <c r="H143" s="1164"/>
      <c r="I143" s="1164"/>
      <c r="J143" s="1164"/>
      <c r="K143" s="1164"/>
      <c r="L143" s="1164"/>
      <c r="M143" s="1164"/>
      <c r="N143" s="1164"/>
      <c r="O143" s="1164"/>
      <c r="P143" s="1164"/>
      <c r="Q143" s="1164"/>
      <c r="R143" s="1164"/>
      <c r="S143" s="1164"/>
      <c r="T143" s="1164"/>
      <c r="U143" s="1164"/>
      <c r="V143" s="1164"/>
      <c r="W143" s="1164"/>
      <c r="X143" s="1164"/>
      <c r="Y143" s="1164"/>
      <c r="Z143" s="1164"/>
      <c r="AA143" s="1164"/>
      <c r="AB143" s="1164"/>
      <c r="AC143" s="1164"/>
      <c r="AD143" s="1165"/>
      <c r="AE143" s="1165"/>
      <c r="AF143" s="1165"/>
      <c r="AG143" s="1165"/>
      <c r="AH143" s="1165"/>
      <c r="AI143" s="1165"/>
      <c r="AJ143" s="1165"/>
      <c r="AK143" s="1165"/>
      <c r="AL143" s="1165"/>
      <c r="AM143" s="121"/>
      <c r="AN143" s="121"/>
      <c r="AO143" s="121"/>
      <c r="AP143" s="121"/>
    </row>
    <row r="144" spans="1:42">
      <c r="A144" s="825"/>
      <c r="B144" s="1138"/>
      <c r="C144" s="1138"/>
      <c r="D144" s="825"/>
      <c r="E144" s="825"/>
      <c r="F144" s="825"/>
      <c r="G144" s="825"/>
      <c r="H144" s="825"/>
      <c r="I144" s="825"/>
      <c r="J144" s="825"/>
      <c r="K144" s="825"/>
      <c r="L144" s="825"/>
      <c r="M144" s="825"/>
      <c r="N144" s="825"/>
      <c r="O144" s="825"/>
      <c r="P144" s="825"/>
      <c r="Q144" s="825"/>
      <c r="R144" s="825"/>
      <c r="S144" s="825"/>
      <c r="T144" s="825"/>
      <c r="U144" s="825"/>
      <c r="V144" s="825"/>
      <c r="W144" s="825"/>
      <c r="X144" s="825"/>
      <c r="Y144" s="825"/>
      <c r="Z144" s="825"/>
      <c r="AA144" s="825"/>
      <c r="AB144" s="825"/>
      <c r="AC144" s="825"/>
      <c r="AD144" s="825"/>
      <c r="AE144" s="825"/>
      <c r="AF144" s="825"/>
      <c r="AG144" s="825"/>
      <c r="AH144" s="825"/>
      <c r="AI144" s="825"/>
      <c r="AJ144" s="825"/>
      <c r="AK144" s="825"/>
      <c r="AL144" s="825"/>
      <c r="AM144" s="825"/>
      <c r="AN144" s="825"/>
      <c r="AO144" s="825"/>
      <c r="AP144" s="825"/>
    </row>
    <row r="145" spans="1:42">
      <c r="A145" s="825"/>
      <c r="B145" s="1138"/>
      <c r="C145" s="1138"/>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5"/>
      <c r="AD145" s="825"/>
      <c r="AE145" s="825"/>
      <c r="AF145" s="825"/>
      <c r="AG145" s="825"/>
      <c r="AH145" s="825"/>
      <c r="AI145" s="825"/>
      <c r="AJ145" s="825"/>
      <c r="AK145" s="825"/>
      <c r="AL145" s="825"/>
      <c r="AM145" s="825"/>
      <c r="AN145" s="825"/>
      <c r="AO145" s="825"/>
      <c r="AP145" s="825"/>
    </row>
    <row r="146" spans="1:42"/>
  </sheetData>
  <sheetProtection insertRows="0" deleteRows="0" sort="0" autoFilter="0" pivotTables="0"/>
  <dataConsolidate/>
  <mergeCells count="47">
    <mergeCell ref="D51:Q51"/>
    <mergeCell ref="T7:X7"/>
    <mergeCell ref="Y7:AC7"/>
    <mergeCell ref="D48:Q48"/>
    <mergeCell ref="D49:Q49"/>
    <mergeCell ref="D50:Q50"/>
    <mergeCell ref="D65:R65"/>
    <mergeCell ref="D52:Q52"/>
    <mergeCell ref="D53:Q53"/>
    <mergeCell ref="D54:Q54"/>
    <mergeCell ref="D55:Q55"/>
    <mergeCell ref="D56:Q56"/>
    <mergeCell ref="D57:Q57"/>
    <mergeCell ref="D60:R60"/>
    <mergeCell ref="D61:R61"/>
    <mergeCell ref="D62:R62"/>
    <mergeCell ref="D63:R63"/>
    <mergeCell ref="D64:R64"/>
    <mergeCell ref="D77:R77"/>
    <mergeCell ref="D66:R66"/>
    <mergeCell ref="D67:R67"/>
    <mergeCell ref="D68:R68"/>
    <mergeCell ref="D69:R69"/>
    <mergeCell ref="D70:R70"/>
    <mergeCell ref="D71:R71"/>
    <mergeCell ref="D72:R72"/>
    <mergeCell ref="D73:R73"/>
    <mergeCell ref="D74:R74"/>
    <mergeCell ref="D75:R75"/>
    <mergeCell ref="D76:R76"/>
    <mergeCell ref="D105:R105"/>
    <mergeCell ref="D87:R87"/>
    <mergeCell ref="D88:R88"/>
    <mergeCell ref="D89:R89"/>
    <mergeCell ref="D90:R90"/>
    <mergeCell ref="D91:R91"/>
    <mergeCell ref="D92:R92"/>
    <mergeCell ref="D96:R96"/>
    <mergeCell ref="D97:R97"/>
    <mergeCell ref="D98:R98"/>
    <mergeCell ref="D99:R99"/>
    <mergeCell ref="D101:R101"/>
    <mergeCell ref="D106:R106"/>
    <mergeCell ref="D107:R107"/>
    <mergeCell ref="D111:R111"/>
    <mergeCell ref="D112:R112"/>
    <mergeCell ref="D113:R113"/>
  </mergeCells>
  <conditionalFormatting sqref="T14:AC29 T94:AC94">
    <cfRule type="cellIs" priority="8" stopIfTrue="1" operator="greaterThanOrEqual">
      <formula>0</formula>
    </cfRule>
  </conditionalFormatting>
  <conditionalFormatting sqref="T41:AC41">
    <cfRule type="expression" dxfId="51" priority="4">
      <formula>T41&lt;&gt;"OK"</formula>
    </cfRule>
  </conditionalFormatting>
  <conditionalFormatting sqref="T61:AC76">
    <cfRule type="cellIs" priority="2" stopIfTrue="1" operator="greaterThanOrEqual">
      <formula>0</formula>
    </cfRule>
  </conditionalFormatting>
  <conditionalFormatting sqref="T80:AC80">
    <cfRule type="cellIs" priority="1" stopIfTrue="1" operator="greaterThanOrEqual">
      <formula>0</formula>
    </cfRule>
  </conditionalFormatting>
  <conditionalFormatting sqref="T93:AC93 T102:AC102 T108:AC108 T114:AC114">
    <cfRule type="expression" dxfId="50" priority="6">
      <formula>T92&lt;&gt;1</formula>
    </cfRule>
  </conditionalFormatting>
  <conditionalFormatting sqref="T105:AC106">
    <cfRule type="cellIs" priority="3" stopIfTrue="1" operator="greaterThanOrEqual">
      <formula>0</formula>
    </cfRule>
  </conditionalFormatting>
  <conditionalFormatting sqref="T111:AC112">
    <cfRule type="cellIs" priority="5"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Normal="100" workbookViewId="0">
      <selection activeCell="A5" sqref="A5"/>
    </sheetView>
  </sheetViews>
  <sheetFormatPr defaultColWidth="9" defaultRowHeight="13.5"/>
  <cols>
    <col min="1" max="1" width="8.3828125" style="114" customWidth="1"/>
    <col min="2" max="2" width="52.15234375" style="114" bestFit="1" customWidth="1"/>
    <col min="3" max="4" width="4.23046875" style="114" customWidth="1"/>
    <col min="5" max="5" width="14.15234375" style="136" customWidth="1"/>
    <col min="6" max="10" width="11.15234375" style="114" customWidth="1"/>
    <col min="11" max="11" width="5" style="114" customWidth="1"/>
    <col min="12" max="12" width="9" style="114"/>
    <col min="13" max="13" width="9" style="88"/>
    <col min="14" max="16384" width="9" style="114"/>
  </cols>
  <sheetData>
    <row r="1" spans="1:19" ht="20">
      <c r="A1" s="324" t="s">
        <v>895</v>
      </c>
      <c r="B1" s="326"/>
      <c r="C1" s="326"/>
      <c r="D1" s="326"/>
      <c r="E1" s="837"/>
      <c r="F1" s="327"/>
      <c r="G1" s="327"/>
      <c r="H1" s="327"/>
      <c r="I1" s="327"/>
      <c r="J1" s="327"/>
      <c r="K1" s="456"/>
    </row>
    <row r="2" spans="1:19" ht="20">
      <c r="A2" s="329" t="str">
        <f>Licensee</f>
        <v>Cadent-London</v>
      </c>
      <c r="B2" s="331"/>
      <c r="C2" s="331"/>
      <c r="D2" s="331"/>
      <c r="E2" s="838"/>
      <c r="F2" s="332"/>
      <c r="G2" s="332"/>
      <c r="H2" s="332"/>
      <c r="I2" s="332"/>
      <c r="J2" s="332"/>
      <c r="K2" s="334"/>
    </row>
    <row r="3" spans="1:19" ht="20">
      <c r="A3" s="331">
        <f>Reporting_Year</f>
        <v>2024</v>
      </c>
      <c r="B3" s="335"/>
      <c r="C3" s="335"/>
      <c r="D3" s="335"/>
      <c r="E3" s="335"/>
      <c r="F3" s="335"/>
      <c r="G3" s="335"/>
      <c r="H3" s="335"/>
      <c r="I3" s="335"/>
      <c r="J3" s="335"/>
      <c r="K3" s="337"/>
    </row>
    <row r="4" spans="1:19" s="339" customFormat="1" ht="12.75" customHeight="1">
      <c r="E4" s="467"/>
      <c r="M4" s="389"/>
    </row>
    <row r="5" spans="1:19" s="339" customFormat="1">
      <c r="B5" s="480"/>
      <c r="C5" s="480"/>
      <c r="D5" s="480"/>
      <c r="E5" s="467"/>
      <c r="F5" s="481" t="str">
        <f>IF(F6&lt;=Reporting_Year,"Actuals","Forecast")</f>
        <v>Actuals</v>
      </c>
      <c r="G5" s="481" t="str">
        <f>IF(G6&lt;=Reporting_Year,"Actuals","Forecast")</f>
        <v>Actuals</v>
      </c>
      <c r="H5" s="481" t="str">
        <f>IF(H6&lt;=Reporting_Year,"Actuals","Forecast")</f>
        <v>Actuals</v>
      </c>
      <c r="I5" s="481" t="str">
        <f>IF(I6&lt;=Reporting_Year,"Actuals","Forecast")</f>
        <v>Forecast</v>
      </c>
      <c r="J5" s="481" t="str">
        <f>IF(J6&lt;=Reporting_Year,"Actuals","Forecast")</f>
        <v>Forecast</v>
      </c>
      <c r="M5" s="389"/>
    </row>
    <row r="6" spans="1:19" s="339" customFormat="1">
      <c r="E6" s="467"/>
      <c r="F6" s="457">
        <f>'RFPR cover'!$C$6</f>
        <v>2022</v>
      </c>
      <c r="G6" s="458">
        <f>F6+1</f>
        <v>2023</v>
      </c>
      <c r="H6" s="458">
        <f t="shared" ref="H6:J6" si="0">G6+1</f>
        <v>2024</v>
      </c>
      <c r="I6" s="458">
        <f t="shared" si="0"/>
        <v>2025</v>
      </c>
      <c r="J6" s="458">
        <f t="shared" si="0"/>
        <v>2026</v>
      </c>
      <c r="M6" s="389"/>
    </row>
    <row r="7" spans="1:19" s="339" customFormat="1">
      <c r="E7" s="467"/>
      <c r="F7" s="457" t="str">
        <f>RIIO_2_start_date-1&amp;"/"&amp;RIGHT(RIIO_2_start_date,2)</f>
        <v>2021/22</v>
      </c>
      <c r="G7" s="457" t="str">
        <f>RIIO_2_start_date&amp;"/"&amp;RIGHT(RIIO_2_start_date+1,2)</f>
        <v>2022/23</v>
      </c>
      <c r="H7" s="457" t="str">
        <f>RIIO_2_start_date+1&amp;"/"&amp;RIGHT(RIIO_2_start_date+2,2)</f>
        <v>2023/24</v>
      </c>
      <c r="I7" s="457" t="str">
        <f>RIIO_2_start_date+2&amp;"/"&amp;RIGHT(RIIO_2_start_date+3,2)</f>
        <v>2024/25</v>
      </c>
      <c r="J7" s="562" t="str">
        <f>RIIO_2_start_date+3&amp;"/"&amp;RIGHT(RIIO_2_start_date+4,2)</f>
        <v>2025/26</v>
      </c>
      <c r="M7" s="389"/>
    </row>
    <row r="8" spans="1:19" s="339" customFormat="1">
      <c r="E8" s="467"/>
      <c r="F8" s="467"/>
      <c r="G8" s="467"/>
      <c r="H8" s="467"/>
      <c r="I8" s="467"/>
      <c r="J8" s="467"/>
      <c r="K8" s="467"/>
      <c r="L8" s="467"/>
      <c r="M8" s="467"/>
      <c r="N8" s="467"/>
      <c r="O8" s="467"/>
      <c r="P8" s="467"/>
      <c r="Q8" s="467"/>
      <c r="R8" s="467"/>
      <c r="S8" s="467"/>
    </row>
    <row r="9" spans="1:19" s="339" customFormat="1">
      <c r="B9" s="839" t="s">
        <v>896</v>
      </c>
      <c r="C9" s="839"/>
      <c r="D9" s="839"/>
      <c r="L9" s="467"/>
      <c r="M9" s="389"/>
    </row>
    <row r="10" spans="1:19" s="339" customFormat="1">
      <c r="L10" s="467"/>
    </row>
    <row r="11" spans="1:19" s="339" customFormat="1">
      <c r="B11" s="840"/>
      <c r="C11" s="840"/>
      <c r="D11" s="840"/>
      <c r="E11" s="840"/>
      <c r="F11" s="840"/>
      <c r="G11" s="840"/>
      <c r="H11" s="840"/>
      <c r="I11" s="840"/>
      <c r="J11" s="840"/>
      <c r="K11" s="840"/>
      <c r="L11" s="467"/>
      <c r="M11" s="389"/>
    </row>
    <row r="12" spans="1:19" s="339" customFormat="1">
      <c r="B12" s="114" t="s">
        <v>897</v>
      </c>
      <c r="C12" s="114"/>
      <c r="D12" s="114"/>
      <c r="E12" s="841" t="str">
        <f>Data!$C$9</f>
        <v>£m 18/19</v>
      </c>
      <c r="F12" s="842">
        <v>2344.7697186955438</v>
      </c>
      <c r="G12" s="842">
        <v>2382.8264097448246</v>
      </c>
      <c r="H12" s="842">
        <v>2429.4096600008456</v>
      </c>
      <c r="I12" s="842">
        <v>2467.2074210878327</v>
      </c>
      <c r="J12" s="842">
        <v>2494.0150664550201</v>
      </c>
      <c r="L12" s="1284" t="s">
        <v>898</v>
      </c>
      <c r="M12" s="389"/>
    </row>
    <row r="13" spans="1:19" s="339" customFormat="1">
      <c r="L13" s="1284"/>
      <c r="M13" s="389"/>
    </row>
    <row r="14" spans="1:19" s="339" customFormat="1">
      <c r="B14" s="840"/>
      <c r="C14" s="840"/>
      <c r="D14" s="840"/>
      <c r="E14" s="467"/>
      <c r="F14" s="467"/>
      <c r="G14" s="467"/>
      <c r="H14" s="467"/>
      <c r="I14" s="467"/>
      <c r="J14" s="467"/>
      <c r="L14" s="1284"/>
      <c r="M14" s="389"/>
    </row>
    <row r="15" spans="1:19" s="339" customFormat="1" ht="14">
      <c r="B15" s="339" t="s">
        <v>899</v>
      </c>
      <c r="E15" s="841" t="str">
        <f>Data!$C$9</f>
        <v>£m 18/19</v>
      </c>
      <c r="F15" s="842">
        <v>2340.1646434681898</v>
      </c>
      <c r="G15" s="861">
        <f>F24</f>
        <v>2344.7697186955438</v>
      </c>
      <c r="H15" s="861">
        <f>G24</f>
        <v>2382.8264097448246</v>
      </c>
      <c r="I15" s="861">
        <f>H24</f>
        <v>2429.4096600008456</v>
      </c>
      <c r="J15" s="861">
        <f>I24</f>
        <v>2467.2074210878327</v>
      </c>
      <c r="L15" s="1284" t="s">
        <v>900</v>
      </c>
      <c r="M15" s="389"/>
    </row>
    <row r="16" spans="1:19" s="339" customFormat="1">
      <c r="B16" s="339" t="s">
        <v>901</v>
      </c>
      <c r="E16" s="841" t="str">
        <f>Data!$C$9</f>
        <v>£m 18/19</v>
      </c>
      <c r="F16" s="843">
        <v>0</v>
      </c>
      <c r="G16" s="843">
        <v>0</v>
      </c>
      <c r="H16" s="843">
        <v>0</v>
      </c>
      <c r="I16" s="843">
        <v>0</v>
      </c>
      <c r="J16" s="843">
        <v>0</v>
      </c>
      <c r="L16" s="1284" t="s">
        <v>902</v>
      </c>
      <c r="M16" s="389"/>
    </row>
    <row r="17" spans="1:19" s="339" customFormat="1">
      <c r="B17" s="482" t="s">
        <v>903</v>
      </c>
      <c r="C17" s="482"/>
      <c r="D17" s="482"/>
      <c r="E17" s="841" t="str">
        <f>Data!$C$9</f>
        <v>£m 18/19</v>
      </c>
      <c r="F17" s="862">
        <f>SUM(F15:F16)</f>
        <v>2340.1646434681898</v>
      </c>
      <c r="G17" s="863">
        <f t="shared" ref="G17:J17" si="1">SUM(G15:G16)</f>
        <v>2344.7697186955438</v>
      </c>
      <c r="H17" s="863">
        <f t="shared" si="1"/>
        <v>2382.8264097448246</v>
      </c>
      <c r="I17" s="863">
        <f t="shared" si="1"/>
        <v>2429.4096600008456</v>
      </c>
      <c r="J17" s="863">
        <f t="shared" si="1"/>
        <v>2467.2074210878327</v>
      </c>
      <c r="L17" s="1284"/>
      <c r="M17" s="389"/>
    </row>
    <row r="18" spans="1:19" s="339" customFormat="1">
      <c r="B18" s="844" t="s">
        <v>904</v>
      </c>
      <c r="C18" s="844"/>
      <c r="D18" s="844"/>
      <c r="E18" s="841" t="str">
        <f>Data!$C$9</f>
        <v>£m 18/19</v>
      </c>
      <c r="F18" s="845">
        <v>126.38097234565031</v>
      </c>
      <c r="G18" s="845">
        <v>162.06469043890016</v>
      </c>
      <c r="H18" s="845">
        <v>174.25271070135997</v>
      </c>
      <c r="I18" s="845">
        <v>169.50201227053066</v>
      </c>
      <c r="J18" s="845">
        <v>162.17177507628907</v>
      </c>
      <c r="L18" s="1284" t="s">
        <v>905</v>
      </c>
      <c r="M18" s="389"/>
    </row>
    <row r="19" spans="1:19" s="339" customFormat="1">
      <c r="B19" s="844" t="s">
        <v>906</v>
      </c>
      <c r="C19" s="844"/>
      <c r="D19" s="844"/>
      <c r="E19" s="841" t="str">
        <f>Data!$C$9</f>
        <v>£m 18/19</v>
      </c>
      <c r="F19" s="846">
        <v>0</v>
      </c>
      <c r="G19" s="847">
        <v>0</v>
      </c>
      <c r="H19" s="847">
        <v>0</v>
      </c>
      <c r="I19" s="847">
        <v>0</v>
      </c>
      <c r="J19" s="847">
        <v>0</v>
      </c>
      <c r="L19" s="1284"/>
      <c r="M19" s="389"/>
    </row>
    <row r="20" spans="1:19" s="339" customFormat="1">
      <c r="B20" s="848" t="s">
        <v>907</v>
      </c>
      <c r="C20" s="848"/>
      <c r="D20" s="848"/>
      <c r="E20" s="841" t="str">
        <f>Data!$C$9</f>
        <v>£m 18/19</v>
      </c>
      <c r="F20" s="864">
        <f>SUM(F18:F19)</f>
        <v>126.38097234565031</v>
      </c>
      <c r="G20" s="864">
        <f t="shared" ref="G20:J20" si="2">SUM(G18:G19)</f>
        <v>162.06469043890016</v>
      </c>
      <c r="H20" s="864">
        <f t="shared" si="2"/>
        <v>174.25271070135997</v>
      </c>
      <c r="I20" s="864">
        <f t="shared" si="2"/>
        <v>169.50201227053066</v>
      </c>
      <c r="J20" s="864">
        <f t="shared" si="2"/>
        <v>162.17177507628907</v>
      </c>
      <c r="L20" s="1284"/>
      <c r="M20" s="389"/>
    </row>
    <row r="21" spans="1:19" s="339" customFormat="1">
      <c r="B21" s="844" t="s">
        <v>908</v>
      </c>
      <c r="C21" s="844"/>
      <c r="D21" s="844"/>
      <c r="E21" s="841" t="str">
        <f>Data!$C$9</f>
        <v>£m 18/19</v>
      </c>
      <c r="F21" s="849">
        <v>-121.77589711829611</v>
      </c>
      <c r="G21" s="849">
        <v>-124.00799938961916</v>
      </c>
      <c r="H21" s="849">
        <v>-127.66946044533887</v>
      </c>
      <c r="I21" s="849">
        <v>-131.70425118354342</v>
      </c>
      <c r="J21" s="849">
        <v>-135.36412970910192</v>
      </c>
      <c r="L21" s="1284" t="s">
        <v>909</v>
      </c>
      <c r="M21" s="389"/>
    </row>
    <row r="22" spans="1:19" s="339" customFormat="1">
      <c r="B22" s="844" t="s">
        <v>910</v>
      </c>
      <c r="C22" s="844"/>
      <c r="D22" s="844"/>
      <c r="E22" s="841" t="str">
        <f>Data!$C$9</f>
        <v>£m 18/19</v>
      </c>
      <c r="F22" s="851">
        <v>0</v>
      </c>
      <c r="G22" s="852">
        <v>0</v>
      </c>
      <c r="H22" s="852">
        <v>0</v>
      </c>
      <c r="I22" s="852">
        <v>0</v>
      </c>
      <c r="J22" s="852">
        <v>0</v>
      </c>
      <c r="L22" s="467"/>
      <c r="M22" s="389"/>
    </row>
    <row r="23" spans="1:19" s="339" customFormat="1">
      <c r="B23" s="396" t="s">
        <v>911</v>
      </c>
      <c r="C23" s="396"/>
      <c r="D23" s="396"/>
      <c r="E23" s="841" t="str">
        <f>Data!$C$9</f>
        <v>£m 18/19</v>
      </c>
      <c r="F23" s="865">
        <f>SUM(F21:F22)</f>
        <v>-121.77589711829611</v>
      </c>
      <c r="G23" s="865">
        <f t="shared" ref="G23:J23" si="3">SUM(G21:G22)</f>
        <v>-124.00799938961916</v>
      </c>
      <c r="H23" s="865">
        <f t="shared" si="3"/>
        <v>-127.66946044533887</v>
      </c>
      <c r="I23" s="865">
        <f t="shared" si="3"/>
        <v>-131.70425118354342</v>
      </c>
      <c r="J23" s="865">
        <f t="shared" si="3"/>
        <v>-135.36412970910192</v>
      </c>
      <c r="L23" s="1244"/>
      <c r="M23" s="1244"/>
      <c r="N23" s="1244"/>
      <c r="O23" s="1244"/>
    </row>
    <row r="24" spans="1:19" s="339" customFormat="1">
      <c r="B24" s="482" t="s">
        <v>912</v>
      </c>
      <c r="C24" s="482"/>
      <c r="D24" s="482"/>
      <c r="E24" s="841" t="str">
        <f>Data!$C$9</f>
        <v>£m 18/19</v>
      </c>
      <c r="F24" s="866">
        <f>F17+F20+F23</f>
        <v>2344.7697186955438</v>
      </c>
      <c r="G24" s="866">
        <f t="shared" ref="G24:J24" si="4">G17+G20+G23</f>
        <v>2382.8264097448246</v>
      </c>
      <c r="H24" s="866">
        <f t="shared" si="4"/>
        <v>2429.4096600008456</v>
      </c>
      <c r="I24" s="866">
        <f t="shared" si="4"/>
        <v>2467.2074210878327</v>
      </c>
      <c r="J24" s="866">
        <f t="shared" si="4"/>
        <v>2494.0150664550201</v>
      </c>
      <c r="L24" s="467"/>
      <c r="M24" s="389"/>
    </row>
    <row r="25" spans="1:19" s="339" customFormat="1">
      <c r="B25" s="482"/>
      <c r="C25" s="482"/>
      <c r="D25" s="482"/>
      <c r="E25" s="841"/>
      <c r="F25" s="841"/>
      <c r="G25" s="841"/>
      <c r="H25" s="841"/>
      <c r="I25" s="841"/>
      <c r="J25" s="841"/>
      <c r="K25" s="841"/>
      <c r="L25" s="467"/>
      <c r="M25" s="841"/>
      <c r="N25" s="841"/>
    </row>
    <row r="26" spans="1:19" s="339" customFormat="1">
      <c r="B26" s="482" t="s">
        <v>913</v>
      </c>
      <c r="C26" s="841"/>
      <c r="D26" s="841"/>
      <c r="E26" s="841" t="str">
        <f>Data!$C$9</f>
        <v>£m 18/19</v>
      </c>
      <c r="F26" s="866">
        <f>F19+F22</f>
        <v>0</v>
      </c>
      <c r="G26" s="867">
        <f>G19+G22</f>
        <v>0</v>
      </c>
      <c r="H26" s="867">
        <f t="shared" ref="H26:J26" si="5">H19+H22</f>
        <v>0</v>
      </c>
      <c r="I26" s="867">
        <f t="shared" si="5"/>
        <v>0</v>
      </c>
      <c r="J26" s="868">
        <f t="shared" si="5"/>
        <v>0</v>
      </c>
      <c r="K26" s="841"/>
      <c r="L26" s="467"/>
      <c r="M26" s="841"/>
      <c r="N26" s="841"/>
    </row>
    <row r="27" spans="1:19" s="339" customFormat="1">
      <c r="B27" s="482" t="s">
        <v>914</v>
      </c>
      <c r="C27" s="841"/>
      <c r="D27" s="841"/>
      <c r="E27" s="854"/>
      <c r="F27" s="869" t="str">
        <f>IF(F5="Actuals",IF(ABS((F24-SUM($F26:F$26))-F12)&lt;0.1,"TRUE","FALSE"),"NA")</f>
        <v>TRUE</v>
      </c>
      <c r="G27" s="870" t="str">
        <f>IF(G5="Actuals",IF(ABS((G24-SUM($F26:G$26))-G12)&lt;0.1,"TRUE","FALSE"),"NA")</f>
        <v>TRUE</v>
      </c>
      <c r="H27" s="870" t="str">
        <f>IF(H5="Actuals",IF(ABS((H24-SUM($F26:H$26))-H12)&lt;0.1,"TRUE","FALSE"),"NA")</f>
        <v>TRUE</v>
      </c>
      <c r="I27" s="870" t="str">
        <f>IF(I5="Actuals",IF(ABS((I24-SUM($F26:I$26))-I12)&lt;0.1,"TRUE","FALSE"),"NA")</f>
        <v>NA</v>
      </c>
      <c r="J27" s="871" t="str">
        <f>IF(J5="Actuals",IF(ABS((J24-SUM($F26:J$26))-J12)&lt;0.1,"TRUE","FALSE"),"NA")</f>
        <v>NA</v>
      </c>
      <c r="K27" s="841"/>
      <c r="L27" s="467"/>
      <c r="N27" s="841"/>
    </row>
    <row r="28" spans="1:19" s="339" customFormat="1">
      <c r="B28" s="482"/>
      <c r="C28" s="482"/>
      <c r="D28" s="482"/>
      <c r="E28" s="841"/>
      <c r="F28" s="841"/>
      <c r="G28" s="841"/>
      <c r="H28" s="841"/>
      <c r="I28" s="841"/>
      <c r="J28" s="841"/>
      <c r="K28" s="841"/>
      <c r="L28" s="467"/>
      <c r="M28" s="841"/>
      <c r="N28" s="841"/>
    </row>
    <row r="29" spans="1:19" s="339" customFormat="1">
      <c r="B29" s="482"/>
      <c r="C29" s="482"/>
      <c r="D29" s="482"/>
      <c r="E29" s="841"/>
      <c r="F29" s="853"/>
      <c r="G29" s="841"/>
      <c r="H29" s="853"/>
      <c r="I29" s="853"/>
      <c r="J29" s="853"/>
      <c r="K29" s="841"/>
      <c r="L29" s="467"/>
      <c r="M29" s="841"/>
      <c r="N29" s="841"/>
    </row>
    <row r="30" spans="1:19" s="339" customFormat="1">
      <c r="A30" s="114"/>
      <c r="B30" s="339" t="s">
        <v>915</v>
      </c>
      <c r="E30" s="136" t="s">
        <v>916</v>
      </c>
      <c r="F30" s="1223">
        <f>IF(Sector="ED2",(INDEX(Data!C29:N29,MATCH(RIIO_2_start_date-1,Data!C27:N27,0))/Data!$E$28),INDEX(Data!C20:N20,MATCH(RIIO_2_start_date-1,Data!C18:N18,0))/Data!$C$19)</f>
        <v>1.0533528227824487</v>
      </c>
      <c r="G30" s="841"/>
      <c r="H30" s="853"/>
      <c r="I30" s="853"/>
      <c r="J30" s="855"/>
      <c r="K30" s="856"/>
      <c r="L30" s="467"/>
      <c r="M30" s="1251"/>
      <c r="N30" s="1251"/>
    </row>
    <row r="31" spans="1:19" s="339" customFormat="1">
      <c r="B31" s="482"/>
      <c r="C31" s="482"/>
      <c r="D31" s="482"/>
      <c r="E31" s="841"/>
      <c r="F31" s="857"/>
      <c r="G31" s="857"/>
      <c r="H31" s="857"/>
      <c r="I31" s="857"/>
      <c r="J31" s="857"/>
      <c r="K31" s="841"/>
      <c r="L31" s="467"/>
    </row>
    <row r="32" spans="1:19" s="339" customFormat="1">
      <c r="B32" s="482" t="s">
        <v>912</v>
      </c>
      <c r="C32" s="482"/>
      <c r="D32" s="482"/>
      <c r="E32" s="29" t="s">
        <v>522</v>
      </c>
      <c r="F32" s="872">
        <f>IF(Sector="ED2",F24*Data!H36,F24*Combined_real_to_nominal_prices_conversion_factor__financial_year_end)</f>
        <v>2647.7537797821292</v>
      </c>
      <c r="G32" s="872">
        <f>IF(Sector="ED2",G24*Data!I36,G24*Combined_real_to_nominal_prices_conversion_factor__financial_year_end)</f>
        <v>2914.6697383779042</v>
      </c>
      <c r="H32" s="872">
        <f>IF(Sector="ED2",H24*Data!J36,H24*Combined_real_to_nominal_prices_conversion_factor__financial_year_end)</f>
        <v>3068.7771993592692</v>
      </c>
      <c r="I32" s="872">
        <f>IF(Sector="ED2",I24*Data!K36,I24*Combined_real_to_nominal_prices_conversion_factor__financial_year_end)</f>
        <v>3167.1312470733328</v>
      </c>
      <c r="J32" s="872">
        <f>IF(Sector="ED2",J24*Data!L36,J24*Combined_real_to_nominal_prices_conversion_factor__financial_year_end)</f>
        <v>3250.4251396185746</v>
      </c>
      <c r="K32" s="1269"/>
      <c r="Q32" s="1244"/>
      <c r="R32" s="1244"/>
      <c r="S32" s="1244"/>
    </row>
    <row r="33" spans="1:14" s="339" customFormat="1">
      <c r="B33" s="482"/>
      <c r="C33" s="482"/>
      <c r="D33" s="482"/>
      <c r="E33" s="841"/>
      <c r="F33" s="841"/>
      <c r="G33" s="841"/>
      <c r="H33" s="841"/>
      <c r="I33" s="841"/>
      <c r="J33" s="841"/>
      <c r="K33" s="841"/>
      <c r="L33" s="467"/>
      <c r="M33" s="841"/>
      <c r="N33" s="841"/>
    </row>
    <row r="34" spans="1:14" s="339" customFormat="1">
      <c r="B34" s="389" t="s">
        <v>917</v>
      </c>
      <c r="C34" s="389"/>
      <c r="D34" s="389"/>
      <c r="E34" s="841" t="s">
        <v>918</v>
      </c>
      <c r="F34" s="873">
        <f>INDEX(Data!$H$63:$P$91,MATCH('RFPR cover'!$C$7,Data!$B$63:$B$91,0),MATCH('R7 - RAV'!F$6,Data!$H$62:$P$62,0))</f>
        <v>2.0500000000000001E-2</v>
      </c>
      <c r="G34" s="873">
        <f>INDEX(Data!$H$63:$P$91,MATCH('RFPR cover'!$C$7,Data!$B$63:$B$91,0),MATCH('R7 - RAV'!G$6,Data!$H$62:$P$62,0))</f>
        <v>1.9E-2</v>
      </c>
      <c r="H34" s="873">
        <f>INDEX(Data!$H$63:$P$91,MATCH('RFPR cover'!$C$7,Data!$B$63:$B$91,0),MATCH('R7 - RAV'!H$6,Data!$H$62:$P$62,0))</f>
        <v>1.9199999999999998E-2</v>
      </c>
      <c r="I34" s="873">
        <f>INDEX(Data!$H$63:$P$91,MATCH('RFPR cover'!$C$7,Data!$B$63:$B$91,0),MATCH('R7 - RAV'!I$6,Data!$H$62:$P$62,0))</f>
        <v>2.1100000000000001E-2</v>
      </c>
      <c r="J34" s="873">
        <f>INDEX(Data!$H$63:$P$91,MATCH('RFPR cover'!$C$7,Data!$B$63:$B$91,0),MATCH('R7 - RAV'!J$6,Data!$H$62:$P$62,0))</f>
        <v>2.29E-2</v>
      </c>
      <c r="K34" s="841"/>
      <c r="L34" s="467"/>
      <c r="M34" s="841"/>
      <c r="N34" s="841"/>
    </row>
    <row r="35" spans="1:14" s="339" customFormat="1">
      <c r="B35" s="389" t="s">
        <v>919</v>
      </c>
      <c r="C35" s="389"/>
      <c r="D35" s="389"/>
      <c r="E35" s="841" t="s">
        <v>918</v>
      </c>
      <c r="F35" s="874">
        <f>INDEX(Data!$O$63:$U$91,MATCH('RFPR cover'!$C$7,Data!$B$63:$B$91,0),MATCH('R7 - RAV'!F$6,Data!$O$62:$U$62,0))</f>
        <v>4.5181881000000007E-2</v>
      </c>
      <c r="G35" s="874">
        <f>INDEX(Data!$O$63:$U$91,MATCH('RFPR cover'!$C$7,Data!$B$63:$B$91,0),MATCH('R7 - RAV'!G$6,Data!$O$62:$U$62,0))</f>
        <v>4.5568104999999998E-2</v>
      </c>
      <c r="H35" s="874">
        <f>INDEX(Data!$O$63:$U$91,MATCH('RFPR cover'!$C$7,Data!$B$63:$B$91,0),MATCH('R7 - RAV'!H$6,Data!$O$62:$U$62,0))</f>
        <v>5.2833943999999994E-2</v>
      </c>
      <c r="I35" s="874">
        <f>INDEX(Data!$O$63:$U$91,MATCH('RFPR cover'!$C$7,Data!$B$63:$B$91,0),MATCH('R7 - RAV'!I$6,Data!$O$62:$U$62,0))</f>
        <v>5.5875458000000003E-2</v>
      </c>
      <c r="J35" s="874">
        <f>INDEX(Data!$O$63:$U$91,MATCH('RFPR cover'!$C$7,Data!$B$63:$B$91,0),MATCH('R7 - RAV'!J$6,Data!$O$62:$U$62,0))</f>
        <v>5.5175426999999992E-2</v>
      </c>
      <c r="K35" s="841"/>
      <c r="L35" s="467"/>
      <c r="M35" s="841"/>
      <c r="N35" s="841"/>
    </row>
    <row r="36" spans="1:14">
      <c r="A36" s="339"/>
      <c r="B36" s="389" t="s">
        <v>920</v>
      </c>
      <c r="C36" s="389"/>
      <c r="D36" s="389"/>
      <c r="E36" s="841" t="s">
        <v>486</v>
      </c>
      <c r="F36" s="875">
        <f t="shared" ref="F36:J36" si="6">Notional_Gearing</f>
        <v>0.6</v>
      </c>
      <c r="G36" s="875">
        <f t="shared" si="6"/>
        <v>0.6</v>
      </c>
      <c r="H36" s="875">
        <f t="shared" si="6"/>
        <v>0.6</v>
      </c>
      <c r="I36" s="875">
        <f t="shared" si="6"/>
        <v>0.6</v>
      </c>
      <c r="J36" s="875">
        <f t="shared" si="6"/>
        <v>0.6</v>
      </c>
      <c r="K36" s="841"/>
      <c r="L36" s="467"/>
      <c r="M36" s="841"/>
      <c r="N36" s="841"/>
    </row>
    <row r="37" spans="1:14">
      <c r="B37" s="114" t="s">
        <v>921</v>
      </c>
      <c r="E37" s="841" t="s">
        <v>918</v>
      </c>
      <c r="F37" s="876">
        <f t="shared" ref="F37:J37" si="7">F34*F36+F35*(1-F36)</f>
        <v>3.0372752400000001E-2</v>
      </c>
      <c r="G37" s="877">
        <f t="shared" si="7"/>
        <v>2.9627241999999998E-2</v>
      </c>
      <c r="H37" s="877">
        <f t="shared" si="7"/>
        <v>3.2653577599999997E-2</v>
      </c>
      <c r="I37" s="877">
        <f t="shared" si="7"/>
        <v>3.5010183200000003E-2</v>
      </c>
      <c r="J37" s="877">
        <f t="shared" si="7"/>
        <v>3.5810170799999999E-2</v>
      </c>
      <c r="K37" s="841"/>
      <c r="L37" s="467"/>
      <c r="M37" s="841"/>
      <c r="N37" s="841"/>
    </row>
    <row r="38" spans="1:14" s="339" customFormat="1">
      <c r="A38" s="114"/>
      <c r="B38" s="114"/>
      <c r="C38" s="114"/>
      <c r="D38" s="114"/>
      <c r="E38" s="858"/>
      <c r="F38" s="859"/>
      <c r="G38" s="859"/>
      <c r="H38" s="859"/>
      <c r="I38" s="859"/>
      <c r="J38" s="859"/>
      <c r="K38" s="841"/>
      <c r="L38" s="467"/>
      <c r="M38" s="841"/>
      <c r="N38" s="841"/>
    </row>
    <row r="39" spans="1:14" s="339" customFormat="1">
      <c r="A39" s="114"/>
      <c r="B39" s="88" t="s">
        <v>922</v>
      </c>
      <c r="C39" s="88"/>
      <c r="D39" s="88"/>
      <c r="E39" s="841" t="str">
        <f>Data!$C$9</f>
        <v>£m 18/19</v>
      </c>
      <c r="F39" s="18">
        <f>F41*F36</f>
        <v>1384.7449650751346</v>
      </c>
      <c r="G39" s="19">
        <f t="shared" ref="G39:J39" si="8">G41*G36</f>
        <v>1397.7092852591111</v>
      </c>
      <c r="H39" s="19">
        <f t="shared" si="8"/>
        <v>1420.624684665868</v>
      </c>
      <c r="I39" s="19">
        <f t="shared" si="8"/>
        <v>1443.9484478165348</v>
      </c>
      <c r="J39" s="19">
        <f t="shared" si="8"/>
        <v>1462.4997173346067</v>
      </c>
      <c r="K39" s="841"/>
      <c r="L39" s="467"/>
      <c r="M39" s="841"/>
      <c r="N39" s="841"/>
    </row>
    <row r="40" spans="1:14" s="339" customFormat="1">
      <c r="A40" s="114"/>
      <c r="B40" s="88" t="s">
        <v>923</v>
      </c>
      <c r="C40" s="88"/>
      <c r="D40" s="88"/>
      <c r="E40" s="841" t="str">
        <f>Data!$C$9</f>
        <v>£m 18/19</v>
      </c>
      <c r="F40" s="73">
        <f>F41*(1-F36)</f>
        <v>923.16331005008988</v>
      </c>
      <c r="G40" s="74">
        <f t="shared" ref="G40:J40" si="9">G41*(1-G36)</f>
        <v>931.8061901727408</v>
      </c>
      <c r="H40" s="74">
        <f t="shared" si="9"/>
        <v>947.08312311057875</v>
      </c>
      <c r="I40" s="74">
        <f t="shared" si="9"/>
        <v>962.63229854435656</v>
      </c>
      <c r="J40" s="74">
        <f t="shared" si="9"/>
        <v>974.99981155640455</v>
      </c>
      <c r="K40" s="841"/>
      <c r="L40" s="467"/>
      <c r="M40" s="841"/>
      <c r="N40" s="841"/>
    </row>
    <row r="41" spans="1:14" s="339" customFormat="1">
      <c r="A41" s="114"/>
      <c r="B41" s="114" t="s">
        <v>924</v>
      </c>
      <c r="C41" s="114"/>
      <c r="D41" s="114"/>
      <c r="E41" s="841" t="str">
        <f>Data!$C$9</f>
        <v>£m 18/19</v>
      </c>
      <c r="F41" s="21">
        <f>AVERAGE(F17,F24*(1/(1+F37)))</f>
        <v>2307.9082751252245</v>
      </c>
      <c r="G41" s="21">
        <f t="shared" ref="G41:J41" si="10">AVERAGE(G17,G24*(1/(1+G37)))</f>
        <v>2329.5154754318519</v>
      </c>
      <c r="H41" s="21">
        <f t="shared" si="10"/>
        <v>2367.7078077764468</v>
      </c>
      <c r="I41" s="21">
        <f t="shared" si="10"/>
        <v>2406.5807463608912</v>
      </c>
      <c r="J41" s="21">
        <f t="shared" si="10"/>
        <v>2437.4995288910113</v>
      </c>
      <c r="K41" s="841"/>
      <c r="L41" s="467"/>
      <c r="M41" s="841"/>
      <c r="N41" s="841"/>
    </row>
    <row r="42" spans="1:14" s="339" customFormat="1">
      <c r="A42" s="114"/>
      <c r="B42" s="114"/>
      <c r="C42" s="114"/>
      <c r="D42" s="114"/>
      <c r="E42" s="841"/>
      <c r="F42" s="841"/>
      <c r="G42" s="841"/>
      <c r="H42" s="841"/>
      <c r="I42" s="841"/>
      <c r="J42" s="841"/>
      <c r="K42" s="841"/>
      <c r="L42" s="467"/>
      <c r="M42" s="841"/>
      <c r="N42" s="841"/>
    </row>
    <row r="43" spans="1:14" s="339" customFormat="1">
      <c r="A43" s="114"/>
      <c r="B43" s="88" t="s">
        <v>925</v>
      </c>
      <c r="C43" s="88"/>
      <c r="D43" s="88"/>
      <c r="E43" s="841" t="str">
        <f>Data!$C$9</f>
        <v>£m 18/19</v>
      </c>
      <c r="F43" s="154">
        <f>F34*F39</f>
        <v>28.387271784040259</v>
      </c>
      <c r="G43" s="155">
        <f t="shared" ref="G43:J44" si="11">G34*G39</f>
        <v>26.556476419923111</v>
      </c>
      <c r="H43" s="155">
        <f t="shared" si="11"/>
        <v>27.275993945584663</v>
      </c>
      <c r="I43" s="155">
        <f t="shared" si="11"/>
        <v>30.467312248928884</v>
      </c>
      <c r="J43" s="155">
        <f t="shared" si="11"/>
        <v>33.491243526962492</v>
      </c>
      <c r="K43" s="841"/>
      <c r="L43" s="467"/>
      <c r="M43" s="841"/>
      <c r="N43" s="841"/>
    </row>
    <row r="44" spans="1:14">
      <c r="B44" s="88" t="s">
        <v>926</v>
      </c>
      <c r="C44" s="88"/>
      <c r="D44" s="88"/>
      <c r="E44" s="841" t="str">
        <f>Data!$C$9</f>
        <v>£m 18/19</v>
      </c>
      <c r="F44" s="15">
        <f>F35*F40</f>
        <v>41.710254818249268</v>
      </c>
      <c r="G44" s="16">
        <f t="shared" si="11"/>
        <v>42.460642313441419</v>
      </c>
      <c r="H44" s="16">
        <f t="shared" si="11"/>
        <v>50.038136689769416</v>
      </c>
      <c r="I44" s="16">
        <f t="shared" si="11"/>
        <v>53.787520566758658</v>
      </c>
      <c r="J44" s="16">
        <f t="shared" si="11"/>
        <v>53.796030927544145</v>
      </c>
      <c r="K44" s="841"/>
      <c r="L44" s="467"/>
      <c r="M44" s="841"/>
      <c r="N44" s="841"/>
    </row>
    <row r="45" spans="1:14">
      <c r="B45" s="114" t="s">
        <v>927</v>
      </c>
      <c r="E45" s="841" t="str">
        <f>Data!$C$9</f>
        <v>£m 18/19</v>
      </c>
      <c r="F45" s="21">
        <f>SUM(F43:F44)</f>
        <v>70.09752660228952</v>
      </c>
      <c r="G45" s="22">
        <f t="shared" ref="G45:J45" si="12">SUM(G43:G44)</f>
        <v>69.017118733364526</v>
      </c>
      <c r="H45" s="22">
        <f t="shared" si="12"/>
        <v>77.314130635354076</v>
      </c>
      <c r="I45" s="22">
        <f t="shared" si="12"/>
        <v>84.254832815687536</v>
      </c>
      <c r="J45" s="22">
        <f t="shared" si="12"/>
        <v>87.287274454506644</v>
      </c>
      <c r="K45" s="841"/>
      <c r="L45" s="467"/>
      <c r="M45" s="841"/>
      <c r="N45" s="841"/>
    </row>
    <row r="46" spans="1:14">
      <c r="K46" s="841"/>
      <c r="L46" s="467"/>
      <c r="M46" s="841"/>
      <c r="N46" s="841"/>
    </row>
    <row r="47" spans="1:14">
      <c r="B47" s="88"/>
      <c r="C47" s="88"/>
      <c r="D47" s="88"/>
      <c r="E47" s="29"/>
      <c r="F47" s="573"/>
      <c r="G47" s="573"/>
      <c r="H47" s="573"/>
      <c r="I47" s="573"/>
      <c r="J47" s="573"/>
      <c r="K47" s="841"/>
      <c r="L47" s="467"/>
      <c r="M47" s="841"/>
      <c r="N47" s="841"/>
    </row>
    <row r="48" spans="1:14">
      <c r="B48" s="88"/>
      <c r="C48" s="88"/>
      <c r="D48" s="88"/>
      <c r="E48" s="29"/>
      <c r="F48" s="573"/>
      <c r="G48" s="573"/>
      <c r="H48" s="573"/>
      <c r="I48" s="573"/>
      <c r="J48" s="573"/>
      <c r="K48" s="841"/>
      <c r="L48" s="467"/>
      <c r="M48" s="841"/>
      <c r="N48" s="841"/>
    </row>
    <row r="49" spans="2:14">
      <c r="E49" s="29"/>
      <c r="F49" s="860"/>
      <c r="G49" s="860"/>
      <c r="H49" s="860"/>
      <c r="I49" s="860"/>
      <c r="J49" s="860"/>
      <c r="K49" s="841"/>
      <c r="L49" s="467"/>
      <c r="M49" s="841"/>
      <c r="N49" s="841"/>
    </row>
    <row r="50" spans="2:14">
      <c r="E50" s="841"/>
      <c r="F50" s="841"/>
      <c r="G50" s="841"/>
      <c r="H50" s="841"/>
      <c r="I50" s="841"/>
      <c r="J50" s="841"/>
      <c r="K50" s="841"/>
      <c r="L50" s="467"/>
      <c r="M50" s="841"/>
      <c r="N50" s="841"/>
    </row>
    <row r="54" spans="2:14">
      <c r="E54" s="114"/>
      <c r="M54" s="114"/>
    </row>
    <row r="55" spans="2:14">
      <c r="E55" s="114"/>
      <c r="M55" s="114"/>
    </row>
    <row r="56" spans="2:14">
      <c r="B56" s="88"/>
      <c r="C56" s="88"/>
      <c r="D56" s="88"/>
      <c r="E56" s="29"/>
      <c r="F56" s="573"/>
      <c r="G56" s="573"/>
      <c r="H56" s="573"/>
      <c r="I56" s="573"/>
      <c r="J56" s="573"/>
      <c r="K56" s="429"/>
    </row>
    <row r="57" spans="2:14">
      <c r="B57" s="88"/>
      <c r="C57" s="88"/>
      <c r="D57" s="88"/>
      <c r="E57" s="29"/>
      <c r="F57" s="860"/>
      <c r="G57" s="860"/>
      <c r="H57" s="860"/>
      <c r="I57" s="860"/>
      <c r="J57" s="860"/>
    </row>
    <row r="58" spans="2:14">
      <c r="E58" s="29"/>
      <c r="F58" s="573"/>
      <c r="G58" s="573"/>
      <c r="H58" s="573"/>
      <c r="I58" s="573"/>
      <c r="J58" s="573"/>
    </row>
    <row r="59" spans="2:14">
      <c r="B59" s="429"/>
      <c r="C59" s="429"/>
      <c r="D59" s="429"/>
      <c r="E59" s="40"/>
      <c r="F59" s="40"/>
      <c r="G59" s="40"/>
      <c r="H59" s="40"/>
      <c r="I59" s="40"/>
      <c r="J59" s="40"/>
    </row>
    <row r="60" spans="2:14">
      <c r="B60" s="429"/>
      <c r="C60" s="429"/>
      <c r="D60" s="429"/>
      <c r="E60" s="40"/>
      <c r="F60" s="40"/>
      <c r="G60" s="40"/>
      <c r="H60" s="40"/>
      <c r="I60" s="40"/>
      <c r="J60" s="40"/>
    </row>
    <row r="61" spans="2:14">
      <c r="B61" s="429"/>
      <c r="C61" s="429"/>
      <c r="D61" s="429"/>
      <c r="E61" s="40"/>
      <c r="F61" s="40"/>
      <c r="G61" s="40"/>
      <c r="H61" s="40"/>
      <c r="I61" s="40"/>
      <c r="J61" s="40"/>
    </row>
    <row r="64" spans="2:14">
      <c r="B64" s="429"/>
      <c r="C64" s="429"/>
      <c r="D64" s="429"/>
      <c r="E64" s="40"/>
      <c r="F64" s="40"/>
      <c r="G64" s="40"/>
      <c r="H64" s="40"/>
      <c r="I64" s="40"/>
      <c r="J64" s="40"/>
    </row>
  </sheetData>
  <sheetProtection insertRows="0" sort="0" autoFilter="0" pivotTables="0"/>
  <conditionalFormatting sqref="F5:J5 F6:I6">
    <cfRule type="expression" dxfId="49" priority="15">
      <formula>AND(F$5="Actuals",G$5="Forecast")</formula>
    </cfRule>
  </conditionalFormatting>
  <conditionalFormatting sqref="F7:J7">
    <cfRule type="expression" dxfId="48" priority="1">
      <formula>AND(F$5="Actuals",G$5="Forecast")</formula>
    </cfRule>
  </conditionalFormatting>
  <conditionalFormatting sqref="J6">
    <cfRule type="expression" dxfId="47"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8"/>
  <sheetViews>
    <sheetView zoomScaleNormal="100" workbookViewId="0">
      <selection activeCell="A5" sqref="A5"/>
    </sheetView>
  </sheetViews>
  <sheetFormatPr defaultColWidth="9" defaultRowHeight="13.5"/>
  <cols>
    <col min="1" max="1" width="8.3828125" style="114" customWidth="1"/>
    <col min="2" max="2" width="54.765625" style="114" customWidth="1"/>
    <col min="3" max="3" width="1.765625" style="114" customWidth="1"/>
    <col min="4" max="4" width="14.15234375" style="114" customWidth="1"/>
    <col min="5" max="9" width="11.15234375" style="114" customWidth="1"/>
    <col min="10" max="10" width="7.765625" style="114" customWidth="1"/>
    <col min="11" max="16384" width="9" style="114"/>
  </cols>
  <sheetData>
    <row r="1" spans="1:20" ht="20">
      <c r="A1" s="324" t="s">
        <v>269</v>
      </c>
      <c r="B1" s="326"/>
      <c r="C1" s="326"/>
      <c r="D1" s="327"/>
      <c r="E1" s="327"/>
      <c r="F1" s="327"/>
      <c r="G1" s="327"/>
      <c r="H1" s="327"/>
      <c r="I1" s="327"/>
      <c r="J1" s="456"/>
    </row>
    <row r="2" spans="1:20" ht="20">
      <c r="A2" s="329" t="str">
        <f>Licensee</f>
        <v>Cadent-London</v>
      </c>
      <c r="B2" s="332"/>
      <c r="C2" s="332"/>
      <c r="D2" s="332"/>
      <c r="E2" s="332"/>
      <c r="F2" s="332"/>
      <c r="G2" s="332"/>
      <c r="H2" s="332"/>
      <c r="I2" s="332"/>
      <c r="J2" s="334"/>
    </row>
    <row r="3" spans="1:20" ht="20">
      <c r="A3" s="331">
        <f>Reporting_Year</f>
        <v>2024</v>
      </c>
      <c r="B3" s="335"/>
      <c r="C3" s="335"/>
      <c r="D3" s="335"/>
      <c r="E3" s="878"/>
      <c r="F3" s="878"/>
      <c r="G3" s="878"/>
      <c r="H3" s="878"/>
      <c r="I3" s="878"/>
      <c r="J3" s="337"/>
    </row>
    <row r="4" spans="1:20" ht="12.75" customHeight="1">
      <c r="A4" s="879"/>
      <c r="B4" s="880"/>
      <c r="C4" s="880"/>
      <c r="D4" s="879"/>
      <c r="E4" s="879"/>
      <c r="F4" s="879"/>
      <c r="G4" s="879"/>
      <c r="H4" s="879"/>
      <c r="I4" s="879"/>
      <c r="J4" s="879"/>
      <c r="K4" s="880"/>
    </row>
    <row r="5" spans="1:20" s="339" customFormat="1">
      <c r="B5" s="480"/>
      <c r="C5" s="480"/>
      <c r="D5" s="480"/>
      <c r="E5" s="338" t="str">
        <f>IF(E6+1&lt;=Reporting_Year,"Actuals","Forecast")</f>
        <v>Actuals</v>
      </c>
      <c r="F5" s="338" t="str">
        <f>IF(F6+1&lt;=Reporting_Year,"Actuals","Forecast")</f>
        <v>Actuals</v>
      </c>
      <c r="G5" s="338" t="str">
        <f>IF(G6+1&lt;=Reporting_Year,"Actuals","Forecast")</f>
        <v>Forecast</v>
      </c>
      <c r="H5" s="338" t="str">
        <f>IF(H6+1&lt;=Reporting_Year,"Actuals","Forecast")</f>
        <v>Forecast</v>
      </c>
      <c r="I5" s="338" t="str">
        <f>IF(I6+1&lt;=Reporting_Year,"Actuals","Forecast")</f>
        <v>Forecast</v>
      </c>
    </row>
    <row r="6" spans="1:20" s="339" customFormat="1">
      <c r="E6" s="457">
        <f>'RFPR cover'!$C$6</f>
        <v>2022</v>
      </c>
      <c r="F6" s="458">
        <f>E6+1</f>
        <v>2023</v>
      </c>
      <c r="G6" s="458">
        <f t="shared" ref="G6:I6" si="0">F6+1</f>
        <v>2024</v>
      </c>
      <c r="H6" s="458">
        <f t="shared" si="0"/>
        <v>2025</v>
      </c>
      <c r="I6" s="458">
        <f t="shared" si="0"/>
        <v>2026</v>
      </c>
    </row>
    <row r="7" spans="1:20" s="339" customFormat="1">
      <c r="E7" s="457" t="str">
        <f>RIIO_2_start_date-1&amp;"/"&amp;RIGHT(RIIO_2_start_date,2)</f>
        <v>2021/22</v>
      </c>
      <c r="F7" s="457" t="str">
        <f>RIIO_2_start_date&amp;"/"&amp;RIGHT(RIIO_2_start_date+1,2)</f>
        <v>2022/23</v>
      </c>
      <c r="G7" s="457" t="str">
        <f>RIIO_2_start_date+1&amp;"/"&amp;RIGHT(RIIO_2_start_date+2,2)</f>
        <v>2023/24</v>
      </c>
      <c r="H7" s="457" t="str">
        <f>RIIO_2_start_date+2&amp;"/"&amp;RIGHT(RIIO_2_start_date+3,2)</f>
        <v>2024/25</v>
      </c>
      <c r="I7" s="562" t="str">
        <f>RIIO_2_start_date+3&amp;"/"&amp;RIGHT(RIIO_2_start_date+4,2)</f>
        <v>2025/26</v>
      </c>
    </row>
    <row r="8" spans="1:20" s="339" customFormat="1">
      <c r="B8" s="881" t="s">
        <v>928</v>
      </c>
      <c r="C8" s="581"/>
      <c r="D8" s="582"/>
      <c r="E8" s="582"/>
      <c r="F8" s="582"/>
      <c r="G8" s="582"/>
      <c r="H8" s="582"/>
      <c r="I8" s="582"/>
    </row>
    <row r="9" spans="1:20" s="339" customFormat="1" ht="34.5" customHeight="1">
      <c r="B9" s="1389" t="s">
        <v>929</v>
      </c>
      <c r="C9" s="1389"/>
      <c r="D9" s="1389"/>
      <c r="E9" s="1389"/>
      <c r="F9" s="1389"/>
      <c r="G9" s="1389"/>
      <c r="H9" s="1389"/>
      <c r="I9" s="1389"/>
    </row>
    <row r="10" spans="1:20" s="339" customFormat="1">
      <c r="B10" s="840"/>
      <c r="C10" s="840"/>
    </row>
    <row r="11" spans="1:20" s="339" customFormat="1" ht="34.5" customHeight="1">
      <c r="B11" s="882" t="s">
        <v>930</v>
      </c>
      <c r="C11" s="429"/>
      <c r="D11" s="29" t="s">
        <v>522</v>
      </c>
      <c r="E11" s="883">
        <v>84.211230000000043</v>
      </c>
      <c r="F11" s="883">
        <v>97.513247319300049</v>
      </c>
      <c r="G11" s="883"/>
      <c r="H11" s="883"/>
      <c r="I11" s="883"/>
      <c r="J11" s="114" t="s">
        <v>931</v>
      </c>
    </row>
    <row r="12" spans="1:20" s="339" customFormat="1">
      <c r="B12" s="429"/>
      <c r="C12" s="429"/>
      <c r="D12" s="429"/>
      <c r="E12" s="429"/>
      <c r="F12" s="429"/>
      <c r="G12" s="429"/>
      <c r="H12" s="429"/>
      <c r="I12" s="429"/>
      <c r="J12" s="429"/>
      <c r="K12" s="429"/>
      <c r="L12" s="429"/>
      <c r="M12" s="429"/>
      <c r="N12" s="429"/>
      <c r="O12" s="429"/>
      <c r="P12" s="429"/>
      <c r="Q12" s="429"/>
      <c r="R12" s="429"/>
      <c r="S12" s="429"/>
      <c r="T12" s="429"/>
    </row>
    <row r="13" spans="1:20" s="339" customFormat="1">
      <c r="B13" s="429"/>
      <c r="C13" s="429"/>
      <c r="D13" s="429"/>
      <c r="E13" s="429"/>
      <c r="F13" s="429"/>
      <c r="G13" s="429"/>
      <c r="H13" s="429"/>
      <c r="I13" s="429"/>
      <c r="J13" s="429"/>
      <c r="K13" s="429"/>
      <c r="L13" s="429"/>
      <c r="M13" s="429"/>
      <c r="N13" s="429"/>
      <c r="O13" s="429"/>
      <c r="P13" s="429"/>
      <c r="Q13" s="429"/>
      <c r="R13" s="429"/>
      <c r="S13" s="429"/>
      <c r="T13" s="429"/>
    </row>
    <row r="14" spans="1:20" s="339" customFormat="1">
      <c r="B14" s="884"/>
      <c r="C14" s="429"/>
      <c r="D14" s="29"/>
      <c r="E14" s="885"/>
      <c r="F14" s="885"/>
      <c r="G14" s="885"/>
      <c r="H14" s="885"/>
      <c r="I14" s="885"/>
      <c r="J14" s="114"/>
    </row>
    <row r="15" spans="1:20">
      <c r="B15" s="429" t="s">
        <v>932</v>
      </c>
      <c r="C15" s="429"/>
      <c r="D15" s="29"/>
      <c r="E15" s="29"/>
      <c r="F15" s="29"/>
      <c r="G15" s="29"/>
      <c r="H15" s="29"/>
      <c r="I15" s="29"/>
      <c r="M15" s="339"/>
      <c r="N15" s="339"/>
    </row>
    <row r="16" spans="1:20">
      <c r="B16" s="566" t="s">
        <v>933</v>
      </c>
      <c r="C16" s="566"/>
      <c r="D16" s="29" t="s">
        <v>522</v>
      </c>
      <c r="E16" s="883">
        <v>0</v>
      </c>
      <c r="F16" s="883">
        <v>0</v>
      </c>
      <c r="G16" s="883"/>
      <c r="H16" s="883"/>
      <c r="I16" s="883"/>
      <c r="M16" s="339"/>
      <c r="N16" s="339"/>
    </row>
    <row r="17" spans="2:38">
      <c r="B17" s="566" t="s">
        <v>934</v>
      </c>
      <c r="C17" s="566"/>
      <c r="D17" s="29" t="s">
        <v>522</v>
      </c>
      <c r="E17" s="883">
        <v>0.40749165860000003</v>
      </c>
      <c r="F17" s="883">
        <v>0.33959272660000001</v>
      </c>
      <c r="G17" s="883"/>
      <c r="H17" s="883"/>
      <c r="I17" s="883"/>
      <c r="M17" s="339"/>
      <c r="N17" s="339"/>
    </row>
    <row r="18" spans="2:38">
      <c r="B18" s="566" t="s">
        <v>935</v>
      </c>
      <c r="C18" s="566"/>
      <c r="D18" s="29" t="s">
        <v>522</v>
      </c>
      <c r="E18" s="883">
        <v>1.1500284299000001</v>
      </c>
      <c r="F18" s="883">
        <v>0.37121935709999998</v>
      </c>
      <c r="G18" s="883"/>
      <c r="H18" s="883"/>
      <c r="I18" s="883"/>
      <c r="M18" s="339"/>
      <c r="N18" s="339"/>
    </row>
    <row r="19" spans="2:38">
      <c r="B19" s="566" t="s">
        <v>936</v>
      </c>
      <c r="C19" s="566"/>
      <c r="D19" s="29" t="s">
        <v>522</v>
      </c>
      <c r="E19" s="883">
        <v>-2.2536064464000001</v>
      </c>
      <c r="F19" s="883">
        <v>-4.9504359310524677</v>
      </c>
      <c r="G19" s="883"/>
      <c r="H19" s="883"/>
      <c r="I19" s="883"/>
      <c r="M19" s="339"/>
      <c r="N19" s="339"/>
    </row>
    <row r="20" spans="2:38">
      <c r="B20" s="886" t="s">
        <v>937</v>
      </c>
      <c r="C20" s="886"/>
      <c r="D20" s="29" t="s">
        <v>522</v>
      </c>
      <c r="E20" s="554">
        <f>SUM(E16:E19)</f>
        <v>-0.69608635790000006</v>
      </c>
      <c r="F20" s="512">
        <f t="shared" ref="F20:I20" si="1">SUM(F16:F19)</f>
        <v>-4.2396238473524672</v>
      </c>
      <c r="G20" s="512">
        <f t="shared" si="1"/>
        <v>0</v>
      </c>
      <c r="H20" s="512">
        <f t="shared" si="1"/>
        <v>0</v>
      </c>
      <c r="I20" s="512">
        <f t="shared" si="1"/>
        <v>0</v>
      </c>
      <c r="M20" s="339"/>
      <c r="N20" s="339"/>
    </row>
    <row r="21" spans="2:38">
      <c r="B21" s="566"/>
      <c r="C21" s="566"/>
      <c r="D21" s="566"/>
      <c r="E21" s="887"/>
      <c r="F21" s="887"/>
      <c r="G21" s="887"/>
      <c r="H21" s="887"/>
      <c r="I21" s="887"/>
    </row>
    <row r="22" spans="2:38">
      <c r="B22" s="429" t="s">
        <v>938</v>
      </c>
      <c r="C22" s="429"/>
      <c r="D22" s="29"/>
      <c r="E22" s="29"/>
      <c r="F22" s="248"/>
      <c r="G22" s="248"/>
      <c r="H22" s="248"/>
      <c r="I22" s="248"/>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6"/>
      <c r="AL22" s="566"/>
    </row>
    <row r="23" spans="2:38">
      <c r="B23" s="566" t="s">
        <v>939</v>
      </c>
      <c r="C23" s="888"/>
      <c r="D23" s="29" t="s">
        <v>522</v>
      </c>
      <c r="E23" s="893">
        <f>IF(E5="Actuals",('R4 - Incentives and Other Rev'!D71+'R4 - Incentives and Other Rev'!D45+'R4 - Incentives and Other Rev'!D52+'R4 - Incentives and Other Rev'!D59)/(1-INDEX(Corporate_Tax,MATCH(E$6,Data!$C$18:$N$18,0)))*INDEX(Corporate_Tax,MATCH(E$6,Data!$C$18:$N$18,0)),0)*E46</f>
        <v>4.1896608662856299E-2</v>
      </c>
      <c r="F23" s="893">
        <f>IF(F5="Actuals",('R4 - Incentives and Other Rev'!E71+'R4 - Incentives and Other Rev'!E45+'R4 - Incentives and Other Rev'!E52+'R4 - Incentives and Other Rev'!E59)/(1-INDEX(Corporate_Tax,MATCH(F$6,Data!$C$18:$N$18,0)))*INDEX(Corporate_Tax,MATCH(F$6,Data!$C$18:$N$18,0)),0)*F46</f>
        <v>2.7678163560022603E-2</v>
      </c>
      <c r="G23" s="893">
        <f>IF(G5="Actuals",('R4 - Incentives and Other Rev'!F71+'R4 - Incentives and Other Rev'!F45+'R4 - Incentives and Other Rev'!F52+'R4 - Incentives and Other Rev'!F59)/(1-INDEX(Corporate_Tax,MATCH(G$6,Data!$C$18:$N$18,0)))*INDEX(Corporate_Tax,MATCH(G$6,Data!$C$18:$N$18,0)),0)*G46</f>
        <v>0</v>
      </c>
      <c r="H23" s="893">
        <f>IF(H5="Actuals",('R4 - Incentives and Other Rev'!G71+'R4 - Incentives and Other Rev'!G45+'R4 - Incentives and Other Rev'!G52+'R4 - Incentives and Other Rev'!G59)/(1-INDEX(Corporate_Tax,MATCH(H$6,Data!$C$18:$N$18,0)))*INDEX(Corporate_Tax,MATCH(H$6,Data!$C$18:$N$18,0)),0)*H46</f>
        <v>0</v>
      </c>
      <c r="I23" s="893">
        <f>IF(I5="Actuals",('R4 - Incentives and Other Rev'!H71+'R4 - Incentives and Other Rev'!H45+'R4 - Incentives and Other Rev'!H52+'R4 - Incentives and Other Rev'!H59)/(1-INDEX(Corporate_Tax,MATCH(I$6,Data!$C$18:$N$18,0)))*INDEX(Corporate_Tax,MATCH(I$6,Data!$C$18:$N$18,0)),0)*I46</f>
        <v>0</v>
      </c>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6"/>
      <c r="AL23" s="566"/>
    </row>
    <row r="24" spans="2:38">
      <c r="B24" s="566" t="s">
        <v>940</v>
      </c>
      <c r="C24" s="566"/>
      <c r="D24" s="29" t="s">
        <v>522</v>
      </c>
      <c r="E24" s="883">
        <v>-13.98835869188748</v>
      </c>
      <c r="F24" s="883">
        <v>30.260487809713009</v>
      </c>
      <c r="G24" s="883"/>
      <c r="H24" s="883"/>
      <c r="I24" s="883"/>
      <c r="K24" s="566"/>
      <c r="L24" s="566"/>
      <c r="M24" s="566"/>
      <c r="N24" s="566"/>
      <c r="O24" s="566"/>
      <c r="P24" s="566"/>
      <c r="Q24" s="566"/>
      <c r="R24" s="566"/>
      <c r="S24" s="566"/>
      <c r="T24" s="566"/>
      <c r="U24" s="566"/>
      <c r="V24" s="566"/>
      <c r="W24" s="566"/>
      <c r="X24" s="566"/>
      <c r="Y24" s="566"/>
      <c r="Z24" s="566"/>
      <c r="AA24" s="566"/>
      <c r="AB24" s="566"/>
      <c r="AC24" s="566"/>
      <c r="AD24" s="566"/>
      <c r="AE24" s="566"/>
      <c r="AF24" s="566"/>
      <c r="AG24" s="566"/>
      <c r="AH24" s="566"/>
      <c r="AI24" s="566"/>
      <c r="AJ24" s="566"/>
      <c r="AK24" s="566"/>
      <c r="AL24" s="566"/>
    </row>
    <row r="25" spans="2:38">
      <c r="B25" s="566" t="s">
        <v>941</v>
      </c>
      <c r="C25" s="566"/>
      <c r="D25" s="29" t="s">
        <v>522</v>
      </c>
      <c r="E25" s="883">
        <v>-0.30282613561214577</v>
      </c>
      <c r="F25" s="883">
        <v>-4.4298408455550637</v>
      </c>
      <c r="G25" s="883"/>
      <c r="H25" s="883"/>
      <c r="I25" s="883"/>
    </row>
    <row r="26" spans="2:38">
      <c r="B26" s="566" t="s">
        <v>942</v>
      </c>
      <c r="C26" s="566"/>
      <c r="D26" s="29" t="s">
        <v>522</v>
      </c>
      <c r="E26" s="883">
        <v>0</v>
      </c>
      <c r="F26" s="883">
        <v>0</v>
      </c>
      <c r="G26" s="883"/>
      <c r="H26" s="883"/>
      <c r="I26" s="883"/>
    </row>
    <row r="27" spans="2:38">
      <c r="B27" s="566" t="s">
        <v>943</v>
      </c>
      <c r="C27" s="566"/>
      <c r="D27" s="29" t="s">
        <v>522</v>
      </c>
      <c r="E27" s="883">
        <v>0</v>
      </c>
      <c r="F27" s="883">
        <v>0</v>
      </c>
      <c r="G27" s="883"/>
      <c r="H27" s="883"/>
      <c r="I27" s="883"/>
    </row>
    <row r="28" spans="2:38">
      <c r="B28" s="566" t="s">
        <v>944</v>
      </c>
      <c r="C28" s="566"/>
      <c r="D28" s="29" t="s">
        <v>522</v>
      </c>
      <c r="E28" s="883">
        <v>66.377968019003944</v>
      </c>
      <c r="F28" s="883">
        <v>45.607411954345309</v>
      </c>
      <c r="G28" s="883"/>
      <c r="H28" s="883"/>
      <c r="I28" s="883"/>
    </row>
    <row r="29" spans="2:38">
      <c r="B29" s="566" t="s">
        <v>1157</v>
      </c>
      <c r="C29" s="566"/>
      <c r="D29" s="29" t="s">
        <v>522</v>
      </c>
      <c r="E29" s="883"/>
      <c r="F29" s="883">
        <v>-3.4936121255119881</v>
      </c>
      <c r="G29" s="883"/>
      <c r="H29" s="883"/>
      <c r="I29" s="883"/>
    </row>
    <row r="30" spans="2:38">
      <c r="B30" s="566" t="s">
        <v>945</v>
      </c>
      <c r="C30" s="566"/>
      <c r="D30" s="29" t="s">
        <v>522</v>
      </c>
      <c r="E30" s="883">
        <v>1.2943924173000019</v>
      </c>
      <c r="F30" s="883">
        <v>1.1986431788999998</v>
      </c>
      <c r="G30" s="883"/>
      <c r="H30" s="883"/>
      <c r="I30" s="883"/>
    </row>
    <row r="31" spans="2:38">
      <c r="B31" s="566" t="s">
        <v>946</v>
      </c>
      <c r="C31" s="566"/>
      <c r="D31" s="29" t="s">
        <v>522</v>
      </c>
      <c r="E31" s="883">
        <v>7.1761050303860507</v>
      </c>
      <c r="F31" s="883">
        <v>15.991183326479037</v>
      </c>
      <c r="G31" s="883"/>
      <c r="H31" s="883"/>
      <c r="I31" s="883"/>
    </row>
    <row r="32" spans="2:38">
      <c r="B32" s="566" t="s">
        <v>947</v>
      </c>
      <c r="C32" s="566"/>
      <c r="D32" s="29" t="s">
        <v>522</v>
      </c>
      <c r="E32" s="883">
        <v>1.2161363002427377</v>
      </c>
      <c r="F32" s="883">
        <v>0.27816376580000002</v>
      </c>
      <c r="G32" s="883"/>
      <c r="H32" s="883"/>
      <c r="I32" s="883"/>
    </row>
    <row r="33" spans="2:9">
      <c r="B33" s="566" t="s">
        <v>948</v>
      </c>
      <c r="C33" s="566"/>
      <c r="D33" s="29"/>
      <c r="E33" s="883">
        <v>1.2256006234275671</v>
      </c>
      <c r="F33" s="883">
        <v>0.61801856700000002</v>
      </c>
      <c r="G33" s="883"/>
      <c r="H33" s="883"/>
      <c r="I33" s="883"/>
    </row>
    <row r="34" spans="2:9" hidden="1">
      <c r="B34" s="566" t="s">
        <v>1160</v>
      </c>
      <c r="C34" s="566"/>
      <c r="D34" s="29"/>
      <c r="E34" s="883"/>
      <c r="F34" s="883"/>
      <c r="G34" s="883"/>
      <c r="H34" s="883"/>
      <c r="I34" s="883"/>
    </row>
    <row r="35" spans="2:9" hidden="1">
      <c r="B35" s="566" t="s">
        <v>1161</v>
      </c>
      <c r="C35" s="566"/>
      <c r="D35" s="29"/>
      <c r="E35" s="883"/>
      <c r="F35" s="883"/>
      <c r="G35" s="883"/>
      <c r="H35" s="883"/>
      <c r="I35" s="883"/>
    </row>
    <row r="36" spans="2:9" hidden="1">
      <c r="B36" s="566" t="s">
        <v>945</v>
      </c>
      <c r="C36" s="566"/>
      <c r="D36" s="29"/>
      <c r="E36" s="883"/>
      <c r="F36" s="883"/>
      <c r="G36" s="883"/>
      <c r="H36" s="883"/>
      <c r="I36" s="883"/>
    </row>
    <row r="37" spans="2:9" hidden="1">
      <c r="B37" s="566" t="s">
        <v>946</v>
      </c>
      <c r="C37" s="566"/>
      <c r="D37" s="29"/>
      <c r="E37" s="883"/>
      <c r="F37" s="883"/>
      <c r="G37" s="883"/>
      <c r="H37" s="883"/>
      <c r="I37" s="883"/>
    </row>
    <row r="38" spans="2:9" hidden="1">
      <c r="B38" s="566" t="s">
        <v>947</v>
      </c>
      <c r="C38" s="566"/>
      <c r="D38" s="29"/>
      <c r="E38" s="883"/>
      <c r="F38" s="883"/>
      <c r="G38" s="883"/>
      <c r="H38" s="883"/>
      <c r="I38" s="883"/>
    </row>
    <row r="39" spans="2:9" hidden="1">
      <c r="B39" s="566" t="s">
        <v>948</v>
      </c>
      <c r="C39" s="566"/>
      <c r="D39" s="29"/>
      <c r="E39" s="883"/>
      <c r="F39" s="883"/>
      <c r="G39" s="883"/>
      <c r="H39" s="883"/>
      <c r="I39" s="883"/>
    </row>
    <row r="40" spans="2:9" hidden="1">
      <c r="B40" s="566" t="s">
        <v>1162</v>
      </c>
      <c r="C40" s="566"/>
      <c r="D40" s="29"/>
      <c r="E40" s="883"/>
      <c r="F40" s="883"/>
      <c r="G40" s="883"/>
      <c r="H40" s="883"/>
      <c r="I40" s="883"/>
    </row>
    <row r="41" spans="2:9">
      <c r="B41" s="429" t="s">
        <v>554</v>
      </c>
      <c r="C41" s="429"/>
      <c r="D41" s="29" t="s">
        <v>522</v>
      </c>
      <c r="E41" s="893">
        <f>SUM(E23:E40)</f>
        <v>63.040914171523539</v>
      </c>
      <c r="F41" s="894">
        <f>SUM(F23:F40)</f>
        <v>86.05813379473031</v>
      </c>
      <c r="G41" s="894">
        <f>SUM(G23:G40)</f>
        <v>0</v>
      </c>
      <c r="H41" s="894">
        <f>SUM(H23:H40)</f>
        <v>0</v>
      </c>
      <c r="I41" s="894">
        <f>SUM(I23:I40)</f>
        <v>0</v>
      </c>
    </row>
    <row r="43" spans="2:9" ht="25.5" customHeight="1">
      <c r="B43" s="781" t="s">
        <v>949</v>
      </c>
      <c r="D43" s="29" t="s">
        <v>522</v>
      </c>
      <c r="E43" s="883">
        <v>0</v>
      </c>
      <c r="F43" s="883">
        <v>0</v>
      </c>
      <c r="G43" s="883">
        <v>39.633502570786078</v>
      </c>
      <c r="H43" s="883">
        <v>28.046442191011028</v>
      </c>
      <c r="I43" s="883">
        <v>42.897259036812592</v>
      </c>
    </row>
    <row r="44" spans="2:9" ht="12.75" customHeight="1">
      <c r="B44" s="781" t="s">
        <v>950</v>
      </c>
      <c r="C44" s="781"/>
      <c r="D44" s="29" t="s">
        <v>522</v>
      </c>
      <c r="E44" s="893">
        <f>IF(ISNUMBER(E11),E11-E20-E41,E43-E20-E41)</f>
        <v>21.866402186376504</v>
      </c>
      <c r="F44" s="893">
        <f>IF(ISNUMBER(F11),F11-F20-F41,F43-F20-F41)</f>
        <v>15.694737371922201</v>
      </c>
      <c r="G44" s="893">
        <f>IF(ISNUMBER(G11),G11-G20-G41,G43-G20-G41)</f>
        <v>39.633502570786078</v>
      </c>
      <c r="H44" s="893">
        <f>IF(ISNUMBER(H11),H11-H20-H41,H43-H20-H41)</f>
        <v>28.046442191011028</v>
      </c>
      <c r="I44" s="893">
        <f>IF(ISNUMBER(I11),I11-I20-I41,I43-I20-I41)</f>
        <v>42.897259036812592</v>
      </c>
    </row>
    <row r="45" spans="2:9" ht="12.75" customHeight="1">
      <c r="B45" s="567"/>
      <c r="C45" s="567"/>
      <c r="D45" s="29"/>
      <c r="E45" s="885"/>
      <c r="F45" s="885"/>
      <c r="G45" s="885"/>
      <c r="H45" s="885"/>
      <c r="I45" s="885"/>
    </row>
    <row r="46" spans="2:9">
      <c r="B46" s="114" t="s">
        <v>708</v>
      </c>
      <c r="D46" s="136" t="s">
        <v>709</v>
      </c>
      <c r="E46" s="895">
        <f t="shared" ref="E46:I46" si="2">INDEX(real_to_nominal_CF,MATCH(E$6,calendar_year,0))</f>
        <v>1.0847835302284383</v>
      </c>
      <c r="F46" s="895">
        <f t="shared" si="2"/>
        <v>1.1799638149272795</v>
      </c>
      <c r="G46" s="895">
        <f t="shared" si="2"/>
        <v>1.2454152449594804</v>
      </c>
      <c r="H46" s="895">
        <f t="shared" si="2"/>
        <v>1.2741504065955518</v>
      </c>
      <c r="I46" s="895">
        <f t="shared" si="2"/>
        <v>1.2937411435491952</v>
      </c>
    </row>
    <row r="47" spans="2:9">
      <c r="B47" s="567"/>
      <c r="C47" s="567"/>
      <c r="D47" s="29"/>
      <c r="E47" s="29"/>
      <c r="F47" s="29"/>
      <c r="G47" s="29"/>
      <c r="H47" s="29"/>
      <c r="I47" s="29"/>
    </row>
    <row r="48" spans="2:9">
      <c r="B48" s="781" t="s">
        <v>951</v>
      </c>
      <c r="C48" s="781"/>
      <c r="D48" s="841" t="str">
        <f>Data!$C$9</f>
        <v>£m 18/19</v>
      </c>
      <c r="E48" s="893">
        <f>Adjusted_regulated_tax_liability/E46</f>
        <v>20.157387697222674</v>
      </c>
      <c r="F48" s="893">
        <f>Adjusted_regulated_tax_liability/F46</f>
        <v>13.301032771830769</v>
      </c>
      <c r="G48" s="893">
        <f>Adjusted_regulated_tax_liability/G46</f>
        <v>31.823524508145518</v>
      </c>
      <c r="H48" s="893">
        <f>Adjusted_regulated_tax_liability/H46</f>
        <v>22.011877126774479</v>
      </c>
      <c r="I48" s="893">
        <f>Adjusted_regulated_tax_liability/I46</f>
        <v>33.157528653011724</v>
      </c>
    </row>
    <row r="49" spans="2:11">
      <c r="B49" s="781"/>
      <c r="C49" s="781"/>
      <c r="D49" s="781"/>
      <c r="E49" s="781"/>
      <c r="F49" s="781"/>
      <c r="G49" s="781"/>
      <c r="H49" s="781"/>
      <c r="I49" s="781"/>
    </row>
    <row r="50" spans="2:11">
      <c r="B50" s="580" t="s">
        <v>952</v>
      </c>
      <c r="C50" s="580"/>
      <c r="D50" s="841"/>
      <c r="E50" s="841"/>
      <c r="F50" s="841"/>
      <c r="G50" s="841"/>
      <c r="H50" s="841"/>
      <c r="I50" s="841"/>
    </row>
    <row r="51" spans="2:11">
      <c r="B51" s="581" t="s">
        <v>714</v>
      </c>
      <c r="C51" s="581"/>
      <c r="D51" s="781"/>
      <c r="E51" s="781"/>
      <c r="F51" s="781"/>
      <c r="G51" s="781"/>
      <c r="H51" s="781"/>
      <c r="I51" s="781"/>
      <c r="K51" s="781"/>
    </row>
    <row r="52" spans="2:11">
      <c r="K52" s="781"/>
    </row>
    <row r="53" spans="2:11" ht="12.75" customHeight="1">
      <c r="B53" s="88" t="s">
        <v>24</v>
      </c>
      <c r="C53" s="88"/>
      <c r="D53" s="468" t="s">
        <v>486</v>
      </c>
      <c r="E53" s="104">
        <f>Data!$C$8</f>
        <v>0.6</v>
      </c>
      <c r="F53" s="105">
        <f>Data!$C$8</f>
        <v>0.6</v>
      </c>
      <c r="G53" s="105">
        <f>Data!$C$8</f>
        <v>0.6</v>
      </c>
      <c r="H53" s="105">
        <f>Data!$C$8</f>
        <v>0.6</v>
      </c>
      <c r="I53" s="105">
        <f>Data!$C$8</f>
        <v>0.6</v>
      </c>
      <c r="K53" s="781"/>
    </row>
    <row r="54" spans="2:11" ht="12.75" customHeight="1">
      <c r="B54" s="88" t="s">
        <v>715</v>
      </c>
      <c r="C54" s="88"/>
      <c r="D54" s="468" t="s">
        <v>486</v>
      </c>
      <c r="E54" s="105">
        <f>'R6 - Net Debt'!D68</f>
        <v>0.61726616052805849</v>
      </c>
      <c r="F54" s="105">
        <f>'R6 - Net Debt'!E68</f>
        <v>0.59579826292463067</v>
      </c>
      <c r="G54" s="105">
        <f>'R6 - Net Debt'!F68</f>
        <v>0.58827883880251453</v>
      </c>
      <c r="H54" s="105">
        <f>'R6 - Net Debt'!G68</f>
        <v>0.60174474859437577</v>
      </c>
      <c r="I54" s="105">
        <f>'R6 - Net Debt'!H68</f>
        <v>0.61600180018362083</v>
      </c>
      <c r="K54" s="781"/>
    </row>
    <row r="55" spans="2:11" ht="12.75" customHeight="1">
      <c r="B55" s="88"/>
      <c r="C55" s="88"/>
      <c r="D55" s="468"/>
      <c r="E55" s="468"/>
      <c r="F55" s="468"/>
      <c r="G55" s="468"/>
      <c r="H55" s="468"/>
      <c r="I55" s="468"/>
      <c r="K55" s="781"/>
    </row>
    <row r="56" spans="2:11" ht="12.75" customHeight="1">
      <c r="B56" s="781" t="s">
        <v>951</v>
      </c>
      <c r="C56" s="781"/>
      <c r="D56" s="29" t="s">
        <v>522</v>
      </c>
      <c r="E56" s="893">
        <f>E44</f>
        <v>21.866402186376504</v>
      </c>
      <c r="F56" s="893">
        <f>F44</f>
        <v>15.694737371922201</v>
      </c>
      <c r="G56" s="893">
        <f>G44</f>
        <v>39.633502570786078</v>
      </c>
      <c r="H56" s="893">
        <f>H44</f>
        <v>28.046442191011028</v>
      </c>
      <c r="I56" s="893">
        <f>I44</f>
        <v>42.897259036812592</v>
      </c>
      <c r="K56" s="781"/>
    </row>
    <row r="57" spans="2:11">
      <c r="B57" s="88" t="s">
        <v>953</v>
      </c>
      <c r="C57" s="88"/>
      <c r="D57" s="29" t="s">
        <v>522</v>
      </c>
      <c r="E57" s="893">
        <f>E74-E76</f>
        <v>-7.0995590324740121E-2</v>
      </c>
      <c r="F57" s="893">
        <f>F74-F76</f>
        <v>7.2768657119876679E-2</v>
      </c>
      <c r="G57" s="893">
        <f>G74-G76</f>
        <v>0.18755434642332247</v>
      </c>
      <c r="H57" s="893">
        <f>H74-H76</f>
        <v>1.0872448798564527E-2</v>
      </c>
      <c r="I57" s="893">
        <f>I74-I76</f>
        <v>0.21334094947164761</v>
      </c>
      <c r="K57" s="781"/>
    </row>
    <row r="58" spans="2:11">
      <c r="B58" s="88" t="s">
        <v>954</v>
      </c>
      <c r="C58" s="88"/>
      <c r="D58" s="29" t="s">
        <v>522</v>
      </c>
      <c r="E58" s="893">
        <f>SUM(E56:E57)</f>
        <v>21.795406596051762</v>
      </c>
      <c r="F58" s="893">
        <f>SUM(F56:F57)</f>
        <v>15.767506029042078</v>
      </c>
      <c r="G58" s="893">
        <f>SUM(G56:G57)</f>
        <v>39.821056917209404</v>
      </c>
      <c r="H58" s="893">
        <f>SUM(H56:H57)</f>
        <v>28.057314639809594</v>
      </c>
      <c r="I58" s="893">
        <f>SUM(I56:I57)</f>
        <v>43.110599986284242</v>
      </c>
    </row>
    <row r="60" spans="2:11">
      <c r="B60" s="88" t="s">
        <v>954</v>
      </c>
      <c r="C60" s="88"/>
      <c r="D60" s="841" t="str">
        <f>Data!$C$9</f>
        <v>£m 18/19</v>
      </c>
      <c r="E60" s="893">
        <f>E58/E46</f>
        <v>20.09194091604801</v>
      </c>
      <c r="F60" s="893">
        <f>F58/F46</f>
        <v>13.36270301645972</v>
      </c>
      <c r="G60" s="893">
        <f>G58/G46</f>
        <v>31.974120341288245</v>
      </c>
      <c r="H60" s="893">
        <f>H58/H46</f>
        <v>22.020410223606913</v>
      </c>
      <c r="I60" s="893">
        <f>I58/I46</f>
        <v>33.322430998844503</v>
      </c>
    </row>
    <row r="62" spans="2:11">
      <c r="B62" s="889" t="s">
        <v>955</v>
      </c>
      <c r="C62" s="889"/>
      <c r="D62" s="890"/>
      <c r="E62" s="890"/>
      <c r="F62" s="890"/>
      <c r="G62" s="890"/>
      <c r="H62" s="890"/>
      <c r="I62" s="890"/>
      <c r="K62" s="781"/>
    </row>
    <row r="63" spans="2:11" ht="12.65" customHeight="1">
      <c r="D63" s="841"/>
      <c r="E63" s="891"/>
      <c r="F63" s="891"/>
      <c r="G63" s="891"/>
      <c r="H63" s="891"/>
      <c r="I63" s="891"/>
    </row>
    <row r="64" spans="2:11">
      <c r="B64" s="114" t="s">
        <v>956</v>
      </c>
      <c r="D64" s="841" t="str">
        <f>Data!$C$9</f>
        <v>£m 18/19</v>
      </c>
      <c r="E64" s="850">
        <v>21.704867025811307</v>
      </c>
      <c r="F64" s="850">
        <v>15.572678554266208</v>
      </c>
      <c r="G64" s="850">
        <v>27.816984707690704</v>
      </c>
      <c r="H64" s="850">
        <v>33.358431724979773</v>
      </c>
      <c r="I64" s="850">
        <v>34.070771917609456</v>
      </c>
    </row>
    <row r="65" spans="2:10">
      <c r="D65" s="841"/>
      <c r="E65" s="841"/>
      <c r="F65" s="841"/>
      <c r="G65" s="841"/>
      <c r="H65" s="841"/>
      <c r="I65" s="841"/>
    </row>
    <row r="66" spans="2:10">
      <c r="B66" s="590" t="s">
        <v>723</v>
      </c>
      <c r="C66" s="590"/>
      <c r="D66" s="590"/>
      <c r="E66" s="590"/>
      <c r="F66" s="590"/>
      <c r="G66" s="590"/>
      <c r="H66" s="590"/>
      <c r="I66" s="590"/>
    </row>
    <row r="68" spans="2:10">
      <c r="B68" s="429" t="s">
        <v>957</v>
      </c>
      <c r="C68" s="429"/>
      <c r="D68" s="892" t="str">
        <f>Data!$C$9</f>
        <v>£m 18/19</v>
      </c>
      <c r="E68" s="511">
        <f>E$64-E48</f>
        <v>1.5474793285886328</v>
      </c>
      <c r="F68" s="511">
        <f>F$64-F48</f>
        <v>2.2716457824354386</v>
      </c>
      <c r="G68" s="511">
        <f>G$64-G48</f>
        <v>-4.0065398004548136</v>
      </c>
      <c r="H68" s="511">
        <f>H$64-H48</f>
        <v>11.346554598205294</v>
      </c>
      <c r="I68" s="511">
        <f>I$64-I48</f>
        <v>0.91324326459773175</v>
      </c>
    </row>
    <row r="69" spans="2:10">
      <c r="B69" s="429"/>
      <c r="C69" s="429"/>
      <c r="D69" s="429"/>
      <c r="E69" s="429"/>
      <c r="F69" s="429"/>
      <c r="G69" s="429"/>
      <c r="H69" s="429"/>
      <c r="I69" s="429"/>
    </row>
    <row r="70" spans="2:10">
      <c r="B70" s="429" t="s">
        <v>958</v>
      </c>
      <c r="C70" s="429"/>
      <c r="D70" s="892" t="str">
        <f>Data!$C$9</f>
        <v>£m 18/19</v>
      </c>
      <c r="E70" s="511">
        <f>E$64-E60</f>
        <v>1.612926109763297</v>
      </c>
      <c r="F70" s="511">
        <f>F$64-F60</f>
        <v>2.2099755378064874</v>
      </c>
      <c r="G70" s="511">
        <f>G$64-G60</f>
        <v>-4.1571356335975409</v>
      </c>
      <c r="H70" s="511">
        <f>H$64-H60</f>
        <v>11.338021501372861</v>
      </c>
      <c r="I70" s="511">
        <f>I$64-I60</f>
        <v>0.74834091876495279</v>
      </c>
    </row>
    <row r="72" spans="2:10">
      <c r="B72" s="429" t="s">
        <v>959</v>
      </c>
      <c r="C72" s="429"/>
      <c r="D72" s="892" t="str">
        <f>Data!$C$9</f>
        <v>£m 18/19</v>
      </c>
      <c r="E72" s="511">
        <f>E68-E70</f>
        <v>-6.5446781174664181E-2</v>
      </c>
      <c r="F72" s="553">
        <f>F68-F70</f>
        <v>6.167024462895121E-2</v>
      </c>
      <c r="G72" s="553">
        <f>G68-G70</f>
        <v>0.15059583314272729</v>
      </c>
      <c r="H72" s="553">
        <f>H68-H70</f>
        <v>8.5330968324335288E-3</v>
      </c>
      <c r="I72" s="553">
        <f>I68-I70</f>
        <v>0.16490234583277896</v>
      </c>
    </row>
    <row r="74" spans="2:10">
      <c r="B74" s="114" t="s">
        <v>960</v>
      </c>
      <c r="D74" s="29" t="s">
        <v>522</v>
      </c>
      <c r="E74" s="896">
        <f>-('R5 - Financing'!D83*INDEX(Corporate_Tax,MATCH(E$6,Data!$C$18:$N$18,0))*'R8 - Tax'!E$46)</f>
        <v>-8.3889646746759876</v>
      </c>
      <c r="F74" s="896">
        <f>-('R5 - Financing'!E83*INDEX(Corporate_Tax,MATCH(F$6,Data!$C$18:$N$18,0))*'R8 - Tax'!F$46)</f>
        <v>-16.272235521663653</v>
      </c>
      <c r="G74" s="896">
        <f>-('R5 - Financing'!F83*INDEX(Corporate_Tax,MATCH(G$6,Data!$C$18:$N$18,0))*'R8 - Tax'!G$46)</f>
        <v>-17.905737441715221</v>
      </c>
      <c r="H74" s="896">
        <f>-('R5 - Financing'!G83*INDEX(Corporate_Tax,MATCH(H$6,Data!$C$18:$N$18,0))*'R8 - Tax'!H$46)</f>
        <v>-5.9551956401270907</v>
      </c>
      <c r="I74" s="896">
        <f>-('R5 - Financing'!H83*INDEX(Corporate_Tax,MATCH(I$6,Data!$C$18:$N$18,0))*'R8 - Tax'!I$46)</f>
        <v>-2.6195233928872139</v>
      </c>
      <c r="J74" s="114" t="s">
        <v>961</v>
      </c>
    </row>
    <row r="75" spans="2:10">
      <c r="B75" s="114" t="s">
        <v>960</v>
      </c>
      <c r="D75" s="841" t="str">
        <f>Data!$C$9</f>
        <v>£m 18/19</v>
      </c>
      <c r="E75" s="893">
        <f>E74/E$46</f>
        <v>-7.7333075594440519</v>
      </c>
      <c r="F75" s="893">
        <f>F74/F$46</f>
        <v>-13.7904529917017</v>
      </c>
      <c r="G75" s="893">
        <f>G74/G$46</f>
        <v>-14.377323157223584</v>
      </c>
      <c r="H75" s="893">
        <f>H74/H$46</f>
        <v>-4.6738560921068899</v>
      </c>
      <c r="I75" s="893">
        <f>I74/I$46</f>
        <v>-2.0247662416462409</v>
      </c>
    </row>
    <row r="76" spans="2:10">
      <c r="B76" s="114" t="s">
        <v>962</v>
      </c>
      <c r="D76" s="29" t="s">
        <v>522</v>
      </c>
      <c r="E76" s="896">
        <f>-('R5 - Financing'!D85*INDEX(Corporate_Tax,MATCH(E$6,Data!$C$18:$N$18,0))*'R8 - Tax'!E$46)</f>
        <v>-8.3179690843512475</v>
      </c>
      <c r="F76" s="896">
        <f>-('R5 - Financing'!E85*INDEX(Corporate_Tax,MATCH(F$6,Data!$C$18:$N$18,0))*'R8 - Tax'!F$46)</f>
        <v>-16.34500417878353</v>
      </c>
      <c r="G76" s="896">
        <f>-('R5 - Financing'!F85*INDEX(Corporate_Tax,MATCH(G$6,Data!$C$18:$N$18,0))*'R8 - Tax'!G$46)</f>
        <v>-18.093291788138544</v>
      </c>
      <c r="H76" s="896">
        <f>-('R5 - Financing'!G85*INDEX(Corporate_Tax,MATCH(H$6,Data!$C$18:$N$18,0))*'R8 - Tax'!H$46)</f>
        <v>-5.9660680889256552</v>
      </c>
      <c r="I76" s="896">
        <f>-('R5 - Financing'!H85*INDEX(Corporate_Tax,MATCH(I$6,Data!$C$18:$N$18,0))*'R8 - Tax'!I$46)</f>
        <v>-2.8328643423588615</v>
      </c>
      <c r="J76" s="114" t="s">
        <v>961</v>
      </c>
    </row>
    <row r="77" spans="2:10">
      <c r="B77" s="114" t="s">
        <v>962</v>
      </c>
      <c r="D77" s="841" t="str">
        <f>Data!$C$9</f>
        <v>£m 18/19</v>
      </c>
      <c r="E77" s="893">
        <f>E76/E$46</f>
        <v>-7.6678607782693886</v>
      </c>
      <c r="F77" s="893">
        <f>F76/F$46</f>
        <v>-13.852123236330652</v>
      </c>
      <c r="G77" s="893">
        <f>G76/G$46</f>
        <v>-14.527918990366308</v>
      </c>
      <c r="H77" s="893">
        <f>H76/H$46</f>
        <v>-4.6823891889393234</v>
      </c>
      <c r="I77" s="893">
        <f>I76/I$46</f>
        <v>-2.1896685874790225</v>
      </c>
    </row>
    <row r="78" spans="2:10">
      <c r="B78" s="114" t="s">
        <v>963</v>
      </c>
      <c r="D78" s="841" t="str">
        <f>Data!$C$9</f>
        <v>£m 18/19</v>
      </c>
      <c r="E78" s="893">
        <f>E75-E77</f>
        <v>-6.5446781174663293E-2</v>
      </c>
      <c r="F78" s="893">
        <f>F75-F77</f>
        <v>6.167024462895121E-2</v>
      </c>
      <c r="G78" s="893">
        <f>G75-G77</f>
        <v>0.15059583314272373</v>
      </c>
      <c r="H78" s="893">
        <f>H75-H77</f>
        <v>8.5330968324335288E-3</v>
      </c>
      <c r="I78" s="893">
        <f>I75-I77</f>
        <v>0.16490234583278163</v>
      </c>
    </row>
  </sheetData>
  <sheetProtection insertRows="0" sort="0" autoFilter="0" pivotTables="0"/>
  <mergeCells count="1">
    <mergeCell ref="B9:I9"/>
  </mergeCells>
  <phoneticPr fontId="260" type="noConversion"/>
  <conditionalFormatting sqref="E7:I7">
    <cfRule type="expression" dxfId="46" priority="18">
      <formula>AND(E$5="Actuals",F$5="Forecast")</formula>
    </cfRule>
  </conditionalFormatting>
  <conditionalFormatting sqref="E11:I11">
    <cfRule type="expression" dxfId="45" priority="13">
      <formula>E$5="Forecast"</formula>
    </cfRule>
  </conditionalFormatting>
  <conditionalFormatting sqref="E16:I19">
    <cfRule type="expression" dxfId="44" priority="2">
      <formula>E$5="Forecast"</formula>
    </cfRule>
  </conditionalFormatting>
  <conditionalFormatting sqref="E23:I40">
    <cfRule type="expression" dxfId="43" priority="1">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54:I54"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1"/>
  <sheetViews>
    <sheetView topLeftCell="A96" zoomScale="80" zoomScaleNormal="80" workbookViewId="0">
      <selection activeCell="G82" sqref="G82"/>
    </sheetView>
  </sheetViews>
  <sheetFormatPr defaultColWidth="9.23046875" defaultRowHeight="14.5"/>
  <cols>
    <col min="1" max="1" width="27" style="898" customWidth="1"/>
    <col min="2" max="2" width="51.23046875" style="898" customWidth="1"/>
    <col min="3" max="3" width="14.15234375" style="898" customWidth="1"/>
    <col min="4" max="5" width="16.23046875" style="898" customWidth="1"/>
    <col min="6" max="6" width="2.15234375" style="898" customWidth="1"/>
    <col min="7" max="7" width="76.4609375" style="898" bestFit="1" customWidth="1"/>
    <col min="8" max="8" width="15.61328125" style="898" customWidth="1"/>
    <col min="9" max="9" width="3.23046875" style="898" customWidth="1"/>
    <col min="10" max="11" width="17.4609375" style="898" customWidth="1"/>
    <col min="12" max="12" width="84.61328125" style="898" customWidth="1"/>
    <col min="13" max="14" width="2.23046875" style="898" customWidth="1"/>
    <col min="15" max="16384" width="9.23046875" style="898"/>
  </cols>
  <sheetData>
    <row r="1" spans="1:14" ht="20">
      <c r="A1" s="324" t="s">
        <v>964</v>
      </c>
      <c r="B1" s="324"/>
      <c r="C1" s="331"/>
      <c r="D1" s="331"/>
      <c r="E1" s="331"/>
      <c r="F1" s="897"/>
      <c r="G1" s="331"/>
      <c r="H1" s="331"/>
      <c r="J1" s="331"/>
      <c r="K1" s="899"/>
      <c r="L1" s="331"/>
      <c r="N1" s="900"/>
    </row>
    <row r="2" spans="1:14" ht="20">
      <c r="A2" s="331"/>
      <c r="B2" s="331"/>
      <c r="C2" s="331"/>
      <c r="D2" s="331"/>
      <c r="E2" s="331"/>
      <c r="F2" s="897"/>
      <c r="G2" s="331"/>
      <c r="H2" s="331"/>
      <c r="J2" s="331"/>
      <c r="K2" s="899"/>
      <c r="L2" s="331"/>
      <c r="N2" s="900"/>
    </row>
    <row r="3" spans="1:14" ht="20">
      <c r="A3" s="331" t="s">
        <v>965</v>
      </c>
      <c r="B3" s="331" t="str">
        <f>Licensee</f>
        <v>Cadent-London</v>
      </c>
      <c r="C3" s="331"/>
      <c r="D3" s="331"/>
      <c r="E3" s="331"/>
      <c r="F3" s="897"/>
      <c r="G3" s="331"/>
      <c r="H3" s="331"/>
      <c r="J3" s="331"/>
      <c r="K3" s="899"/>
      <c r="L3" s="331"/>
      <c r="N3" s="900"/>
    </row>
    <row r="4" spans="1:14" ht="20">
      <c r="A4" s="331" t="s">
        <v>6</v>
      </c>
      <c r="B4" s="331" t="str">
        <f>Sector</f>
        <v>GD2</v>
      </c>
      <c r="C4" s="331"/>
      <c r="D4" s="331"/>
      <c r="E4" s="331"/>
      <c r="F4" s="897"/>
      <c r="G4" s="331"/>
      <c r="H4" s="331"/>
      <c r="J4" s="331"/>
      <c r="K4" s="899"/>
      <c r="L4" s="331"/>
      <c r="N4" s="900"/>
    </row>
    <row r="5" spans="1:14" ht="20">
      <c r="A5" s="331" t="s">
        <v>966</v>
      </c>
      <c r="B5" s="901">
        <f>INDEX(Data!$C$17:$N$17,MATCH($B$6,Data!$C$18:$N$18,0))</f>
        <v>45016</v>
      </c>
      <c r="C5" s="331"/>
      <c r="D5" s="331"/>
      <c r="E5" s="331"/>
      <c r="F5" s="897"/>
      <c r="G5" s="331"/>
      <c r="H5" s="331"/>
      <c r="J5" s="331"/>
      <c r="K5" s="899"/>
      <c r="L5" s="331"/>
      <c r="N5" s="900"/>
    </row>
    <row r="6" spans="1:14" ht="20">
      <c r="A6" s="331" t="s">
        <v>36</v>
      </c>
      <c r="B6" s="331">
        <f>Reporting_Year-1</f>
        <v>2023</v>
      </c>
      <c r="C6" s="331"/>
      <c r="D6" s="331"/>
      <c r="E6" s="331"/>
      <c r="F6" s="897"/>
      <c r="G6" s="331"/>
      <c r="H6" s="331"/>
      <c r="J6" s="331"/>
      <c r="K6" s="899"/>
      <c r="L6" s="331"/>
      <c r="N6" s="900"/>
    </row>
    <row r="7" spans="1:14" ht="28.5" customHeight="1">
      <c r="A7" s="1396" t="s">
        <v>967</v>
      </c>
      <c r="B7" s="1396"/>
      <c r="C7" s="331"/>
      <c r="D7" s="331"/>
      <c r="E7" s="331"/>
      <c r="F7" s="897"/>
      <c r="G7" s="331"/>
      <c r="H7" s="899"/>
      <c r="J7" s="331"/>
      <c r="K7" s="899"/>
      <c r="L7" s="331"/>
      <c r="N7" s="900"/>
    </row>
    <row r="8" spans="1:14" ht="86.25" customHeight="1">
      <c r="A8" s="1397" t="s">
        <v>968</v>
      </c>
      <c r="B8" s="1398"/>
      <c r="C8" s="1390" t="s">
        <v>969</v>
      </c>
      <c r="D8" s="902" t="s">
        <v>970</v>
      </c>
      <c r="E8" s="902" t="s">
        <v>971</v>
      </c>
      <c r="F8" s="903"/>
      <c r="G8" s="1401" t="s">
        <v>972</v>
      </c>
      <c r="H8" s="904" t="s">
        <v>973</v>
      </c>
      <c r="I8" s="903"/>
      <c r="J8" s="904" t="s">
        <v>974</v>
      </c>
      <c r="K8" s="904" t="s">
        <v>975</v>
      </c>
      <c r="L8" s="1390" t="s">
        <v>976</v>
      </c>
      <c r="N8" s="900"/>
    </row>
    <row r="9" spans="1:14" ht="15.65" customHeight="1">
      <c r="A9" s="1399"/>
      <c r="B9" s="1400"/>
      <c r="C9" s="1391"/>
      <c r="D9" s="905" t="s">
        <v>739</v>
      </c>
      <c r="E9" s="905" t="s">
        <v>739</v>
      </c>
      <c r="F9" s="906"/>
      <c r="G9" s="1402"/>
      <c r="H9" s="905" t="s">
        <v>977</v>
      </c>
      <c r="I9" s="906"/>
      <c r="J9" s="905" t="s">
        <v>739</v>
      </c>
      <c r="K9" s="905" t="s">
        <v>739</v>
      </c>
      <c r="L9" s="1391"/>
      <c r="N9" s="900"/>
    </row>
    <row r="10" spans="1:14" ht="15.65" customHeight="1">
      <c r="A10" s="907"/>
      <c r="B10" s="907"/>
      <c r="C10" s="907"/>
      <c r="D10" s="906"/>
      <c r="E10" s="906"/>
      <c r="F10" s="906"/>
      <c r="G10" s="908"/>
      <c r="H10" s="906"/>
      <c r="I10" s="906"/>
      <c r="J10" s="906"/>
      <c r="K10" s="906"/>
      <c r="L10" s="907"/>
      <c r="N10" s="900"/>
    </row>
    <row r="11" spans="1:14" ht="29">
      <c r="A11" s="907" t="s">
        <v>978</v>
      </c>
      <c r="B11" s="909" t="str">
        <f>IF(AND(D11="",E11=""),"No Filing Date",IF(AND(D11="",E11&lt;&gt;""),"Enter Original Filing Date",IF(AND(D11&lt;&gt;"",E11=""),"Original Filing","Re-filed")))</f>
        <v>Original Filing</v>
      </c>
      <c r="C11" s="907"/>
      <c r="D11" s="910">
        <v>45291</v>
      </c>
      <c r="E11" s="910"/>
      <c r="F11" s="906"/>
      <c r="G11" s="908"/>
      <c r="H11" s="906"/>
      <c r="I11" s="906"/>
      <c r="J11" s="911"/>
      <c r="K11" s="911"/>
      <c r="L11" s="907"/>
      <c r="N11" s="900"/>
    </row>
    <row r="12" spans="1:14" s="913" customFormat="1" ht="17.5" customHeight="1">
      <c r="A12" s="912"/>
      <c r="I12" s="906"/>
      <c r="J12" s="911"/>
      <c r="K12" s="911"/>
      <c r="N12" s="914"/>
    </row>
    <row r="13" spans="1:14" ht="15.65" customHeight="1">
      <c r="A13" s="1392" t="s">
        <v>979</v>
      </c>
      <c r="B13" s="1393"/>
      <c r="D13" s="1008">
        <v>0.19</v>
      </c>
      <c r="E13" s="1008">
        <v>0.19</v>
      </c>
      <c r="F13" s="915"/>
      <c r="G13" s="915"/>
      <c r="H13" s="1008">
        <v>0.19</v>
      </c>
      <c r="I13" s="906"/>
      <c r="J13" s="911"/>
      <c r="K13" s="911"/>
      <c r="N13" s="900"/>
    </row>
    <row r="14" spans="1:14" ht="15.65" customHeight="1">
      <c r="B14" s="917"/>
      <c r="D14" s="915"/>
      <c r="E14" s="915"/>
      <c r="F14" s="915"/>
      <c r="G14" s="915"/>
      <c r="H14" s="915"/>
      <c r="I14" s="906"/>
      <c r="J14" s="916"/>
      <c r="K14" s="918"/>
      <c r="N14" s="900"/>
    </row>
    <row r="15" spans="1:14" ht="15.65" customHeight="1">
      <c r="A15" s="919"/>
      <c r="B15" s="919"/>
      <c r="C15" s="920"/>
      <c r="D15" s="921"/>
      <c r="E15" s="922"/>
      <c r="F15" s="922"/>
      <c r="G15" s="923"/>
      <c r="H15" s="924"/>
      <c r="I15" s="906"/>
      <c r="J15" s="925"/>
      <c r="K15" s="926"/>
      <c r="L15" s="927"/>
      <c r="N15" s="900"/>
    </row>
    <row r="16" spans="1:14" ht="101.5">
      <c r="A16" s="928" t="s">
        <v>980</v>
      </c>
      <c r="B16" s="929"/>
      <c r="C16" s="920" t="s">
        <v>981</v>
      </c>
      <c r="D16" s="1009">
        <v>2297.3589211199992</v>
      </c>
      <c r="E16" s="930"/>
      <c r="F16" s="922"/>
      <c r="G16" s="1118"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931">
        <v>568.05065278938673</v>
      </c>
      <c r="I16" s="906"/>
      <c r="J16" s="1017">
        <f>IF(E$11&lt;&gt;"",IF(OR(B$11="No Filing Date","Enter Filing Date",E$11&lt;D$11),"Error in Filing Date",IF('R8a - Tax Reconciliation'!B$11="Original Filing",D16-H16,E16-H16)),IF(OR(B$11="No Filing Date","Enter Filing Date"),"Error in Filing Date",IF('R8a - Tax Reconciliation'!B$11="Original Filing",D16-H16,E16-H16)))</f>
        <v>1729.3082683306125</v>
      </c>
      <c r="K16" s="932"/>
      <c r="L16" s="933" t="s">
        <v>1163</v>
      </c>
      <c r="N16" s="900"/>
    </row>
    <row r="17" spans="1:16" ht="116">
      <c r="A17" s="1394" t="s">
        <v>982</v>
      </c>
      <c r="B17" s="1395"/>
      <c r="C17" s="920"/>
      <c r="D17" s="922"/>
      <c r="E17" s="922"/>
      <c r="F17" s="922"/>
      <c r="G17" s="923" t="str">
        <f>IF($B$4="ESO2", $B$4&amp; " " &amp;"PCFM - see Tax Allowance scetion in 'System Operator' worksheet",  $B$4&amp; " " &amp;"PCFM - see Tax Allowance in 'Finance &amp;Tax' worksheet")</f>
        <v>GD2 PCFM - see Tax Allowance in 'Finance &amp;Tax' worksheet</v>
      </c>
      <c r="H17" s="931">
        <v>-311.76543747861274</v>
      </c>
      <c r="I17" s="906"/>
      <c r="J17" s="925"/>
      <c r="K17" s="926"/>
      <c r="L17" s="933" t="s">
        <v>1164</v>
      </c>
      <c r="N17" s="900"/>
    </row>
    <row r="18" spans="1:16" ht="15.65" customHeight="1">
      <c r="A18" s="934" t="s">
        <v>983</v>
      </c>
      <c r="B18" s="935"/>
      <c r="C18" s="920"/>
      <c r="D18" s="922"/>
      <c r="E18" s="922"/>
      <c r="F18" s="922"/>
      <c r="G18" s="923" t="str">
        <f t="shared" ref="G18:G19" si="0">IF($B$4="ESO2", $B$4&amp; " " &amp;"PCFM - see Tax Allowance in 'System Operator' worksheet",  $B$4&amp; " " &amp;"PCFM - see Tax Allowance in 'Finance &amp;Tax' worksheet")</f>
        <v>GD2 PCFM - see Tax Allowance in 'Finance &amp;Tax' worksheet</v>
      </c>
      <c r="H18" s="931">
        <v>0</v>
      </c>
      <c r="I18" s="906"/>
      <c r="J18" s="925"/>
      <c r="K18" s="926"/>
      <c r="L18" s="933">
        <v>0</v>
      </c>
      <c r="N18" s="900"/>
    </row>
    <row r="19" spans="1:16" s="920" customFormat="1">
      <c r="A19" s="934" t="s">
        <v>984</v>
      </c>
      <c r="B19" s="935"/>
      <c r="D19" s="922"/>
      <c r="E19" s="922"/>
      <c r="F19" s="922"/>
      <c r="G19" s="923" t="str">
        <f t="shared" si="0"/>
        <v>GD2 PCFM - see Tax Allowance in 'Finance &amp;Tax' worksheet</v>
      </c>
      <c r="H19" s="931">
        <v>0</v>
      </c>
      <c r="I19" s="906"/>
      <c r="J19" s="925"/>
      <c r="K19" s="926"/>
      <c r="L19" s="933">
        <v>0</v>
      </c>
      <c r="M19" s="900"/>
      <c r="N19" s="900"/>
      <c r="O19" s="900"/>
      <c r="P19" s="900"/>
    </row>
    <row r="20" spans="1:16">
      <c r="A20" s="934" t="s">
        <v>985</v>
      </c>
      <c r="B20" s="935"/>
      <c r="C20" s="920" t="s">
        <v>981</v>
      </c>
      <c r="D20" s="930">
        <v>-966.50000000000023</v>
      </c>
      <c r="E20" s="930"/>
      <c r="F20" s="922"/>
      <c r="G20" s="923"/>
      <c r="H20" s="922"/>
      <c r="I20" s="925"/>
      <c r="J20" s="925"/>
      <c r="K20" s="932"/>
      <c r="L20" s="927"/>
      <c r="N20" s="900"/>
    </row>
    <row r="21" spans="1:16">
      <c r="A21" s="934"/>
      <c r="B21" s="935"/>
      <c r="C21" s="920"/>
      <c r="D21" s="922"/>
      <c r="E21" s="922"/>
      <c r="F21" s="922"/>
      <c r="G21" s="923"/>
      <c r="H21" s="922"/>
      <c r="I21" s="925"/>
      <c r="J21" s="925"/>
      <c r="K21" s="932"/>
      <c r="L21" s="927"/>
      <c r="N21" s="900"/>
    </row>
    <row r="22" spans="1:16">
      <c r="A22" s="936" t="s">
        <v>986</v>
      </c>
      <c r="B22" s="937"/>
      <c r="C22" s="938" t="s">
        <v>981</v>
      </c>
      <c r="D22" s="1010">
        <f>SUM(D16:D20)</f>
        <v>1330.858921119999</v>
      </c>
      <c r="E22" s="1010">
        <f>SUM(E16:E20)</f>
        <v>0</v>
      </c>
      <c r="F22" s="922"/>
      <c r="G22" s="923"/>
      <c r="H22" s="1010">
        <f>SUM(H16:H20)</f>
        <v>256.28521531077399</v>
      </c>
      <c r="I22" s="925"/>
      <c r="J22" s="1017">
        <f>IF(E$11&lt;&gt;"",IF(OR(B$11="No Filing Date","Enter Filing Date",E$11&lt;D$11),"Error in Filing Date",IF('R8a - Tax Reconciliation'!B$11="Original Filing",D22-H22,E22-H22)),IF(OR(B$11="No Filing Date","Enter Filing Date"),"Error in Filing Date",IF('R8a - Tax Reconciliation'!B$11="Original Filing",D22-H22,E22-H22)))</f>
        <v>1074.573705809225</v>
      </c>
      <c r="K22" s="932"/>
      <c r="L22" s="927"/>
      <c r="N22" s="900"/>
    </row>
    <row r="23" spans="1:16">
      <c r="A23" s="939"/>
      <c r="B23" s="935"/>
      <c r="C23" s="920"/>
      <c r="D23" s="940"/>
      <c r="E23" s="940"/>
      <c r="F23" s="922"/>
      <c r="G23" s="923"/>
      <c r="H23" s="940"/>
      <c r="I23" s="925"/>
      <c r="J23" s="941"/>
      <c r="K23" s="942"/>
      <c r="L23" s="927"/>
      <c r="N23" s="900"/>
    </row>
    <row r="24" spans="1:16" ht="166.5" customHeight="1">
      <c r="A24" s="943" t="s">
        <v>987</v>
      </c>
      <c r="B24" s="935"/>
      <c r="C24" s="920" t="s">
        <v>981</v>
      </c>
      <c r="D24" s="930">
        <v>-163.73093441881656</v>
      </c>
      <c r="E24" s="930"/>
      <c r="F24" s="922"/>
      <c r="G24" s="923" t="str">
        <f t="shared" ref="G24:G25" si="1">IF($B$4="ESO2", $B$4&amp; " " &amp;"PCFM - see Tax Allowance in 'System Operator' worksheet",  $B$4&amp; " " &amp;"PCFM - see Tax Allowance in 'Finance &amp;Tax' worksheet")</f>
        <v>GD2 PCFM - see Tax Allowance in 'Finance &amp;Tax' worksheet</v>
      </c>
      <c r="H24" s="931">
        <v>-49.813828562329135</v>
      </c>
      <c r="I24" s="925"/>
      <c r="J24" s="1017">
        <f>IF(E$11&lt;&gt;"",IF(OR(B$11="No Filing Date","Enter Filing Date",E$11&lt;D$11),"Error in Filing Date",IF('R8a - Tax Reconciliation'!B$11="Original Filing",D24-H24,E24-H24)),IF(OR(B$11="No Filing Date","Enter Filing Date"),"Error in Filing Date",IF('R8a - Tax Reconciliation'!B$11="Original Filing",D24-H24,E24-H24)))</f>
        <v>-113.91710585648742</v>
      </c>
      <c r="K24" s="932"/>
      <c r="L24" s="933" t="s">
        <v>1165</v>
      </c>
      <c r="M24" s="900"/>
      <c r="N24" s="900"/>
      <c r="O24" s="900"/>
    </row>
    <row r="25" spans="1:16">
      <c r="A25" s="943" t="s">
        <v>988</v>
      </c>
      <c r="B25" s="935"/>
      <c r="C25" s="920" t="s">
        <v>981</v>
      </c>
      <c r="D25" s="930">
        <v>-38.832367241183235</v>
      </c>
      <c r="E25" s="930"/>
      <c r="F25" s="922"/>
      <c r="G25" s="923" t="str">
        <f t="shared" si="1"/>
        <v>GD2 PCFM - see Tax Allowance in 'Finance &amp;Tax' worksheet</v>
      </c>
      <c r="H25" s="931">
        <v>-38.832367241183235</v>
      </c>
      <c r="I25" s="925"/>
      <c r="J25" s="1017">
        <f>IF(E$11&lt;&gt;"",IF(OR(B$11="No Filing Date","Enter Filing Date",E$11&lt;D$11),"Error in Filing Date",IF('R8a - Tax Reconciliation'!B$11="Original Filing",D25-H25,E25-H25)),IF(OR(B$11="No Filing Date","Enter Filing Date"),"Error in Filing Date",IF('R8a - Tax Reconciliation'!B$11="Original Filing",D25-H25,E25-H25)))</f>
        <v>0</v>
      </c>
      <c r="K25" s="932"/>
      <c r="L25" s="933"/>
      <c r="M25" s="900"/>
      <c r="N25" s="900"/>
      <c r="O25" s="900"/>
    </row>
    <row r="26" spans="1:16">
      <c r="A26" s="1394" t="s">
        <v>989</v>
      </c>
      <c r="B26" s="1395"/>
      <c r="C26" s="920" t="s">
        <v>981</v>
      </c>
      <c r="D26" s="930">
        <v>0</v>
      </c>
      <c r="E26" s="930"/>
      <c r="F26" s="922"/>
      <c r="G26" s="923"/>
      <c r="H26" s="922"/>
      <c r="I26" s="925"/>
      <c r="J26" s="925"/>
      <c r="K26" s="932"/>
      <c r="L26" s="927"/>
      <c r="M26" s="900"/>
      <c r="N26" s="900"/>
      <c r="O26" s="900"/>
    </row>
    <row r="27" spans="1:16">
      <c r="A27" s="1394" t="s">
        <v>990</v>
      </c>
      <c r="B27" s="1395"/>
      <c r="C27" s="920" t="s">
        <v>981</v>
      </c>
      <c r="D27" s="930">
        <v>2.7</v>
      </c>
      <c r="E27" s="930"/>
      <c r="F27" s="922"/>
      <c r="G27" s="923"/>
      <c r="H27" s="922"/>
      <c r="I27" s="925"/>
      <c r="J27" s="925"/>
      <c r="K27" s="932"/>
      <c r="L27" s="927"/>
      <c r="M27" s="900"/>
      <c r="N27" s="900"/>
      <c r="O27" s="900"/>
    </row>
    <row r="28" spans="1:16">
      <c r="A28" s="934" t="s">
        <v>991</v>
      </c>
      <c r="B28" s="935"/>
      <c r="C28" s="920" t="s">
        <v>981</v>
      </c>
      <c r="D28" s="930">
        <v>-390.94200000000001</v>
      </c>
      <c r="E28" s="930"/>
      <c r="F28" s="922"/>
      <c r="G28" s="923"/>
      <c r="H28" s="922"/>
      <c r="I28" s="925"/>
      <c r="J28" s="925"/>
      <c r="K28" s="932"/>
      <c r="L28" s="927"/>
      <c r="M28" s="900"/>
      <c r="N28" s="900"/>
      <c r="O28" s="900"/>
    </row>
    <row r="29" spans="1:16">
      <c r="A29" s="934" t="s">
        <v>992</v>
      </c>
      <c r="B29" s="935"/>
      <c r="C29" s="920" t="s">
        <v>981</v>
      </c>
      <c r="D29" s="930">
        <v>-19.358000000000001</v>
      </c>
      <c r="E29" s="930"/>
      <c r="F29" s="922"/>
      <c r="G29" s="923"/>
      <c r="H29" s="922"/>
      <c r="I29" s="925"/>
      <c r="J29" s="925"/>
      <c r="K29" s="932"/>
      <c r="L29" s="927"/>
      <c r="M29" s="900"/>
      <c r="N29" s="900"/>
      <c r="O29" s="900"/>
    </row>
    <row r="30" spans="1:16">
      <c r="A30" s="1232" t="s">
        <v>993</v>
      </c>
      <c r="B30" s="935"/>
      <c r="C30" s="920"/>
      <c r="D30" s="921"/>
      <c r="E30" s="921"/>
      <c r="F30" s="922"/>
      <c r="G30" s="923"/>
      <c r="H30" s="922"/>
      <c r="I30" s="925"/>
      <c r="J30" s="925"/>
      <c r="K30" s="932"/>
      <c r="L30" s="927"/>
      <c r="M30" s="900"/>
      <c r="N30" s="900"/>
      <c r="O30" s="900"/>
    </row>
    <row r="31" spans="1:16">
      <c r="A31" s="944" t="s">
        <v>994</v>
      </c>
      <c r="B31" s="937"/>
      <c r="C31" s="938" t="s">
        <v>981</v>
      </c>
      <c r="D31" s="1010">
        <f>SUM(D22:D30)</f>
        <v>720.69561945999931</v>
      </c>
      <c r="E31" s="1010">
        <f>SUM(E22:E30)</f>
        <v>0</v>
      </c>
      <c r="F31" s="922"/>
      <c r="G31" s="945" t="s">
        <v>995</v>
      </c>
      <c r="H31" s="1010">
        <f>SUM(H22:H30)</f>
        <v>167.63901950726159</v>
      </c>
      <c r="I31" s="925"/>
      <c r="J31" s="1017">
        <f>IF(E$11&lt;&gt;"",IF(OR(B$11="No Filing Date","Enter Filing Date",E$11&lt;D$11),"Error in Filing Date",IF('R8a - Tax Reconciliation'!B$11="Original Filing",D31-H31,E31-H31)),IF(OR(B$11="No Filing Date","Enter Filing Date"),"Error in Filing Date",IF('R8a - Tax Reconciliation'!B$11="Original Filing",D31-H31,E31-H31)))</f>
        <v>553.05659995273777</v>
      </c>
      <c r="K31" s="932" t="str">
        <f>IF(OR(J31&gt;=Data!$C$10,J31&lt;=-Data!$C$10), "Material", "Immaterial")</f>
        <v>Material</v>
      </c>
      <c r="L31" s="933">
        <v>0</v>
      </c>
      <c r="N31" s="900"/>
    </row>
    <row r="32" spans="1:16">
      <c r="A32" s="946"/>
      <c r="B32" s="919"/>
      <c r="C32" s="920"/>
      <c r="D32" s="925"/>
      <c r="E32" s="925"/>
      <c r="F32" s="922"/>
      <c r="G32" s="923"/>
      <c r="I32" s="925"/>
      <c r="J32" s="941"/>
      <c r="K32" s="942"/>
      <c r="L32" s="927"/>
      <c r="M32" s="947"/>
      <c r="N32" s="947"/>
      <c r="O32" s="947"/>
    </row>
    <row r="33" spans="1:16">
      <c r="A33" s="948" t="s">
        <v>996</v>
      </c>
      <c r="B33" s="929"/>
      <c r="C33" s="920"/>
      <c r="D33" s="921"/>
      <c r="E33" s="921"/>
      <c r="F33" s="922"/>
      <c r="G33" s="923"/>
      <c r="H33" s="922"/>
      <c r="I33" s="925"/>
      <c r="J33" s="925"/>
      <c r="K33" s="932"/>
      <c r="L33" s="927"/>
      <c r="M33" s="900"/>
      <c r="N33" s="900"/>
      <c r="O33" s="900"/>
    </row>
    <row r="34" spans="1:16">
      <c r="A34" s="934"/>
      <c r="B34" s="935"/>
      <c r="C34" s="920"/>
      <c r="D34" s="921"/>
      <c r="E34" s="921"/>
      <c r="F34" s="922"/>
      <c r="G34" s="923"/>
      <c r="H34" s="922"/>
      <c r="I34" s="925"/>
      <c r="J34" s="925"/>
      <c r="K34" s="932"/>
      <c r="L34" s="927"/>
      <c r="M34" s="900"/>
      <c r="N34" s="900"/>
      <c r="O34" s="900"/>
    </row>
    <row r="35" spans="1:16">
      <c r="A35" s="1404" t="s">
        <v>997</v>
      </c>
      <c r="B35" s="1405"/>
      <c r="D35" s="949"/>
      <c r="E35" s="949"/>
      <c r="F35" s="949"/>
      <c r="G35" s="950"/>
      <c r="H35" s="949"/>
      <c r="I35" s="949"/>
      <c r="J35" s="949"/>
      <c r="K35" s="950"/>
      <c r="L35" s="951"/>
      <c r="M35" s="938"/>
      <c r="N35" s="938"/>
      <c r="O35" s="938"/>
      <c r="P35" s="938"/>
    </row>
    <row r="36" spans="1:16">
      <c r="A36" s="1394" t="s">
        <v>993</v>
      </c>
      <c r="B36" s="1395"/>
      <c r="C36" s="920" t="s">
        <v>981</v>
      </c>
      <c r="D36" s="930"/>
      <c r="E36" s="930"/>
      <c r="F36" s="922"/>
      <c r="G36" s="923"/>
      <c r="H36" s="922"/>
      <c r="I36" s="925"/>
      <c r="J36" s="922"/>
      <c r="K36" s="923"/>
      <c r="L36" s="922"/>
      <c r="M36" s="938"/>
      <c r="N36" s="938"/>
      <c r="O36" s="938"/>
      <c r="P36" s="938"/>
    </row>
    <row r="37" spans="1:16">
      <c r="A37" s="952"/>
      <c r="B37" s="953"/>
      <c r="D37" s="949"/>
      <c r="E37" s="949"/>
      <c r="F37" s="949"/>
      <c r="I37" s="949"/>
      <c r="K37" s="950"/>
      <c r="L37" s="922"/>
      <c r="M37" s="938"/>
      <c r="N37" s="938"/>
      <c r="O37" s="938"/>
      <c r="P37" s="938"/>
    </row>
    <row r="38" spans="1:16" s="920" customFormat="1">
      <c r="A38" s="1404" t="s">
        <v>998</v>
      </c>
      <c r="B38" s="1405"/>
      <c r="C38" s="898"/>
      <c r="D38" s="949"/>
      <c r="E38" s="949"/>
      <c r="F38" s="949"/>
      <c r="G38" s="950"/>
      <c r="H38" s="949"/>
      <c r="I38" s="949"/>
      <c r="J38" s="922"/>
      <c r="K38" s="923"/>
      <c r="L38" s="922"/>
      <c r="N38" s="938"/>
    </row>
    <row r="39" spans="1:16" s="920" customFormat="1">
      <c r="A39" s="1394" t="s">
        <v>993</v>
      </c>
      <c r="B39" s="1395"/>
      <c r="C39" s="920" t="s">
        <v>981</v>
      </c>
      <c r="D39" s="930"/>
      <c r="E39" s="930"/>
      <c r="F39" s="922"/>
      <c r="G39" s="923"/>
      <c r="H39" s="922"/>
      <c r="I39" s="925"/>
      <c r="J39" s="922"/>
      <c r="K39" s="923"/>
      <c r="L39" s="922"/>
      <c r="N39" s="938"/>
    </row>
    <row r="40" spans="1:16">
      <c r="A40" s="952"/>
      <c r="B40" s="954"/>
      <c r="D40" s="949"/>
      <c r="E40" s="949"/>
      <c r="F40" s="949"/>
      <c r="G40" s="950"/>
      <c r="H40" s="949"/>
      <c r="I40" s="949"/>
      <c r="J40" s="922"/>
      <c r="K40" s="923"/>
      <c r="L40" s="922"/>
      <c r="M40" s="938"/>
      <c r="N40" s="938"/>
      <c r="O40" s="938"/>
      <c r="P40" s="938"/>
    </row>
    <row r="41" spans="1:16">
      <c r="A41" s="1404" t="s">
        <v>999</v>
      </c>
      <c r="B41" s="1405"/>
      <c r="D41" s="949"/>
      <c r="E41" s="949"/>
      <c r="F41" s="949"/>
      <c r="G41" s="950"/>
      <c r="H41" s="949"/>
      <c r="I41" s="949"/>
      <c r="J41" s="922"/>
      <c r="K41" s="923"/>
      <c r="L41" s="922"/>
      <c r="M41" s="938"/>
      <c r="N41" s="938"/>
      <c r="O41" s="938"/>
      <c r="P41" s="938"/>
    </row>
    <row r="42" spans="1:16" s="920" customFormat="1">
      <c r="A42" s="1406" t="s">
        <v>993</v>
      </c>
      <c r="B42" s="1407"/>
      <c r="C42" s="920" t="s">
        <v>981</v>
      </c>
      <c r="D42" s="930"/>
      <c r="E42" s="930"/>
      <c r="F42" s="922"/>
      <c r="G42" s="923"/>
      <c r="H42" s="922"/>
      <c r="I42" s="925"/>
      <c r="J42" s="922"/>
      <c r="K42" s="923"/>
      <c r="L42" s="922"/>
      <c r="N42" s="938"/>
    </row>
    <row r="43" spans="1:16" s="920" customFormat="1">
      <c r="A43" s="919"/>
      <c r="B43" s="919"/>
      <c r="D43" s="922"/>
      <c r="E43" s="922"/>
      <c r="F43" s="922"/>
      <c r="G43" s="923"/>
      <c r="H43" s="922"/>
      <c r="I43" s="925"/>
      <c r="J43" s="925"/>
      <c r="K43" s="932"/>
      <c r="L43" s="927"/>
      <c r="M43" s="900"/>
      <c r="N43" s="900"/>
      <c r="O43" s="900"/>
      <c r="P43" s="900"/>
    </row>
    <row r="44" spans="1:16" s="920" customFormat="1">
      <c r="A44" s="944" t="s">
        <v>1000</v>
      </c>
      <c r="B44" s="937"/>
      <c r="C44" s="938" t="s">
        <v>981</v>
      </c>
      <c r="D44" s="1010">
        <f>SUM(D31:D43)</f>
        <v>720.69561945999931</v>
      </c>
      <c r="E44" s="1010">
        <f>SUM(E31:E43)</f>
        <v>0</v>
      </c>
      <c r="F44" s="922"/>
      <c r="G44" s="923"/>
      <c r="H44" s="1010">
        <f>SUM(H31:H43)</f>
        <v>167.63901950726159</v>
      </c>
      <c r="I44" s="925"/>
      <c r="J44" s="1017">
        <f>IF(E$11&lt;&gt;"",IF(OR(B$11="No Filing Date","Enter Filing Date",E$11&lt;D$11),"Error in Filing Date",IF('R8a - Tax Reconciliation'!B$11="Original Filing",D44-H44,E44-H44)),IF(OR(B$11="No Filing Date","Enter Filing Date"),"Error in Filing Date",IF('R8a - Tax Reconciliation'!B$11="Original Filing",D44-H44,E44-H44)))</f>
        <v>553.05659995273777</v>
      </c>
      <c r="K44" s="932" t="str">
        <f>IF(OR(J44&gt;=Data!$C$10,J44&lt;=-Data!$C$10), "Material", "Immaterial")</f>
        <v>Material</v>
      </c>
      <c r="L44" s="933"/>
      <c r="M44" s="900"/>
      <c r="N44" s="900"/>
      <c r="O44" s="900"/>
      <c r="P44" s="900"/>
    </row>
    <row r="45" spans="1:16" s="920" customFormat="1">
      <c r="A45" s="955"/>
      <c r="B45" s="955"/>
      <c r="C45" s="898"/>
      <c r="D45" s="956"/>
      <c r="E45" s="956"/>
      <c r="F45" s="956"/>
      <c r="G45" s="957"/>
      <c r="H45" s="956"/>
      <c r="I45" s="949"/>
      <c r="J45" s="949"/>
      <c r="K45" s="950"/>
      <c r="L45" s="951"/>
      <c r="M45" s="900"/>
      <c r="N45" s="900"/>
      <c r="O45" s="900"/>
      <c r="P45" s="900"/>
    </row>
    <row r="46" spans="1:16" s="920" customFormat="1">
      <c r="A46" s="958" t="s">
        <v>1001</v>
      </c>
      <c r="B46" s="959"/>
      <c r="C46" s="898"/>
      <c r="D46" s="956"/>
      <c r="E46" s="956"/>
      <c r="F46" s="956"/>
      <c r="G46" s="957"/>
      <c r="H46" s="956"/>
      <c r="I46" s="949"/>
      <c r="J46" s="949"/>
      <c r="K46" s="950"/>
      <c r="L46" s="951"/>
      <c r="M46" s="900"/>
      <c r="N46" s="900"/>
      <c r="O46" s="900"/>
      <c r="P46" s="900"/>
    </row>
    <row r="47" spans="1:16" s="920" customFormat="1">
      <c r="A47" s="960"/>
      <c r="B47" s="961"/>
      <c r="C47" s="898"/>
      <c r="D47" s="956"/>
      <c r="E47" s="956"/>
      <c r="F47" s="956"/>
      <c r="G47" s="957"/>
      <c r="H47" s="956"/>
      <c r="I47" s="949"/>
      <c r="J47" s="949"/>
      <c r="K47" s="950"/>
      <c r="L47" s="951"/>
      <c r="M47" s="900"/>
      <c r="N47" s="900"/>
      <c r="O47" s="900"/>
      <c r="P47" s="900"/>
    </row>
    <row r="48" spans="1:16" s="920" customFormat="1">
      <c r="A48" s="962" t="s">
        <v>1002</v>
      </c>
      <c r="B48" s="961"/>
      <c r="C48" s="898"/>
      <c r="D48" s="956"/>
      <c r="E48" s="956"/>
      <c r="F48" s="956"/>
      <c r="G48" s="957"/>
      <c r="H48" s="956"/>
      <c r="I48" s="949"/>
      <c r="J48" s="949"/>
      <c r="K48" s="950"/>
      <c r="L48" s="951"/>
      <c r="M48" s="900"/>
      <c r="N48" s="900"/>
      <c r="O48" s="900"/>
      <c r="P48" s="900"/>
    </row>
    <row r="49" spans="1:22" s="920" customFormat="1">
      <c r="A49" s="934" t="s">
        <v>1003</v>
      </c>
      <c r="B49" s="935"/>
      <c r="C49" s="920" t="s">
        <v>981</v>
      </c>
      <c r="D49" s="930">
        <v>0</v>
      </c>
      <c r="E49" s="930"/>
      <c r="F49" s="922"/>
      <c r="G49" s="923"/>
      <c r="H49" s="930"/>
      <c r="I49" s="925"/>
      <c r="J49" s="1017">
        <f>IF(E$11&lt;&gt;"",IF(OR(B$11="No Filing Date","Enter Filing Date",E$11&lt;D$11),"Error in Filing Date",IF('R8a - Tax Reconciliation'!B$11="Original Filing",D49-H49,E49-H49)),IF(OR(B$11="No Filing Date","Enter Filing Date"),"Error in Filing Date",IF('R8a - Tax Reconciliation'!B$11="Original Filing",D49-H49,E49-H49)))</f>
        <v>0</v>
      </c>
      <c r="K49" s="932" t="str">
        <f>IF(OR(J49&gt;=Data!$C$10,J49&lt;=-Data!$C$10), "Material", "Immaterial")</f>
        <v>Immaterial</v>
      </c>
      <c r="L49" s="963">
        <v>0</v>
      </c>
      <c r="N49" s="938"/>
    </row>
    <row r="50" spans="1:22" s="920" customFormat="1" ht="43.5">
      <c r="A50" s="934" t="s">
        <v>1004</v>
      </c>
      <c r="B50" s="935"/>
      <c r="C50" s="920" t="s">
        <v>981</v>
      </c>
      <c r="D50" s="930">
        <v>-37.839587000000002</v>
      </c>
      <c r="E50" s="930"/>
      <c r="F50" s="922"/>
      <c r="G50" s="923"/>
      <c r="H50" s="930"/>
      <c r="I50" s="925"/>
      <c r="J50" s="1017">
        <f>IF(E$11&lt;&gt;"",IF(OR(B$11="No Filing Date","Enter Filing Date",E$11&lt;D$11),"Error in Filing Date",IF('R8a - Tax Reconciliation'!B$11="Original Filing",D50-H50,E50-H50)),IF(OR(B$11="No Filing Date","Enter Filing Date"),"Error in Filing Date",IF('R8a - Tax Reconciliation'!B$11="Original Filing",D50-H50,E50-H50)))</f>
        <v>-37.839587000000002</v>
      </c>
      <c r="K50" s="932" t="str">
        <f>IF(OR(J50&gt;=Data!$C$10,J50&lt;=-Data!$C$10), "Material", "Immaterial")</f>
        <v>Material</v>
      </c>
      <c r="L50" s="963" t="s">
        <v>1166</v>
      </c>
      <c r="M50" s="900"/>
      <c r="N50" s="900"/>
      <c r="O50" s="900"/>
      <c r="P50" s="900"/>
    </row>
    <row r="51" spans="1:22" s="920" customFormat="1">
      <c r="A51" s="934" t="s">
        <v>1005</v>
      </c>
      <c r="B51" s="935"/>
      <c r="C51" s="920" t="s">
        <v>981</v>
      </c>
      <c r="D51" s="930">
        <v>390.890717</v>
      </c>
      <c r="E51" s="930"/>
      <c r="F51" s="922"/>
      <c r="G51" s="923"/>
      <c r="H51" s="930"/>
      <c r="I51" s="925"/>
      <c r="J51" s="1017">
        <f>IF(E$11&lt;&gt;"",IF(OR(B$11="No Filing Date","Enter Filing Date",E$11&lt;D$11),"Error in Filing Date",IF('R8a - Tax Reconciliation'!B$11="Original Filing",D51-H51,E51-H51)),IF(OR(B$11="No Filing Date","Enter Filing Date"),"Error in Filing Date",IF('R8a - Tax Reconciliation'!B$11="Original Filing",D51-H51,E51-H51)))</f>
        <v>390.890717</v>
      </c>
      <c r="K51" s="932" t="str">
        <f>IF(OR(J51&gt;=Data!$C$10,J51&lt;=-Data!$C$10), "Material", "Immaterial")</f>
        <v>Material</v>
      </c>
      <c r="L51" s="963" t="s">
        <v>1167</v>
      </c>
      <c r="N51" s="938"/>
    </row>
    <row r="52" spans="1:22">
      <c r="A52" s="934" t="s">
        <v>992</v>
      </c>
      <c r="B52" s="935"/>
      <c r="C52" s="920" t="s">
        <v>981</v>
      </c>
      <c r="D52" s="930">
        <v>19.358398000000001</v>
      </c>
      <c r="E52" s="930"/>
      <c r="F52" s="922"/>
      <c r="G52" s="923"/>
      <c r="H52" s="930"/>
      <c r="I52" s="925"/>
      <c r="J52" s="1017">
        <f>IF(E$11&lt;&gt;"",IF(OR(B$11="No Filing Date","Enter Filing Date",E$11&lt;D$11),"Error in Filing Date",IF('R8a - Tax Reconciliation'!B$11="Original Filing",D52-H52,E52-H52)),IF(OR(B$11="No Filing Date","Enter Filing Date"),"Error in Filing Date",IF('R8a - Tax Reconciliation'!B$11="Original Filing",D52-H52,E52-H52)))</f>
        <v>19.358398000000001</v>
      </c>
      <c r="K52" s="932" t="str">
        <f>IF(OR(J52&gt;=Data!$C$10,J52&lt;=-Data!$C$10), "Material", "Immaterial")</f>
        <v>Material</v>
      </c>
      <c r="L52" s="963" t="s">
        <v>1168</v>
      </c>
      <c r="M52" s="938"/>
      <c r="N52" s="938"/>
      <c r="O52" s="938"/>
      <c r="P52" s="938"/>
    </row>
    <row r="53" spans="1:22">
      <c r="A53" s="964" t="s">
        <v>1006</v>
      </c>
      <c r="B53" s="965"/>
      <c r="C53" s="920" t="s">
        <v>981</v>
      </c>
      <c r="D53" s="930">
        <v>2.7255020000000001</v>
      </c>
      <c r="E53" s="930"/>
      <c r="F53" s="922"/>
      <c r="G53" s="923"/>
      <c r="H53" s="930"/>
      <c r="I53" s="925"/>
      <c r="J53" s="1017">
        <f>IF(E$11&lt;&gt;"",IF(OR(B$11="No Filing Date","Enter Filing Date",E$11&lt;D$11),"Error in Filing Date",IF('R8a - Tax Reconciliation'!B$11="Original Filing",D53-H53,E53-H53)),IF(OR(B$11="No Filing Date","Enter Filing Date"),"Error in Filing Date",IF('R8a - Tax Reconciliation'!B$11="Original Filing",D53-H53,E53-H53)))</f>
        <v>2.7255020000000001</v>
      </c>
      <c r="K53" s="932" t="str">
        <f>IF(OR(J53&gt;=Data!$C$10,J53&lt;=-Data!$C$10), "Material", "Immaterial")</f>
        <v>Immaterial</v>
      </c>
      <c r="L53" s="963">
        <v>0</v>
      </c>
      <c r="N53" s="900"/>
    </row>
    <row r="54" spans="1:22">
      <c r="A54" s="1394" t="s">
        <v>1007</v>
      </c>
      <c r="B54" s="1395"/>
      <c r="C54" s="920" t="s">
        <v>981</v>
      </c>
      <c r="D54" s="930">
        <v>0</v>
      </c>
      <c r="E54" s="930"/>
      <c r="F54" s="966"/>
      <c r="G54" s="923"/>
      <c r="H54" s="930"/>
      <c r="I54" s="967"/>
      <c r="J54" s="1017">
        <f>IF(E$11&lt;&gt;"",IF(OR(B$11="No Filing Date","Enter Filing Date",E$11&lt;D$11),"Error in Filing Date",IF('R8a - Tax Reconciliation'!B$11="Original Filing",D54-H54,E54-H54)),IF(OR(B$11="No Filing Date","Enter Filing Date"),"Error in Filing Date",IF('R8a - Tax Reconciliation'!B$11="Original Filing",D54-H54,E54-H54)))</f>
        <v>0</v>
      </c>
      <c r="K54" s="932" t="str">
        <f>IF(OR(J54&gt;=Data!$C$10,J54&lt;=-Data!$C$10), "Material", "Immaterial")</f>
        <v>Immaterial</v>
      </c>
      <c r="L54" s="963">
        <v>0</v>
      </c>
      <c r="N54" s="900"/>
    </row>
    <row r="55" spans="1:22" ht="77.150000000000006" customHeight="1">
      <c r="A55" s="968" t="s">
        <v>1008</v>
      </c>
      <c r="B55" s="965"/>
      <c r="C55" s="920" t="s">
        <v>981</v>
      </c>
      <c r="D55" s="930">
        <v>-113.645293</v>
      </c>
      <c r="E55" s="930"/>
      <c r="F55" s="925"/>
      <c r="G55" s="923" t="str">
        <f t="shared" ref="G55" si="2">IF($B$4="ESO2", $B$4&amp; " " &amp;"PCFM - see Tax Allowance in 'System Operator' worksheet",  $B$4&amp; " " &amp;"PCFM - see Tax Allowance in 'Finance &amp;Tax' worksheet")</f>
        <v>GD2 PCFM - see Tax Allowance in 'Finance &amp;Tax' worksheet</v>
      </c>
      <c r="H55" s="931">
        <v>-23</v>
      </c>
      <c r="I55" s="967"/>
      <c r="J55" s="1017">
        <f>IF(E$11&lt;&gt;"",IF(OR(B$11="No Filing Date","Enter Filing Date",E$11&lt;D$11),"Error in Filing Date",IF('R8a - Tax Reconciliation'!B$11="Original Filing",D55-H55,E55-H55)),IF(OR(B$11="No Filing Date","Enter Filing Date"),"Error in Filing Date",IF('R8a - Tax Reconciliation'!B$11="Original Filing",D55-H55,E55-H55)))</f>
        <v>-90.645292999999995</v>
      </c>
      <c r="K55" s="932" t="str">
        <f>IF(OR(J55&gt;=Data!$C$10,J55&lt;=-Data!$C$10), "Material", "Immaterial")</f>
        <v>Material</v>
      </c>
      <c r="L55" s="1289" t="s">
        <v>1169</v>
      </c>
      <c r="N55" s="900"/>
    </row>
    <row r="56" spans="1:22">
      <c r="A56" s="934" t="s">
        <v>1009</v>
      </c>
      <c r="B56" s="935"/>
      <c r="C56" s="920" t="s">
        <v>981</v>
      </c>
      <c r="D56" s="930">
        <v>0</v>
      </c>
      <c r="E56" s="930"/>
      <c r="F56" s="922"/>
      <c r="G56" s="923"/>
      <c r="H56" s="930"/>
      <c r="I56" s="925"/>
      <c r="J56" s="1017">
        <f>IF(E$11&lt;&gt;"",IF(OR(B$11="No Filing Date","Enter Filing Date",E$11&lt;D$11),"Error in Filing Date",IF('R8a - Tax Reconciliation'!B$11="Original Filing",D56-H56,E56-H56)),IF(OR(B$11="No Filing Date","Enter Filing Date"),"Error in Filing Date",IF('R8a - Tax Reconciliation'!B$11="Original Filing",D56-H56,E56-H56)))</f>
        <v>0</v>
      </c>
      <c r="K56" s="932" t="str">
        <f>IF(OR(J56&gt;=Data!$C$10,J56&lt;=-Data!$C$10), "Material", "Immaterial")</f>
        <v>Immaterial</v>
      </c>
      <c r="L56" s="1289">
        <v>0</v>
      </c>
      <c r="M56" s="938"/>
      <c r="N56" s="938"/>
      <c r="O56" s="938"/>
      <c r="P56" s="938"/>
    </row>
    <row r="57" spans="1:22">
      <c r="A57" s="934" t="s">
        <v>1010</v>
      </c>
      <c r="B57" s="935"/>
      <c r="C57" s="920" t="s">
        <v>981</v>
      </c>
      <c r="D57" s="930">
        <v>0</v>
      </c>
      <c r="E57" s="930"/>
      <c r="F57" s="922"/>
      <c r="G57" s="923"/>
      <c r="H57" s="930"/>
      <c r="I57" s="925"/>
      <c r="J57" s="1017">
        <f>IF(E$11&lt;&gt;"",IF(OR(B$11="No Filing Date","Enter Filing Date",E$11&lt;D$11),"Error in Filing Date",IF('R8a - Tax Reconciliation'!B$11="Original Filing",D57-H57,E57-H57)),IF(OR(B$11="No Filing Date","Enter Filing Date"),"Error in Filing Date",IF('R8a - Tax Reconciliation'!B$11="Original Filing",D57-H57,E57-H57)))</f>
        <v>0</v>
      </c>
      <c r="K57" s="932" t="str">
        <f>IF(OR(J57&gt;=Data!$C$10,J57&lt;=-Data!$C$10), "Material", "Immaterial")</f>
        <v>Immaterial</v>
      </c>
      <c r="L57" s="1289">
        <v>0</v>
      </c>
      <c r="M57" s="900"/>
      <c r="N57" s="900"/>
      <c r="O57" s="900"/>
      <c r="P57" s="900"/>
      <c r="Q57" s="920"/>
      <c r="R57" s="920"/>
      <c r="S57" s="920"/>
      <c r="T57" s="920"/>
      <c r="U57" s="920"/>
      <c r="V57" s="920"/>
    </row>
    <row r="58" spans="1:22">
      <c r="A58" s="934" t="s">
        <v>1011</v>
      </c>
      <c r="B58" s="935"/>
      <c r="C58" s="920" t="s">
        <v>981</v>
      </c>
      <c r="D58" s="930">
        <v>0</v>
      </c>
      <c r="E58" s="930"/>
      <c r="F58" s="922"/>
      <c r="G58" s="923"/>
      <c r="H58" s="930"/>
      <c r="I58" s="925"/>
      <c r="J58" s="1017">
        <f>IF(E$11&lt;&gt;"",IF(OR(B$11="No Filing Date","Enter Filing Date",E$11&lt;D$11),"Error in Filing Date",IF('R8a - Tax Reconciliation'!B$11="Original Filing",D58-H58,E58-H58)),IF(OR(B$11="No Filing Date","Enter Filing Date"),"Error in Filing Date",IF('R8a - Tax Reconciliation'!B$11="Original Filing",D58-H58,E58-H58)))</f>
        <v>0</v>
      </c>
      <c r="K58" s="932" t="str">
        <f>IF(OR(J58&gt;=Data!$C$10,J58&lt;=-Data!$C$10), "Material", "Immaterial")</f>
        <v>Immaterial</v>
      </c>
      <c r="L58" s="1289">
        <v>0</v>
      </c>
      <c r="M58" s="900"/>
      <c r="N58" s="900"/>
      <c r="O58" s="900"/>
      <c r="P58" s="900"/>
      <c r="Q58" s="920"/>
      <c r="R58" s="920"/>
      <c r="S58" s="920"/>
      <c r="T58" s="920"/>
      <c r="U58" s="920"/>
      <c r="V58" s="920"/>
    </row>
    <row r="59" spans="1:22">
      <c r="A59" s="934" t="s">
        <v>1012</v>
      </c>
      <c r="B59" s="935"/>
      <c r="C59" s="920" t="s">
        <v>981</v>
      </c>
      <c r="D59" s="930">
        <v>0</v>
      </c>
      <c r="E59" s="930"/>
      <c r="F59" s="922"/>
      <c r="G59" s="923"/>
      <c r="H59" s="930"/>
      <c r="I59" s="925"/>
      <c r="J59" s="1017">
        <f>IF(E$11&lt;&gt;"",IF(OR(B$11="No Filing Date","Enter Filing Date",E$11&lt;D$11),"Error in Filing Date",IF('R8a - Tax Reconciliation'!B$11="Original Filing",D59-H59,E59-H59)),IF(OR(B$11="No Filing Date","Enter Filing Date"),"Error in Filing Date",IF('R8a - Tax Reconciliation'!B$11="Original Filing",D59-H59,E59-H59)))</f>
        <v>0</v>
      </c>
      <c r="K59" s="932" t="str">
        <f>IF(OR(J59&gt;=Data!$C$10,J59&lt;=-Data!$C$10), "Material", "Immaterial")</f>
        <v>Immaterial</v>
      </c>
      <c r="L59" s="1289">
        <v>0</v>
      </c>
      <c r="N59" s="900"/>
    </row>
    <row r="60" spans="1:22" ht="15.65" customHeight="1">
      <c r="A60" s="934" t="s">
        <v>1013</v>
      </c>
      <c r="B60" s="935"/>
      <c r="C60" s="920" t="s">
        <v>981</v>
      </c>
      <c r="D60" s="930">
        <v>-2.683964</v>
      </c>
      <c r="E60" s="930"/>
      <c r="F60" s="922"/>
      <c r="G60" s="923"/>
      <c r="H60" s="930"/>
      <c r="I60" s="925"/>
      <c r="J60" s="1017">
        <f>IF(E$11&lt;&gt;"",IF(OR(B$11="No Filing Date","Enter Filing Date",E$11&lt;D$11),"Error in Filing Date",IF('R8a - Tax Reconciliation'!B$11="Original Filing",D60-H60,E60-H60)),IF(OR(B$11="No Filing Date","Enter Filing Date"),"Error in Filing Date",IF('R8a - Tax Reconciliation'!B$11="Original Filing",D60-H60,E60-H60)))</f>
        <v>-2.683964</v>
      </c>
      <c r="K60" s="932" t="str">
        <f>IF(OR(J60&gt;=Data!$C$10,J60&lt;=-Data!$C$10), "Material", "Immaterial")</f>
        <v>Immaterial</v>
      </c>
      <c r="L60" s="1289">
        <v>0</v>
      </c>
      <c r="N60" s="900"/>
    </row>
    <row r="61" spans="1:22" ht="95.15" customHeight="1">
      <c r="A61" s="934" t="s">
        <v>1172</v>
      </c>
      <c r="B61" s="935"/>
      <c r="C61" s="920" t="s">
        <v>981</v>
      </c>
      <c r="D61" s="930">
        <v>-8.1311440000000008</v>
      </c>
      <c r="E61" s="930"/>
      <c r="F61" s="922"/>
      <c r="G61" s="923"/>
      <c r="H61" s="930"/>
      <c r="I61" s="925"/>
      <c r="J61" s="1017">
        <f>IF(E$11&lt;&gt;"",IF(OR(B$11="No Filing Date","Enter Filing Date",E$11&lt;D$11),"Error in Filing Date",IF('R8a - Tax Reconciliation'!B$11="Original Filing",D61-H61,E61-H61)),IF(OR(B$11="No Filing Date","Enter Filing Date"),"Error in Filing Date",IF('R8a - Tax Reconciliation'!B$11="Original Filing",D61-H61,E61-H61)))</f>
        <v>-8.1311440000000008</v>
      </c>
      <c r="K61" s="932"/>
      <c r="L61" s="963" t="s">
        <v>1170</v>
      </c>
      <c r="N61" s="900"/>
    </row>
    <row r="62" spans="1:22" ht="15.65" customHeight="1">
      <c r="A62" s="934" t="s">
        <v>1173</v>
      </c>
      <c r="B62" s="935"/>
      <c r="C62" s="920" t="s">
        <v>981</v>
      </c>
      <c r="D62" s="930">
        <v>-3.1049520000000008</v>
      </c>
      <c r="E62" s="930"/>
      <c r="F62" s="922"/>
      <c r="G62" s="923"/>
      <c r="H62" s="930"/>
      <c r="I62" s="925"/>
      <c r="J62" s="1017">
        <f>IF(E$11&lt;&gt;"",IF(OR(B$11="No Filing Date","Enter Filing Date",E$11&lt;D$11),"Error in Filing Date",IF('R8a - Tax Reconciliation'!B$11="Original Filing",D62-H62,E62-H62)),IF(OR(B$11="No Filing Date","Enter Filing Date"),"Error in Filing Date",IF('R8a - Tax Reconciliation'!B$11="Original Filing",D62-H62,E62-H62)))</f>
        <v>-3.1049520000000008</v>
      </c>
      <c r="K62" s="932"/>
      <c r="L62" s="1289">
        <v>0</v>
      </c>
      <c r="N62" s="900"/>
    </row>
    <row r="63" spans="1:22" ht="102" customHeight="1">
      <c r="A63" s="934" t="s">
        <v>1174</v>
      </c>
      <c r="B63" s="935"/>
      <c r="C63" s="920" t="s">
        <v>981</v>
      </c>
      <c r="D63" s="930">
        <v>-10.6</v>
      </c>
      <c r="E63" s="930"/>
      <c r="F63" s="922"/>
      <c r="G63" s="923"/>
      <c r="H63" s="930"/>
      <c r="I63" s="925"/>
      <c r="J63" s="1017">
        <f>IF(E$11&lt;&gt;"",IF(OR(B$11="No Filing Date","Enter Filing Date",E$11&lt;D$11),"Error in Filing Date",IF('R8a - Tax Reconciliation'!B$11="Original Filing",D63-H63,E63-H63)),IF(OR(B$11="No Filing Date","Enter Filing Date"),"Error in Filing Date",IF('R8a - Tax Reconciliation'!B$11="Original Filing",D63-H63,E63-H63)))</f>
        <v>-10.6</v>
      </c>
      <c r="K63" s="932"/>
      <c r="L63" s="963" t="s">
        <v>1171</v>
      </c>
      <c r="N63" s="900"/>
    </row>
    <row r="64" spans="1:22" ht="15.65" customHeight="1">
      <c r="A64" s="934" t="s">
        <v>1175</v>
      </c>
      <c r="B64" s="935"/>
      <c r="C64" s="920" t="s">
        <v>981</v>
      </c>
      <c r="D64" s="930">
        <v>1.0485709999999999</v>
      </c>
      <c r="E64" s="930"/>
      <c r="F64" s="922"/>
      <c r="G64" s="923"/>
      <c r="H64" s="930"/>
      <c r="I64" s="925"/>
      <c r="J64" s="1017">
        <f>IF(E$11&lt;&gt;"",IF(OR(B$11="No Filing Date","Enter Filing Date",E$11&lt;D$11),"Error in Filing Date",IF('R8a - Tax Reconciliation'!B$11="Original Filing",D64-H64,E64-H64)),IF(OR(B$11="No Filing Date","Enter Filing Date"),"Error in Filing Date",IF('R8a - Tax Reconciliation'!B$11="Original Filing",D64-H64,E64-H64)))</f>
        <v>1.0485709999999999</v>
      </c>
      <c r="K64" s="932"/>
      <c r="L64" s="1289">
        <v>0</v>
      </c>
      <c r="N64" s="900"/>
    </row>
    <row r="65" spans="1:16" ht="15.65" customHeight="1">
      <c r="A65" s="934" t="s">
        <v>1176</v>
      </c>
      <c r="B65" s="935"/>
      <c r="C65" s="920" t="s">
        <v>981</v>
      </c>
      <c r="D65" s="930">
        <v>2.4053049999999998</v>
      </c>
      <c r="E65" s="930"/>
      <c r="F65" s="922"/>
      <c r="G65" s="923"/>
      <c r="H65" s="930"/>
      <c r="I65" s="925"/>
      <c r="J65" s="1017">
        <f>IF(E$11&lt;&gt;"",IF(OR(B$11="No Filing Date","Enter Filing Date",E$11&lt;D$11),"Error in Filing Date",IF('R8a - Tax Reconciliation'!B$11="Original Filing",D65-H65,E65-H65)),IF(OR(B$11="No Filing Date","Enter Filing Date"),"Error in Filing Date",IF('R8a - Tax Reconciliation'!B$11="Original Filing",D65-H65,E65-H65)))</f>
        <v>2.4053049999999998</v>
      </c>
      <c r="K65" s="932"/>
      <c r="L65" s="1289">
        <v>0</v>
      </c>
      <c r="N65" s="900"/>
    </row>
    <row r="66" spans="1:16" ht="15.65" customHeight="1">
      <c r="A66" s="934" t="s">
        <v>1177</v>
      </c>
      <c r="B66" s="935"/>
      <c r="C66" s="920" t="s">
        <v>981</v>
      </c>
      <c r="D66" s="930">
        <v>-0.352549</v>
      </c>
      <c r="E66" s="930"/>
      <c r="F66" s="922"/>
      <c r="G66" s="923"/>
      <c r="H66" s="930"/>
      <c r="I66" s="925"/>
      <c r="J66" s="1017">
        <f>IF(E$11&lt;&gt;"",IF(OR(B$11="No Filing Date","Enter Filing Date",E$11&lt;D$11),"Error in Filing Date",IF('R8a - Tax Reconciliation'!B$11="Original Filing",D66-H66,E66-H66)),IF(OR(B$11="No Filing Date","Enter Filing Date"),"Error in Filing Date",IF('R8a - Tax Reconciliation'!B$11="Original Filing",D66-H66,E66-H66)))</f>
        <v>-0.352549</v>
      </c>
      <c r="K66" s="932"/>
      <c r="L66" s="1289">
        <v>0</v>
      </c>
      <c r="N66" s="900"/>
    </row>
    <row r="67" spans="1:16">
      <c r="A67" s="934" t="s">
        <v>1178</v>
      </c>
      <c r="B67" s="965"/>
      <c r="C67" s="920" t="s">
        <v>981</v>
      </c>
      <c r="D67" s="930">
        <v>-0.163632</v>
      </c>
      <c r="E67" s="930"/>
      <c r="F67" s="925"/>
      <c r="G67" s="923"/>
      <c r="H67" s="930"/>
      <c r="I67" s="925"/>
      <c r="J67" s="1017">
        <f>IF(E$11&lt;&gt;"",IF(OR(B$11="No Filing Date","Enter Filing Date",E$11&lt;D$11),"Error in Filing Date",IF('R8a - Tax Reconciliation'!B$11="Original Filing",D67-H67,E67-H67)),IF(OR(B$11="No Filing Date","Enter Filing Date"),"Error in Filing Date",IF('R8a - Tax Reconciliation'!B$11="Original Filing",D67-H67,E67-H67)))</f>
        <v>-0.163632</v>
      </c>
      <c r="K67" s="932" t="str">
        <f>IF(OR(J67&gt;=Data!$C$10,J67&lt;=-Data!$C$10), "Material", "Immaterial")</f>
        <v>Immaterial</v>
      </c>
      <c r="L67" s="1289">
        <v>0</v>
      </c>
      <c r="N67" s="900"/>
    </row>
    <row r="68" spans="1:16">
      <c r="A68" s="934" t="s">
        <v>993</v>
      </c>
      <c r="B68" s="965"/>
      <c r="C68" s="920"/>
      <c r="D68" s="1296"/>
      <c r="E68" s="1296"/>
      <c r="F68" s="925"/>
      <c r="G68" s="923"/>
      <c r="H68" s="1296"/>
      <c r="I68" s="925"/>
      <c r="J68" s="1292"/>
      <c r="K68" s="932"/>
      <c r="L68" s="938"/>
      <c r="N68" s="900"/>
    </row>
    <row r="69" spans="1:16">
      <c r="A69" s="952"/>
      <c r="B69" s="954"/>
      <c r="D69" s="949"/>
      <c r="E69" s="949"/>
      <c r="F69" s="949"/>
      <c r="G69" s="950"/>
      <c r="H69" s="949"/>
      <c r="I69" s="949"/>
      <c r="J69" s="949"/>
      <c r="K69" s="950"/>
      <c r="L69" s="951"/>
      <c r="M69" s="938"/>
      <c r="N69" s="938"/>
      <c r="O69" s="938"/>
      <c r="P69" s="938"/>
    </row>
    <row r="70" spans="1:16">
      <c r="A70" s="969" t="s">
        <v>1014</v>
      </c>
      <c r="B70" s="954"/>
      <c r="D70" s="949"/>
      <c r="E70" s="949"/>
      <c r="F70" s="949"/>
      <c r="G70" s="950"/>
      <c r="H70" s="949"/>
      <c r="I70" s="949"/>
      <c r="J70" s="949"/>
      <c r="K70" s="950"/>
      <c r="L70" s="951"/>
      <c r="N70" s="900"/>
    </row>
    <row r="71" spans="1:16" ht="43.5">
      <c r="A71" s="968" t="s">
        <v>1015</v>
      </c>
      <c r="B71" s="965"/>
      <c r="C71" s="920" t="s">
        <v>981</v>
      </c>
      <c r="D71" s="930">
        <v>-102.5</v>
      </c>
      <c r="E71" s="930"/>
      <c r="F71" s="925"/>
      <c r="G71" s="923" t="str">
        <f t="shared" ref="G71:G73" si="3">IF($B$4="ESO2", $B$4&amp; " " &amp;"PCFM - see Tax Allowance in 'System Operator' worksheet",  $B$4&amp; " " &amp;"PCFM - see Tax Allowance in 'Finance &amp;Tax' worksheet")</f>
        <v>GD2 PCFM - see Tax Allowance in 'Finance &amp;Tax' worksheet</v>
      </c>
      <c r="H71" s="931">
        <v>0</v>
      </c>
      <c r="I71" s="967"/>
      <c r="J71" s="1017">
        <f>IF(E$11&lt;&gt;"",IF(OR(B$11="No Filing Date","Enter Filing Date",E$11&lt;D$11),"Error in Filing Date",IF('R8a - Tax Reconciliation'!B$11="Original Filing",D71-H71,E71-H71)),IF(OR(B$11="No Filing Date","Enter Filing Date"),"Error in Filing Date",IF('R8a - Tax Reconciliation'!B$11="Original Filing",D71-H71,E71-H71)))</f>
        <v>-102.5</v>
      </c>
      <c r="K71" s="932" t="str">
        <f>IF(OR(J71&gt;=Data!$C$10,J71&lt;=-Data!$C$10), "Material", "Immaterial")</f>
        <v>Material</v>
      </c>
      <c r="L71" s="963" t="s">
        <v>1179</v>
      </c>
      <c r="M71" s="938"/>
      <c r="N71" s="938"/>
      <c r="O71" s="938"/>
      <c r="P71" s="938"/>
    </row>
    <row r="72" spans="1:16" ht="29">
      <c r="A72" s="968" t="s">
        <v>1016</v>
      </c>
      <c r="B72" s="965"/>
      <c r="C72" s="920" t="s">
        <v>981</v>
      </c>
      <c r="D72" s="930">
        <v>-138.9</v>
      </c>
      <c r="E72" s="930"/>
      <c r="F72" s="925"/>
      <c r="G72" s="923" t="str">
        <f t="shared" si="3"/>
        <v>GD2 PCFM - see Tax Allowance in 'Finance &amp;Tax' worksheet</v>
      </c>
      <c r="H72" s="931">
        <v>-14.8</v>
      </c>
      <c r="I72" s="967"/>
      <c r="J72" s="1017">
        <f>IF(E$11&lt;&gt;"",IF(OR(B$11="No Filing Date","Enter Filing Date",E$11&lt;D$11),"Error in Filing Date",IF('R8a - Tax Reconciliation'!B$11="Original Filing",D72-H72,E72-H72)),IF(OR(B$11="No Filing Date","Enter Filing Date"),"Error in Filing Date",IF('R8a - Tax Reconciliation'!B$11="Original Filing",D72-H72,E72-H72)))</f>
        <v>-124.10000000000001</v>
      </c>
      <c r="K72" s="932" t="str">
        <f>IF(OR(J72&gt;=Data!$C$10,J72&lt;=-Data!$C$10), "Material", "Immaterial")</f>
        <v>Material</v>
      </c>
      <c r="L72" s="963" t="s">
        <v>1180</v>
      </c>
      <c r="M72" s="938"/>
      <c r="N72" s="938"/>
      <c r="O72" s="938"/>
      <c r="P72" s="938"/>
    </row>
    <row r="73" spans="1:16">
      <c r="A73" s="968" t="s">
        <v>1017</v>
      </c>
      <c r="B73" s="965"/>
      <c r="C73" s="920" t="s">
        <v>981</v>
      </c>
      <c r="D73" s="930">
        <v>-8.9446999999999999E-2</v>
      </c>
      <c r="E73" s="930"/>
      <c r="F73" s="925"/>
      <c r="G73" s="923" t="str">
        <f t="shared" si="3"/>
        <v>GD2 PCFM - see Tax Allowance in 'Finance &amp;Tax' worksheet</v>
      </c>
      <c r="H73" s="931">
        <v>-15.3</v>
      </c>
      <c r="I73" s="967"/>
      <c r="J73" s="1017">
        <f>IF(E$11&lt;&gt;"",IF(OR(B$11="No Filing Date","Enter Filing Date",E$11&lt;D$11),"Error in Filing Date",IF('R8a - Tax Reconciliation'!B$11="Original Filing",D73-H73,E73-H73)),IF(OR(B$11="No Filing Date","Enter Filing Date"),"Error in Filing Date",IF('R8a - Tax Reconciliation'!B$11="Original Filing",D73-H73,E73-H73)))</f>
        <v>15.210553000000001</v>
      </c>
      <c r="K73" s="932" t="str">
        <f>IF(OR(J73&gt;=Data!$C$10,J73&lt;=-Data!$C$10), "Material", "Immaterial")</f>
        <v>Material</v>
      </c>
      <c r="L73" s="963">
        <v>0</v>
      </c>
      <c r="M73" s="938"/>
      <c r="N73" s="938"/>
      <c r="O73" s="938"/>
      <c r="P73" s="938"/>
    </row>
    <row r="74" spans="1:16">
      <c r="A74" s="968" t="s">
        <v>1018</v>
      </c>
      <c r="B74" s="965"/>
      <c r="C74" s="920" t="s">
        <v>981</v>
      </c>
      <c r="D74" s="930">
        <v>0</v>
      </c>
      <c r="E74" s="930"/>
      <c r="F74" s="925"/>
      <c r="G74" s="923"/>
      <c r="H74" s="930"/>
      <c r="I74" s="925"/>
      <c r="J74" s="1017">
        <f>IF(E$11&lt;&gt;"",IF(OR(B$11="No Filing Date","Enter Filing Date",E$11&lt;D$11),"Error in Filing Date",IF('R8a - Tax Reconciliation'!B$11="Original Filing",D74-H74,E74-H74)),IF(OR(B$11="No Filing Date","Enter Filing Date"),"Error in Filing Date",IF('R8a - Tax Reconciliation'!B$11="Original Filing",D74-H74,E74-H74)))</f>
        <v>0</v>
      </c>
      <c r="K74" s="932" t="str">
        <f>IF(OR(J74&gt;=Data!$C$10,J74&lt;=-Data!$C$10), "Material", "Immaterial")</f>
        <v>Immaterial</v>
      </c>
      <c r="L74" s="963">
        <v>0</v>
      </c>
      <c r="M74" s="938"/>
      <c r="N74" s="938"/>
      <c r="O74" s="938"/>
      <c r="P74" s="938"/>
    </row>
    <row r="75" spans="1:16" s="920" customFormat="1" ht="29">
      <c r="A75" s="968" t="s">
        <v>1019</v>
      </c>
      <c r="B75" s="965"/>
      <c r="C75" s="920" t="s">
        <v>981</v>
      </c>
      <c r="D75" s="930">
        <v>-16.7</v>
      </c>
      <c r="E75" s="930"/>
      <c r="F75" s="925"/>
      <c r="G75" s="923"/>
      <c r="H75" s="930"/>
      <c r="I75" s="925"/>
      <c r="J75" s="1017">
        <f>IF(E$11&lt;&gt;"",IF(OR(B$11="No Filing Date","Enter Filing Date",E$11&lt;D$11),"Error in Filing Date",IF('R8a - Tax Reconciliation'!B$11="Original Filing",D75-H75,E75-H75)),IF(OR(B$11="No Filing Date","Enter Filing Date"),"Error in Filing Date",IF('R8a - Tax Reconciliation'!B$11="Original Filing",D75-H75,E75-H75)))</f>
        <v>-16.7</v>
      </c>
      <c r="K75" s="932" t="str">
        <f>IF(OR(J75&gt;=Data!$C$10,J75&lt;=-Data!$C$10), "Material", "Immaterial")</f>
        <v>Material</v>
      </c>
      <c r="L75" s="963" t="s">
        <v>1181</v>
      </c>
      <c r="N75" s="938"/>
    </row>
    <row r="76" spans="1:16">
      <c r="A76" s="968" t="s">
        <v>1020</v>
      </c>
      <c r="B76" s="965"/>
      <c r="C76" s="920" t="s">
        <v>981</v>
      </c>
      <c r="D76" s="930">
        <v>0</v>
      </c>
      <c r="E76" s="930"/>
      <c r="F76" s="925"/>
      <c r="G76" s="923"/>
      <c r="H76" s="930"/>
      <c r="I76" s="925"/>
      <c r="J76" s="1017">
        <f>IF(E$11&lt;&gt;"",IF(OR(B$11="No Filing Date","Enter Filing Date",E$11&lt;D$11),"Error in Filing Date",IF('R8a - Tax Reconciliation'!B$11="Original Filing",D76-H76,E76-H76)),IF(OR(B$11="No Filing Date","Enter Filing Date"),"Error in Filing Date",IF('R8a - Tax Reconciliation'!B$11="Original Filing",D76-H76,E76-H76)))</f>
        <v>0</v>
      </c>
      <c r="K76" s="932" t="str">
        <f>IF(OR(J76&gt;=Data!$C$10,J76&lt;=-Data!$C$10), "Material", "Immaterial")</f>
        <v>Immaterial</v>
      </c>
      <c r="L76" s="963">
        <v>0</v>
      </c>
      <c r="M76" s="938"/>
      <c r="N76" s="938"/>
      <c r="O76" s="938"/>
      <c r="P76" s="938"/>
    </row>
    <row r="77" spans="1:16">
      <c r="A77" s="968" t="s">
        <v>1184</v>
      </c>
      <c r="B77" s="965"/>
      <c r="C77" s="920" t="s">
        <v>981</v>
      </c>
      <c r="D77" s="930">
        <v>-1</v>
      </c>
      <c r="E77" s="930"/>
      <c r="F77" s="925"/>
      <c r="G77" s="923"/>
      <c r="H77" s="930"/>
      <c r="I77" s="925"/>
      <c r="J77" s="1017">
        <f>IF(E$11&lt;&gt;"",IF(OR(B$11="No Filing Date","Enter Filing Date",E$11&lt;D$11),"Error in Filing Date",IF('R8a - Tax Reconciliation'!B$11="Original Filing",D77-H77,E77-H77)),IF(OR(B$11="No Filing Date","Enter Filing Date"),"Error in Filing Date",IF('R8a - Tax Reconciliation'!B$11="Original Filing",D77-H77,E77-H77)))</f>
        <v>-1</v>
      </c>
      <c r="K77" s="932" t="str">
        <f>IF(OR(J77&gt;=Data!$C$10,J77&lt;=-Data!$C$10), "Material", "Immaterial")</f>
        <v>Immaterial</v>
      </c>
      <c r="L77" s="963">
        <v>0</v>
      </c>
      <c r="M77" s="938"/>
      <c r="N77" s="938"/>
      <c r="O77" s="938"/>
      <c r="P77" s="938"/>
    </row>
    <row r="78" spans="1:16">
      <c r="A78" s="968" t="s">
        <v>993</v>
      </c>
      <c r="B78" s="965"/>
      <c r="C78" s="920" t="s">
        <v>981</v>
      </c>
      <c r="D78" s="930">
        <v>0</v>
      </c>
      <c r="E78" s="930"/>
      <c r="F78" s="925"/>
      <c r="G78" s="923"/>
      <c r="H78" s="930"/>
      <c r="I78" s="925"/>
      <c r="J78" s="1017">
        <f>IF(E$11&lt;&gt;"",IF(OR(B$11="No Filing Date","Enter Filing Date",E$11&lt;D$11),"Error in Filing Date",IF('R8a - Tax Reconciliation'!B$11="Original Filing",D78-H78,E78-H78)),IF(OR(B$11="No Filing Date","Enter Filing Date"),"Error in Filing Date",IF('R8a - Tax Reconciliation'!B$11="Original Filing",D78-H78,E78-H78)))</f>
        <v>0</v>
      </c>
      <c r="K78" s="932" t="str">
        <f>IF(OR(J78&gt;=Data!$C$10,J78&lt;=-Data!$C$10), "Material", "Immaterial")</f>
        <v>Immaterial</v>
      </c>
      <c r="L78" s="963">
        <v>0</v>
      </c>
      <c r="M78" s="938"/>
      <c r="N78" s="938"/>
      <c r="O78" s="938"/>
      <c r="P78" s="938"/>
    </row>
    <row r="79" spans="1:16">
      <c r="A79" s="968"/>
      <c r="B79" s="965"/>
      <c r="C79" s="920" t="s">
        <v>981</v>
      </c>
      <c r="D79" s="930">
        <v>0</v>
      </c>
      <c r="E79" s="930"/>
      <c r="F79" s="925"/>
      <c r="G79" s="923"/>
      <c r="H79" s="930"/>
      <c r="I79" s="925"/>
      <c r="J79" s="1017">
        <f>IF(E$11&lt;&gt;"",IF(OR(B$11="No Filing Date","Enter Filing Date",E$11&lt;D$11),"Error in Filing Date",IF('R8a - Tax Reconciliation'!B$11="Original Filing",D79-H79,E79-H79)),IF(OR(B$11="No Filing Date","Enter Filing Date"),"Error in Filing Date",IF('R8a - Tax Reconciliation'!B$11="Original Filing",D79-H79,E79-H79)))</f>
        <v>0</v>
      </c>
      <c r="K79" s="932" t="str">
        <f>IF(OR(J79&gt;=Data!$C$10,J79&lt;=-Data!$C$10), "Material", "Immaterial")</f>
        <v>Immaterial</v>
      </c>
      <c r="L79" s="963">
        <v>0</v>
      </c>
      <c r="M79" s="938"/>
      <c r="N79" s="938"/>
      <c r="O79" s="938"/>
      <c r="P79" s="938"/>
    </row>
    <row r="80" spans="1:16" s="920" customFormat="1">
      <c r="A80" s="1404" t="s">
        <v>1021</v>
      </c>
      <c r="B80" s="1405"/>
      <c r="C80" s="898"/>
      <c r="D80" s="930">
        <v>0</v>
      </c>
      <c r="E80" s="930"/>
      <c r="F80" s="949"/>
      <c r="G80" s="950"/>
      <c r="H80" s="949"/>
      <c r="I80" s="949"/>
      <c r="J80" s="1017">
        <f>IF(E$11&lt;&gt;"",IF(OR(B$11="No Filing Date","Enter Filing Date",E$11&lt;D$11),"Error in Filing Date",IF('R8a - Tax Reconciliation'!B$11="Original Filing",D80-H80,E80-H80)),IF(OR(B$11="No Filing Date","Enter Filing Date"),"Error in Filing Date",IF('R8a - Tax Reconciliation'!B$11="Original Filing",D80-H80,E80-H80)))</f>
        <v>0</v>
      </c>
      <c r="K80" s="932" t="str">
        <f>IF(OR(J80&gt;=Data!$C$10,J80&lt;=-Data!$C$10), "Material", "Immaterial")</f>
        <v>Immaterial</v>
      </c>
      <c r="L80" s="963">
        <v>0</v>
      </c>
      <c r="N80" s="938"/>
    </row>
    <row r="81" spans="1:17">
      <c r="A81" s="970" t="s">
        <v>1022</v>
      </c>
      <c r="B81" s="971"/>
      <c r="C81" s="920" t="s">
        <v>981</v>
      </c>
      <c r="D81" s="930">
        <v>0</v>
      </c>
      <c r="E81" s="930"/>
      <c r="F81" s="922"/>
      <c r="G81" s="923"/>
      <c r="H81" s="930"/>
      <c r="I81" s="925"/>
      <c r="J81" s="1017">
        <f>IF(E$11&lt;&gt;"",IF(OR(B$11="No Filing Date","Enter Filing Date",E$11&lt;D$11),"Error in Filing Date",IF('R8a - Tax Reconciliation'!B$11="Original Filing",D81-H81,E81-H81)),IF(OR(B$11="No Filing Date","Enter Filing Date"),"Error in Filing Date",IF('R8a - Tax Reconciliation'!B$11="Original Filing",D81-H81,E81-H81)))</f>
        <v>0</v>
      </c>
      <c r="K81" s="932" t="str">
        <f>IF(OR(J81&gt;=Data!$C$10,J81&lt;=-Data!$C$10), "Material", "Immaterial")</f>
        <v>Immaterial</v>
      </c>
      <c r="L81" s="963">
        <v>0</v>
      </c>
      <c r="M81" s="938"/>
      <c r="N81" s="938"/>
      <c r="O81" s="938"/>
      <c r="P81" s="938"/>
    </row>
    <row r="82" spans="1:17" ht="29">
      <c r="A82" s="970" t="s">
        <v>1023</v>
      </c>
      <c r="B82" s="971"/>
      <c r="C82" s="920" t="s">
        <v>981</v>
      </c>
      <c r="D82" s="930">
        <v>-158.10355799999999</v>
      </c>
      <c r="E82" s="930"/>
      <c r="F82" s="922"/>
      <c r="G82" s="923"/>
      <c r="H82" s="930"/>
      <c r="I82" s="925"/>
      <c r="J82" s="1017">
        <f>IF(E$11&lt;&gt;"",IF(OR(B$11="No Filing Date","Enter Filing Date",E$11&lt;D$11),"Error in Filing Date",IF('R8a - Tax Reconciliation'!B$11="Original Filing",D82-H82,E82-H82)),IF(OR(B$11="No Filing Date","Enter Filing Date"),"Error in Filing Date",IF('R8a - Tax Reconciliation'!B$11="Original Filing",D82-H82,E82-H82)))</f>
        <v>-158.10355799999999</v>
      </c>
      <c r="K82" s="932" t="str">
        <f>IF(OR(J82&gt;=Data!$C$10,J82&lt;=-Data!$C$10), "Material", "Immaterial")</f>
        <v>Material</v>
      </c>
      <c r="L82" s="963" t="s">
        <v>1182</v>
      </c>
      <c r="M82" s="938"/>
      <c r="N82" s="938"/>
      <c r="O82" s="938"/>
      <c r="P82" s="938"/>
    </row>
    <row r="83" spans="1:17">
      <c r="A83" s="1290" t="s">
        <v>1024</v>
      </c>
      <c r="B83" s="935"/>
      <c r="C83" s="920" t="s">
        <v>981</v>
      </c>
      <c r="D83" s="930">
        <v>-1.6142559999999999</v>
      </c>
      <c r="E83" s="930"/>
      <c r="F83" s="922"/>
      <c r="G83" s="923"/>
      <c r="H83" s="930"/>
      <c r="I83" s="925"/>
      <c r="J83" s="1017">
        <f>IF(E$11&lt;&gt;"",IF(OR(B$11="No Filing Date","Enter Filing Date",E$11&lt;D$11),"Error in Filing Date",IF('R8a - Tax Reconciliation'!B$11="Original Filing",D83-H83,E83-H83)),IF(OR(B$11="No Filing Date","Enter Filing Date"),"Error in Filing Date",IF('R8a - Tax Reconciliation'!B$11="Original Filing",D83-H83,E83-H83)))</f>
        <v>-1.6142559999999999</v>
      </c>
      <c r="K83" s="932" t="str">
        <f>IF(OR(J83&gt;=Data!$C$10,J83&lt;=-Data!$C$10), "Material", "Immaterial")</f>
        <v>Immaterial</v>
      </c>
      <c r="L83" s="963" t="s">
        <v>1183</v>
      </c>
      <c r="M83" s="938"/>
      <c r="N83" s="938"/>
      <c r="O83" s="938"/>
      <c r="P83" s="938"/>
    </row>
    <row r="84" spans="1:17">
      <c r="A84" s="1290" t="s">
        <v>1025</v>
      </c>
      <c r="B84" s="935"/>
      <c r="C84" s="920" t="s">
        <v>981</v>
      </c>
      <c r="D84" s="930">
        <v>0</v>
      </c>
      <c r="E84" s="930"/>
      <c r="F84" s="922"/>
      <c r="G84" s="923"/>
      <c r="H84" s="930"/>
      <c r="I84" s="925"/>
      <c r="J84" s="1017">
        <f>IF(E$11&lt;&gt;"",IF(OR(B$11="No Filing Date","Enter Filing Date",E$11&lt;D$11),"Error in Filing Date",IF('R8a - Tax Reconciliation'!B$11="Original Filing",D84-H84,E84-H84)),IF(OR(B$11="No Filing Date","Enter Filing Date"),"Error in Filing Date",IF('R8a - Tax Reconciliation'!B$11="Original Filing",D84-H84,E84-H84)))</f>
        <v>0</v>
      </c>
      <c r="K84" s="932" t="str">
        <f>IF(OR(J84&gt;=Data!$C$10,J84&lt;=-Data!$C$10), "Material", "Immaterial")</f>
        <v>Immaterial</v>
      </c>
      <c r="L84" s="963">
        <v>0</v>
      </c>
      <c r="M84" s="938"/>
      <c r="N84" s="938"/>
      <c r="O84" s="938"/>
      <c r="P84" s="938"/>
    </row>
    <row r="85" spans="1:17">
      <c r="A85" s="1290" t="s">
        <v>1026</v>
      </c>
      <c r="B85" s="935"/>
      <c r="C85" s="920" t="s">
        <v>981</v>
      </c>
      <c r="D85" s="930">
        <v>0</v>
      </c>
      <c r="E85" s="930"/>
      <c r="F85" s="922"/>
      <c r="G85" s="923"/>
      <c r="H85" s="930"/>
      <c r="I85" s="925"/>
      <c r="J85" s="1017">
        <f>IF(E$11&lt;&gt;"",IF(OR(B$11="No Filing Date","Enter Filing Date",E$11&lt;D$11),"Error in Filing Date",IF('R8a - Tax Reconciliation'!B$11="Original Filing",D85-H85,E85-H85)),IF(OR(B$11="No Filing Date","Enter Filing Date"),"Error in Filing Date",IF('R8a - Tax Reconciliation'!B$11="Original Filing",D85-H85,E85-H85)))</f>
        <v>0</v>
      </c>
      <c r="K85" s="932" t="str">
        <f>IF(OR(J85&gt;=Data!$C$10,J85&lt;=-Data!$C$10), "Material", "Immaterial")</f>
        <v>Immaterial</v>
      </c>
      <c r="L85" s="963">
        <v>0</v>
      </c>
      <c r="M85" s="920"/>
      <c r="N85" s="938"/>
      <c r="O85" s="920"/>
      <c r="P85" s="920"/>
      <c r="Q85" s="920"/>
    </row>
    <row r="86" spans="1:17">
      <c r="A86" s="1290" t="s">
        <v>1027</v>
      </c>
      <c r="B86" s="935"/>
      <c r="C86" s="920" t="s">
        <v>981</v>
      </c>
      <c r="D86" s="930">
        <v>0</v>
      </c>
      <c r="E86" s="930"/>
      <c r="F86" s="922"/>
      <c r="G86" s="923"/>
      <c r="H86" s="930"/>
      <c r="I86" s="925"/>
      <c r="J86" s="1017">
        <f>IF(E$11&lt;&gt;"",IF(OR(B$11="No Filing Date","Enter Filing Date",E$11&lt;D$11),"Error in Filing Date",IF('R8a - Tax Reconciliation'!B$11="Original Filing",D86-H86,E86-H86)),IF(OR(B$11="No Filing Date","Enter Filing Date"),"Error in Filing Date",IF('R8a - Tax Reconciliation'!B$11="Original Filing",D86-H86,E86-H86)))</f>
        <v>0</v>
      </c>
      <c r="K86" s="932" t="str">
        <f>IF(OR(J86&gt;=Data!$C$10,J86&lt;=-Data!$C$10), "Material", "Immaterial")</f>
        <v>Immaterial</v>
      </c>
      <c r="L86" s="963">
        <v>0</v>
      </c>
      <c r="M86" s="938"/>
      <c r="N86" s="938"/>
      <c r="O86" s="938"/>
      <c r="P86" s="938"/>
    </row>
    <row r="87" spans="1:17">
      <c r="A87" s="1290" t="s">
        <v>1186</v>
      </c>
      <c r="B87" s="935"/>
      <c r="C87" s="920" t="s">
        <v>981</v>
      </c>
      <c r="D87" s="930">
        <v>0.31226900000000002</v>
      </c>
      <c r="E87" s="930"/>
      <c r="F87" s="922"/>
      <c r="G87" s="923"/>
      <c r="H87" s="930"/>
      <c r="I87" s="925"/>
      <c r="J87" s="1017">
        <f>IF(E$11&lt;&gt;"",IF(OR(B$11="No Filing Date","Enter Filing Date",E$11&lt;D$11),"Error in Filing Date",IF('R8a - Tax Reconciliation'!B$11="Original Filing",D87-H87,E87-H87)),IF(OR(B$11="No Filing Date","Enter Filing Date"),"Error in Filing Date",IF('R8a - Tax Reconciliation'!B$11="Original Filing",D87-H87,E87-H87)))</f>
        <v>0.31226900000000002</v>
      </c>
      <c r="K87" s="932"/>
      <c r="L87" s="963">
        <v>0</v>
      </c>
      <c r="M87" s="938"/>
      <c r="N87" s="938"/>
      <c r="O87" s="938"/>
      <c r="P87" s="938"/>
    </row>
    <row r="88" spans="1:17" ht="29">
      <c r="A88" s="1290" t="s">
        <v>1187</v>
      </c>
      <c r="B88" s="973"/>
      <c r="C88" s="920" t="s">
        <v>981</v>
      </c>
      <c r="D88" s="930">
        <v>-29</v>
      </c>
      <c r="E88" s="930"/>
      <c r="F88" s="922"/>
      <c r="G88" s="923"/>
      <c r="H88" s="930"/>
      <c r="I88" s="925"/>
      <c r="J88" s="1017">
        <f>IF(E$11&lt;&gt;"",IF(OR(B$11="No Filing Date","Enter Filing Date",E$11&lt;D$11),"Error in Filing Date",IF('R8a - Tax Reconciliation'!B$11="Original Filing",D88-H88,E88-H88)),IF(OR(B$11="No Filing Date","Enter Filing Date"),"Error in Filing Date",IF('R8a - Tax Reconciliation'!B$11="Original Filing",D88-H88,E88-H88)))</f>
        <v>-29</v>
      </c>
      <c r="K88" s="932" t="str">
        <f>IF(OR(J88&gt;=Data!$C$10,J88&lt;=-Data!$C$10), "Material", "Immaterial")</f>
        <v>Material</v>
      </c>
      <c r="L88" s="963" t="s">
        <v>1182</v>
      </c>
      <c r="M88" s="938"/>
      <c r="N88" s="938"/>
      <c r="O88" s="938"/>
      <c r="P88" s="938"/>
    </row>
    <row r="89" spans="1:17">
      <c r="A89" s="1290" t="s">
        <v>993</v>
      </c>
      <c r="B89" s="919"/>
      <c r="C89" s="920"/>
      <c r="D89" s="1291"/>
      <c r="E89" s="1291"/>
      <c r="F89" s="922"/>
      <c r="G89" s="923"/>
      <c r="H89" s="1291"/>
      <c r="I89" s="925"/>
      <c r="J89" s="1292"/>
      <c r="K89" s="932"/>
      <c r="L89" s="963">
        <v>0</v>
      </c>
      <c r="M89" s="938"/>
      <c r="N89" s="938"/>
      <c r="O89" s="938"/>
      <c r="P89" s="938"/>
    </row>
    <row r="90" spans="1:17">
      <c r="D90" s="974"/>
      <c r="E90" s="974"/>
      <c r="F90" s="949"/>
      <c r="G90" s="950"/>
      <c r="H90" s="974"/>
      <c r="I90" s="949"/>
      <c r="J90" s="949"/>
      <c r="K90" s="950"/>
      <c r="L90" s="963">
        <v>0</v>
      </c>
      <c r="M90" s="938"/>
      <c r="N90" s="938"/>
      <c r="O90" s="938"/>
      <c r="P90" s="938"/>
    </row>
    <row r="91" spans="1:17">
      <c r="A91" s="1408" t="s">
        <v>1028</v>
      </c>
      <c r="B91" s="1409"/>
      <c r="C91" s="965" t="s">
        <v>981</v>
      </c>
      <c r="D91" s="1011">
        <f>SUM(D44:D90)</f>
        <v>513.00799945999938</v>
      </c>
      <c r="E91" s="1011">
        <f>SUM(E44:E90)</f>
        <v>0</v>
      </c>
      <c r="F91" s="966"/>
      <c r="G91" s="945" t="s">
        <v>1029</v>
      </c>
      <c r="H91" s="1011">
        <f>SUM(H44:H90)</f>
        <v>114.53901950726159</v>
      </c>
      <c r="I91" s="967"/>
      <c r="J91" s="1011">
        <f>SUM(J44:J90)</f>
        <v>398.4689799527377</v>
      </c>
      <c r="K91" s="932" t="str">
        <f>IF(OR(J91&gt;=Data!$C$10,J91&lt;=-Data!$C$10), "Material", "Immaterial")</f>
        <v>Material</v>
      </c>
      <c r="L91" s="963">
        <v>0</v>
      </c>
      <c r="M91" s="947"/>
      <c r="N91" s="947"/>
      <c r="O91" s="947"/>
      <c r="P91" s="947"/>
    </row>
    <row r="92" spans="1:17">
      <c r="A92" s="975"/>
      <c r="B92" s="975"/>
      <c r="C92" s="920"/>
      <c r="D92" s="976"/>
      <c r="E92" s="976"/>
      <c r="F92" s="922"/>
      <c r="G92" s="922"/>
      <c r="H92" s="976"/>
      <c r="I92" s="925"/>
      <c r="J92" s="977"/>
      <c r="K92" s="932"/>
      <c r="L92" s="927"/>
      <c r="M92" s="947"/>
      <c r="N92" s="947"/>
      <c r="O92" s="947"/>
      <c r="P92" s="947"/>
    </row>
    <row r="93" spans="1:17">
      <c r="A93" s="948" t="s">
        <v>1030</v>
      </c>
      <c r="B93" s="978"/>
      <c r="C93" s="920"/>
      <c r="D93" s="922"/>
      <c r="E93" s="922"/>
      <c r="F93" s="922"/>
      <c r="G93" s="922"/>
      <c r="H93" s="922"/>
      <c r="I93" s="925"/>
      <c r="J93" s="925"/>
      <c r="K93" s="932"/>
      <c r="L93" s="927"/>
      <c r="M93" s="947"/>
      <c r="N93" s="947"/>
      <c r="O93" s="947"/>
      <c r="P93" s="947"/>
    </row>
    <row r="94" spans="1:17">
      <c r="A94" s="979"/>
      <c r="B94" s="980"/>
      <c r="C94" s="920"/>
      <c r="D94" s="922"/>
      <c r="E94" s="922"/>
      <c r="F94" s="922"/>
      <c r="G94" s="922"/>
      <c r="H94" s="922"/>
      <c r="I94" s="925"/>
      <c r="J94" s="925"/>
      <c r="K94" s="932"/>
      <c r="L94" s="927"/>
      <c r="M94" s="947"/>
      <c r="N94" s="947"/>
      <c r="O94" s="947"/>
      <c r="P94" s="947"/>
      <c r="Q94" s="920"/>
    </row>
    <row r="95" spans="1:17">
      <c r="A95" s="962" t="s">
        <v>1031</v>
      </c>
      <c r="B95" s="981"/>
      <c r="D95" s="956"/>
      <c r="E95" s="982"/>
      <c r="F95" s="956"/>
      <c r="G95" s="957"/>
      <c r="H95" s="982"/>
      <c r="I95" s="949"/>
      <c r="J95" s="949"/>
      <c r="K95" s="950"/>
      <c r="L95" s="951"/>
      <c r="M95" s="947"/>
      <c r="N95" s="947"/>
      <c r="O95" s="947"/>
      <c r="P95" s="947"/>
    </row>
    <row r="96" spans="1:17" s="920" customFormat="1">
      <c r="A96" s="934" t="s">
        <v>1032</v>
      </c>
      <c r="B96" s="980"/>
      <c r="C96" s="920" t="s">
        <v>981</v>
      </c>
      <c r="D96" s="930"/>
      <c r="E96" s="930"/>
      <c r="F96" s="922"/>
      <c r="G96" s="923" t="str">
        <f t="shared" ref="G96:G100" si="4">IF($B$4="ESO2", $B$4&amp; " " &amp;"PCFM - see Tax Allowance in 'System Operator' worksheet",  $B$4&amp; " " &amp;"PCFM - see Tax Allowance in 'Finance &amp;Tax' worksheet")</f>
        <v>GD2 PCFM - see Tax Allowance in 'Finance &amp;Tax' worksheet</v>
      </c>
      <c r="H96" s="931"/>
      <c r="I96" s="925"/>
      <c r="J96" s="1017">
        <f>IF(E$11&lt;&gt;"",IF(OR(B$11="No Filing Date","Enter Filing Date",E$11&lt;D$11),"Error in Filing Date",IF('R8a - Tax Reconciliation'!B$11="Original Filing",D96-H96,E96-H96)),IF(OR(B$11="No Filing Date","Enter Filing Date"),"Error in Filing Date",IF('R8a - Tax Reconciliation'!B$11="Original Filing",D96-H96,E96-H96)))</f>
        <v>0</v>
      </c>
      <c r="K96" s="932" t="str">
        <f>IF(OR(J96&gt;=Data!$C$10,J96&lt;=-Data!$C$10), "Material", "Immaterial")</f>
        <v>Immaterial</v>
      </c>
      <c r="L96" s="963">
        <v>0</v>
      </c>
      <c r="M96" s="947"/>
      <c r="N96" s="947"/>
      <c r="O96" s="947"/>
      <c r="P96" s="947"/>
    </row>
    <row r="97" spans="1:16" s="920" customFormat="1">
      <c r="A97" s="934" t="s">
        <v>1033</v>
      </c>
      <c r="B97" s="980"/>
      <c r="C97" s="920" t="s">
        <v>981</v>
      </c>
      <c r="D97" s="930"/>
      <c r="E97" s="930"/>
      <c r="F97" s="922"/>
      <c r="G97" s="923" t="str">
        <f t="shared" si="4"/>
        <v>GD2 PCFM - see Tax Allowance in 'Finance &amp;Tax' worksheet</v>
      </c>
      <c r="H97" s="931"/>
      <c r="I97" s="925"/>
      <c r="J97" s="1017">
        <f>IF(E$11&lt;&gt;"",IF(OR(B$11="No Filing Date","Enter Filing Date",E$11&lt;D$11),"Error in Filing Date",IF('R8a - Tax Reconciliation'!B$11="Original Filing",D97-H97,E97-H97)),IF(OR(B$11="No Filing Date","Enter Filing Date"),"Error in Filing Date",IF('R8a - Tax Reconciliation'!B$11="Original Filing",D97-H97,E97-H97)))</f>
        <v>0</v>
      </c>
      <c r="K97" s="932" t="str">
        <f>IF(OR(J97&gt;=Data!$C$10,J97&lt;=-Data!$C$10), "Material", "Immaterial")</f>
        <v>Immaterial</v>
      </c>
      <c r="L97" s="963">
        <v>0</v>
      </c>
      <c r="M97" s="947"/>
      <c r="N97" s="947"/>
      <c r="O97" s="947"/>
      <c r="P97" s="947"/>
    </row>
    <row r="98" spans="1:16" s="920" customFormat="1">
      <c r="A98" s="934" t="s">
        <v>1034</v>
      </c>
      <c r="B98" s="980"/>
      <c r="C98" s="920" t="s">
        <v>981</v>
      </c>
      <c r="D98" s="983"/>
      <c r="E98" s="983"/>
      <c r="F98" s="922"/>
      <c r="G98" s="923" t="str">
        <f t="shared" si="4"/>
        <v>GD2 PCFM - see Tax Allowance in 'Finance &amp;Tax' worksheet</v>
      </c>
      <c r="H98" s="931"/>
      <c r="I98" s="925"/>
      <c r="J98" s="1017">
        <f>IF(E$11&lt;&gt;"",IF(OR(B$11="No Filing Date","Enter Filing Date",E$11&lt;D$11),"Error in Filing Date",IF('R8a - Tax Reconciliation'!B$11="Original Filing",D98-H98,E98-H98)),IF(OR(B$11="No Filing Date","Enter Filing Date"),"Error in Filing Date",IF('R8a - Tax Reconciliation'!B$11="Original Filing",D98-H98,E98-H98)))</f>
        <v>0</v>
      </c>
      <c r="K98" s="932" t="str">
        <f>IF(OR(J98&gt;=Data!$C$10,J98&lt;=-Data!$C$10), "Material", "Immaterial")</f>
        <v>Immaterial</v>
      </c>
      <c r="L98" s="963">
        <v>0</v>
      </c>
      <c r="M98" s="947"/>
      <c r="N98" s="947"/>
      <c r="O98" s="947"/>
      <c r="P98" s="947"/>
    </row>
    <row r="99" spans="1:16" s="920" customFormat="1" ht="29">
      <c r="A99" s="934" t="s">
        <v>1035</v>
      </c>
      <c r="B99" s="980"/>
      <c r="C99" s="920" t="s">
        <v>981</v>
      </c>
      <c r="D99" s="983"/>
      <c r="E99" s="983"/>
      <c r="F99" s="922"/>
      <c r="G99" s="923" t="str">
        <f t="shared" si="4"/>
        <v>GD2 PCFM - see Tax Allowance in 'Finance &amp;Tax' worksheet</v>
      </c>
      <c r="H99" s="931"/>
      <c r="I99" s="925"/>
      <c r="J99" s="1017">
        <f>IF(E$11&lt;&gt;"",IF(OR(B$11="No Filing Date","Enter Filing Date",E$11&lt;D$11),"Error in Filing Date",IF('R8a - Tax Reconciliation'!B$11="Original Filing",D99-H99,E99-H99)),IF(OR(B$11="No Filing Date","Enter Filing Date"),"Error in Filing Date",IF('R8a - Tax Reconciliation'!B$11="Original Filing",D99-H99,E99-H99)))</f>
        <v>0</v>
      </c>
      <c r="K99" s="932" t="str">
        <f>IF(OR(J99&gt;=Data!$C$10,J99&lt;=-Data!$C$10), "Material", "Immaterial")</f>
        <v>Immaterial</v>
      </c>
      <c r="L99" s="963" t="s">
        <v>1185</v>
      </c>
      <c r="M99" s="947"/>
      <c r="N99" s="947"/>
      <c r="O99" s="947"/>
      <c r="P99" s="947"/>
    </row>
    <row r="100" spans="1:16" s="920" customFormat="1">
      <c r="A100" s="934" t="s">
        <v>1036</v>
      </c>
      <c r="B100" s="980"/>
      <c r="C100" s="920" t="s">
        <v>981</v>
      </c>
      <c r="D100" s="930"/>
      <c r="E100" s="930"/>
      <c r="F100" s="922"/>
      <c r="G100" s="923" t="str">
        <f t="shared" si="4"/>
        <v>GD2 PCFM - see Tax Allowance in 'Finance &amp;Tax' worksheet</v>
      </c>
      <c r="H100" s="931">
        <v>17.8</v>
      </c>
      <c r="I100" s="925"/>
      <c r="J100" s="1017">
        <f>IF(E$11&lt;&gt;"",IF(OR(B$11="No Filing Date","Enter Filing Date",E$11&lt;D$11),"Error in Filing Date",IF('R8a - Tax Reconciliation'!B$11="Original Filing",D100-H100,E100-H100)),IF(OR(B$11="No Filing Date","Enter Filing Date"),"Error in Filing Date",IF('R8a - Tax Reconciliation'!B$11="Original Filing",D100-H100,E100-H100)))</f>
        <v>-17.8</v>
      </c>
      <c r="K100" s="932" t="str">
        <f>IF(OR(J100&gt;=Data!$C$10,J100&lt;=-Data!$C$10), "Material", "Immaterial")</f>
        <v>Material</v>
      </c>
      <c r="L100" s="963">
        <v>0</v>
      </c>
      <c r="M100" s="947"/>
      <c r="N100" s="947"/>
      <c r="O100" s="947"/>
      <c r="P100" s="947"/>
    </row>
    <row r="101" spans="1:16" s="920" customFormat="1">
      <c r="A101" s="972" t="s">
        <v>1037</v>
      </c>
      <c r="B101" s="973"/>
      <c r="C101" s="920" t="s">
        <v>981</v>
      </c>
      <c r="D101" s="930"/>
      <c r="E101" s="930"/>
      <c r="F101" s="922"/>
      <c r="G101" s="923"/>
      <c r="H101" s="930"/>
      <c r="I101" s="925"/>
      <c r="J101" s="1017">
        <f>IF(E$11&lt;&gt;"",IF(OR(B$11="No Filing Date","Enter Filing Date",E$11&lt;D$11),"Error in Filing Date",IF('R8a - Tax Reconciliation'!B$11="Original Filing",D101-H101,E101-H101)),IF(OR(B$11="No Filing Date","Enter Filing Date"),"Error in Filing Date",IF('R8a - Tax Reconciliation'!B$11="Original Filing",D101-H101,E101-H101)))</f>
        <v>0</v>
      </c>
      <c r="K101" s="932" t="str">
        <f>IF(OR(J101&gt;=Data!$C$10,J101&lt;=-Data!$C$10), "Material", "Immaterial")</f>
        <v>Immaterial</v>
      </c>
      <c r="M101" s="947"/>
      <c r="N101" s="947"/>
      <c r="O101" s="947"/>
      <c r="P101" s="947"/>
    </row>
    <row r="102" spans="1:16" s="920" customFormat="1">
      <c r="A102" s="898"/>
      <c r="B102" s="898"/>
      <c r="C102" s="898"/>
      <c r="D102" s="974"/>
      <c r="E102" s="974"/>
      <c r="F102" s="949"/>
      <c r="G102" s="950"/>
      <c r="H102" s="974"/>
      <c r="I102" s="949"/>
      <c r="J102" s="974"/>
      <c r="K102" s="950"/>
      <c r="L102" s="963">
        <v>0</v>
      </c>
      <c r="M102" s="947"/>
      <c r="N102" s="947"/>
      <c r="O102" s="947"/>
      <c r="P102" s="947"/>
    </row>
    <row r="103" spans="1:16" s="920" customFormat="1">
      <c r="A103" s="1237" t="s">
        <v>1038</v>
      </c>
      <c r="B103" s="1236"/>
      <c r="C103" s="965" t="s">
        <v>981</v>
      </c>
      <c r="D103" s="1010">
        <f>MAX(D91-D100,0)</f>
        <v>513.00799945999938</v>
      </c>
      <c r="E103" s="1010">
        <f>MAX(E91-E100,0)</f>
        <v>0</v>
      </c>
      <c r="F103" s="1268"/>
      <c r="G103" s="1234" t="s">
        <v>1039</v>
      </c>
      <c r="H103" s="1010">
        <f>MAX(H91-H100,0)</f>
        <v>96.739019507261588</v>
      </c>
      <c r="I103" s="949"/>
      <c r="J103" s="1017">
        <f>IF(E$11&lt;&gt;"",IF(OR(B$11="No Filing Date","Enter Filing Date",E$11&lt;D$11),"Error in Filing Date",IF('R8a - Tax Reconciliation'!B$11="Original Filing",D103-H103,E103-H103)),IF(OR(B$11="No Filing Date","Enter Filing Date"),"Error in Filing Date",IF('R8a - Tax Reconciliation'!B$11="Original Filing",D103-H103,E103-H103)))</f>
        <v>416.26897995273782</v>
      </c>
      <c r="K103" s="932" t="str">
        <f>IF(OR(J103&gt;=Data!$C$10,J103&lt;=-Data!$C$10), "Material", "Immaterial")</f>
        <v>Material</v>
      </c>
      <c r="L103" s="963">
        <v>0</v>
      </c>
      <c r="M103" s="947"/>
      <c r="N103" s="947"/>
      <c r="O103" s="947"/>
      <c r="P103" s="947"/>
    </row>
    <row r="104" spans="1:16" s="920" customFormat="1">
      <c r="A104" s="984"/>
      <c r="B104" s="985"/>
      <c r="C104" s="898"/>
      <c r="D104" s="949"/>
      <c r="E104" s="949"/>
      <c r="F104" s="949"/>
      <c r="G104" s="949"/>
      <c r="H104" s="950"/>
      <c r="I104" s="950"/>
      <c r="J104" s="950"/>
      <c r="K104" s="950"/>
      <c r="L104" s="951"/>
      <c r="M104" s="947"/>
      <c r="N104" s="947"/>
      <c r="O104" s="947"/>
      <c r="P104" s="947"/>
    </row>
    <row r="105" spans="1:16" s="986" customFormat="1">
      <c r="A105" s="1238" t="s">
        <v>1040</v>
      </c>
      <c r="B105" s="1239"/>
      <c r="C105" s="986" t="s">
        <v>981</v>
      </c>
      <c r="D105" s="1010">
        <f>+D103*D13</f>
        <v>97.471519897399887</v>
      </c>
      <c r="E105" s="1010">
        <f>+E103*E13</f>
        <v>0</v>
      </c>
      <c r="F105" s="941"/>
      <c r="G105" s="1235" t="s">
        <v>1041</v>
      </c>
      <c r="H105" s="1010">
        <f>+H103*H13</f>
        <v>18.380413706379702</v>
      </c>
      <c r="I105" s="941"/>
      <c r="J105" s="1010">
        <f>IF(E$11&lt;&gt;"",IF(OR(B$11="No Filing Date","Enter Filing Date",E$11&lt;D$11),"Error in Filing Date",IF('R8a - Tax Reconciliation'!B$11="Original Filing",D105-H105,E105-H105)),IF(OR(B$11="No Filing Date","Enter Filing Date"),"Error in Filing Date",IF('R8a - Tax Reconciliation'!B$11="Original Filing",D105-H105,E105-H105)))</f>
        <v>79.091106191020188</v>
      </c>
      <c r="K105" s="942" t="str">
        <f>IF(OR(J105&gt;=Data!$C$11,J105&lt;=-Data!$C$11), "Material", "Immaterial")</f>
        <v>Material</v>
      </c>
      <c r="L105" s="987"/>
      <c r="M105" s="988"/>
      <c r="N105" s="988"/>
      <c r="O105" s="988"/>
      <c r="P105" s="988"/>
    </row>
    <row r="106" spans="1:16" s="945" customFormat="1">
      <c r="H106" s="989"/>
    </row>
    <row r="107" spans="1:16" s="990" customFormat="1">
      <c r="A107" s="1403" t="s">
        <v>1042</v>
      </c>
      <c r="B107" s="1403"/>
      <c r="C107" s="990" t="s">
        <v>916</v>
      </c>
      <c r="D107" s="1012">
        <f>INDEX(Data!$E$34:$L$34,MATCH($B$6,Data!$E$33:$L$33,0))</f>
        <v>1.1799638149272795</v>
      </c>
      <c r="E107" s="1012">
        <f>INDEX(Data!$E$34:$L$34,MATCH($B$6,Data!$E$33:$L$33,0))</f>
        <v>1.1799638149272795</v>
      </c>
      <c r="F107" s="991"/>
      <c r="G107" s="957" t="s">
        <v>1043</v>
      </c>
      <c r="H107" s="1014">
        <f>INDEX(Data!$E$34:$L$34,MATCH($B$6,Data!$E$33:$L$33,0))</f>
        <v>1.1799638149272795</v>
      </c>
      <c r="I107" s="992"/>
      <c r="J107" s="992"/>
      <c r="K107" s="993"/>
    </row>
    <row r="108" spans="1:16" s="1001" customFormat="1" ht="15.5">
      <c r="A108" s="994" t="s">
        <v>1040</v>
      </c>
      <c r="B108" s="995"/>
      <c r="C108" s="996" t="str">
        <f>IF($B$4="ED","20/21 Prices","18/19 Prices")</f>
        <v>18/19 Prices</v>
      </c>
      <c r="D108" s="1013">
        <f>D105/D107</f>
        <v>82.605516088141229</v>
      </c>
      <c r="E108" s="1013">
        <f>E105/E107</f>
        <v>0</v>
      </c>
      <c r="F108" s="997"/>
      <c r="G108" s="998" t="s">
        <v>1044</v>
      </c>
      <c r="H108" s="1015">
        <f>H105/H107</f>
        <v>15.577099461742796</v>
      </c>
      <c r="I108" s="999"/>
      <c r="J108" s="1016">
        <f>IF(OR(B$11="No Filing Date","Enter Filing Date"),"Error in Filing Date",IF('R8a - Tax Reconciliation'!B$11="Original Filing",D108-H108,E108-H108))</f>
        <v>67.028416626398439</v>
      </c>
      <c r="K108" s="1000"/>
      <c r="L108" s="1000"/>
      <c r="M108" s="1000"/>
      <c r="N108" s="1000"/>
      <c r="O108" s="1000"/>
      <c r="P108" s="1000"/>
    </row>
    <row r="109" spans="1:16">
      <c r="C109" s="1002"/>
      <c r="D109" s="949"/>
      <c r="E109" s="949"/>
      <c r="F109" s="949"/>
      <c r="G109" s="950"/>
      <c r="H109" s="923"/>
      <c r="I109" s="949"/>
      <c r="J109" s="949"/>
      <c r="K109" s="950"/>
      <c r="N109" s="900"/>
    </row>
    <row r="110" spans="1:16">
      <c r="D110" s="1003"/>
      <c r="E110" s="1003"/>
      <c r="F110" s="1003"/>
      <c r="G110" s="1004"/>
      <c r="H110" s="1003"/>
      <c r="I110" s="1003"/>
      <c r="J110" s="1003"/>
      <c r="K110" s="1004"/>
      <c r="N110" s="900"/>
    </row>
    <row r="114" spans="2:6">
      <c r="B114" s="1005"/>
    </row>
    <row r="115" spans="2:6">
      <c r="B115" s="1005"/>
    </row>
    <row r="120" spans="2:6">
      <c r="F120" s="1006"/>
    </row>
    <row r="121" spans="2:6">
      <c r="F121" s="1007"/>
    </row>
  </sheetData>
  <sheetProtection formatCells="0" insertRows="0" sort="0" autoFilter="0" pivotTables="0"/>
  <mergeCells count="19">
    <mergeCell ref="A107:B107"/>
    <mergeCell ref="A80:B80"/>
    <mergeCell ref="A35:B35"/>
    <mergeCell ref="A36:B36"/>
    <mergeCell ref="A39:B39"/>
    <mergeCell ref="A41:B41"/>
    <mergeCell ref="A42:B42"/>
    <mergeCell ref="A38:B38"/>
    <mergeCell ref="A91:B91"/>
    <mergeCell ref="A54:B54"/>
    <mergeCell ref="L8:L9"/>
    <mergeCell ref="A13:B13"/>
    <mergeCell ref="A26:B26"/>
    <mergeCell ref="A27:B27"/>
    <mergeCell ref="A7:B7"/>
    <mergeCell ref="A8:B9"/>
    <mergeCell ref="C8:C9"/>
    <mergeCell ref="G8:G9"/>
    <mergeCell ref="A17:B17"/>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79"/>
  <sheetViews>
    <sheetView zoomScaleNormal="100" workbookViewId="0">
      <selection activeCell="A6" sqref="A6"/>
    </sheetView>
  </sheetViews>
  <sheetFormatPr defaultColWidth="9" defaultRowHeight="13.5"/>
  <cols>
    <col min="1" max="1" width="8.3828125" style="114" customWidth="1"/>
    <col min="2" max="2" width="75" style="114" customWidth="1"/>
    <col min="3" max="3" width="15.15234375" style="114" customWidth="1"/>
    <col min="4" max="4" width="14.765625" style="114" customWidth="1"/>
    <col min="5" max="5" width="14.84375" style="114" customWidth="1"/>
    <col min="6" max="6" width="14.3828125" style="114" customWidth="1"/>
    <col min="7" max="8" width="11.15234375" style="114" customWidth="1"/>
    <col min="9" max="9" width="5" style="114" customWidth="1"/>
    <col min="10" max="13" width="9" style="114"/>
    <col min="14" max="14" width="13.15234375" style="114" customWidth="1"/>
    <col min="15" max="16384" width="9" style="114"/>
  </cols>
  <sheetData>
    <row r="1" spans="1:15" ht="20">
      <c r="A1" s="324" t="s">
        <v>271</v>
      </c>
      <c r="B1" s="326"/>
      <c r="C1" s="327"/>
      <c r="D1" s="327"/>
      <c r="E1" s="327"/>
      <c r="F1" s="327"/>
      <c r="G1" s="327"/>
      <c r="H1" s="327"/>
      <c r="I1" s="456"/>
    </row>
    <row r="2" spans="1:15" ht="20">
      <c r="A2" s="329" t="str">
        <f>Licensee</f>
        <v>Cadent-London</v>
      </c>
      <c r="B2" s="331"/>
      <c r="C2" s="332"/>
      <c r="D2" s="332"/>
      <c r="E2" s="332"/>
      <c r="F2" s="332"/>
      <c r="G2" s="332"/>
      <c r="H2" s="332"/>
      <c r="I2" s="334"/>
    </row>
    <row r="3" spans="1:15" ht="20">
      <c r="A3" s="331">
        <f>Reporting_Year</f>
        <v>2024</v>
      </c>
      <c r="B3" s="335"/>
      <c r="C3" s="335"/>
      <c r="D3" s="335"/>
      <c r="E3" s="335"/>
      <c r="F3" s="335"/>
      <c r="G3" s="335"/>
      <c r="H3" s="335"/>
      <c r="I3" s="337"/>
    </row>
    <row r="4" spans="1:15" s="339" customFormat="1" ht="12.75" customHeight="1"/>
    <row r="5" spans="1:15" s="339" customFormat="1">
      <c r="B5" s="480"/>
      <c r="C5" s="480"/>
      <c r="D5" s="338" t="str">
        <f t="shared" ref="D5:H5" si="0">IF(D6&lt;=Reporting_Year,"Actuals","Forecast")</f>
        <v>Actuals</v>
      </c>
      <c r="E5" s="338" t="str">
        <f t="shared" si="0"/>
        <v>Actuals</v>
      </c>
      <c r="F5" s="338" t="str">
        <f t="shared" si="0"/>
        <v>Actuals</v>
      </c>
      <c r="G5" s="338" t="str">
        <f t="shared" si="0"/>
        <v>Forecast</v>
      </c>
      <c r="H5" s="338" t="str">
        <f t="shared" si="0"/>
        <v>Forecast</v>
      </c>
    </row>
    <row r="6" spans="1:15" s="339" customFormat="1">
      <c r="D6" s="457">
        <f>'RFPR cover'!$C$6</f>
        <v>2022</v>
      </c>
      <c r="E6" s="458">
        <f>D6+1</f>
        <v>2023</v>
      </c>
      <c r="F6" s="458">
        <f t="shared" ref="F6:H6" si="1">E6+1</f>
        <v>2024</v>
      </c>
      <c r="G6" s="458">
        <f t="shared" si="1"/>
        <v>2025</v>
      </c>
      <c r="H6" s="458">
        <f t="shared" si="1"/>
        <v>2026</v>
      </c>
    </row>
    <row r="7" spans="1:15"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2" t="str">
        <f>RIIO_2_start_date+3&amp;"/"&amp;RIGHT(RIIO_2_start_date+4,2)</f>
        <v>2025/26</v>
      </c>
    </row>
    <row r="8" spans="1:15" s="339" customFormat="1"/>
    <row r="9" spans="1:15" s="339" customFormat="1">
      <c r="A9" s="1018" t="s">
        <v>1045</v>
      </c>
      <c r="B9" s="1019"/>
      <c r="C9" s="344"/>
      <c r="D9" s="344"/>
      <c r="E9" s="344"/>
      <c r="F9" s="344"/>
      <c r="G9" s="344"/>
      <c r="H9" s="344"/>
    </row>
    <row r="10" spans="1:15" s="339" customFormat="1"/>
    <row r="11" spans="1:15">
      <c r="B11" s="429" t="s">
        <v>1046</v>
      </c>
      <c r="C11" s="29" t="s">
        <v>522</v>
      </c>
      <c r="D11" s="883">
        <v>39</v>
      </c>
      <c r="E11" s="883">
        <v>70</v>
      </c>
      <c r="F11" s="883">
        <v>62</v>
      </c>
      <c r="G11" s="883"/>
      <c r="H11" s="883"/>
      <c r="J11" s="339"/>
    </row>
    <row r="12" spans="1:15">
      <c r="B12" s="411" t="s">
        <v>1047</v>
      </c>
      <c r="C12" s="429"/>
      <c r="D12" s="860"/>
      <c r="E12" s="860"/>
      <c r="F12" s="860"/>
      <c r="G12" s="860"/>
      <c r="H12" s="860"/>
      <c r="J12" s="339"/>
    </row>
    <row r="13" spans="1:15">
      <c r="B13" s="566" t="s">
        <v>1048</v>
      </c>
      <c r="C13" s="29" t="s">
        <v>522</v>
      </c>
      <c r="D13" s="883">
        <v>0</v>
      </c>
      <c r="E13" s="883">
        <v>0</v>
      </c>
      <c r="F13" s="883">
        <v>0</v>
      </c>
      <c r="G13" s="883"/>
      <c r="H13" s="883"/>
      <c r="J13" s="339"/>
    </row>
    <row r="14" spans="1:15">
      <c r="B14" s="566" t="s">
        <v>1048</v>
      </c>
      <c r="C14" s="29" t="s">
        <v>522</v>
      </c>
      <c r="D14" s="883">
        <v>0</v>
      </c>
      <c r="E14" s="883">
        <v>0</v>
      </c>
      <c r="F14" s="883">
        <v>0</v>
      </c>
      <c r="G14" s="883"/>
      <c r="H14" s="883"/>
      <c r="J14" s="339"/>
    </row>
    <row r="15" spans="1:15">
      <c r="B15" s="566" t="s">
        <v>1049</v>
      </c>
      <c r="C15" s="29" t="s">
        <v>522</v>
      </c>
      <c r="D15" s="883">
        <v>0</v>
      </c>
      <c r="E15" s="883">
        <v>0</v>
      </c>
      <c r="F15" s="883">
        <v>0</v>
      </c>
      <c r="G15" s="883"/>
      <c r="H15" s="883"/>
      <c r="J15" s="339"/>
      <c r="N15" s="1020"/>
    </row>
    <row r="16" spans="1:15">
      <c r="B16" s="429" t="s">
        <v>1050</v>
      </c>
      <c r="C16" s="29" t="s">
        <v>522</v>
      </c>
      <c r="D16" s="893">
        <f>D11-SUM(D13:D15)</f>
        <v>39</v>
      </c>
      <c r="E16" s="893">
        <f t="shared" ref="E16:H16" si="2">E11-SUM(E13:E15)</f>
        <v>70</v>
      </c>
      <c r="F16" s="893">
        <f t="shared" si="2"/>
        <v>62</v>
      </c>
      <c r="G16" s="893">
        <f t="shared" si="2"/>
        <v>0</v>
      </c>
      <c r="H16" s="893">
        <f t="shared" si="2"/>
        <v>0</v>
      </c>
      <c r="J16" s="339"/>
      <c r="O16" s="1021"/>
    </row>
    <row r="17" spans="1:14">
      <c r="C17" s="429"/>
      <c r="J17" s="339"/>
      <c r="N17" s="1020"/>
    </row>
    <row r="18" spans="1:14">
      <c r="B18" s="429" t="s">
        <v>1051</v>
      </c>
      <c r="C18" s="29" t="s">
        <v>522</v>
      </c>
      <c r="D18" s="883">
        <v>0</v>
      </c>
      <c r="E18" s="883">
        <v>0</v>
      </c>
      <c r="F18" s="883">
        <v>0</v>
      </c>
      <c r="G18" s="883"/>
      <c r="H18" s="883"/>
      <c r="J18" s="339"/>
    </row>
    <row r="19" spans="1:14">
      <c r="J19" s="339"/>
    </row>
    <row r="22" spans="1:14">
      <c r="A22" s="1018" t="s">
        <v>1052</v>
      </c>
      <c r="B22" s="1022"/>
      <c r="C22" s="344"/>
      <c r="D22" s="344"/>
      <c r="E22" s="344"/>
      <c r="F22" s="344"/>
      <c r="G22" s="344"/>
      <c r="H22" s="344"/>
    </row>
    <row r="23" spans="1:14">
      <c r="D23" s="1410" t="str">
        <f>Reporting_Year&amp;" "&amp;"- Actuals"</f>
        <v>2024 - Actuals</v>
      </c>
      <c r="E23" s="1411"/>
      <c r="F23" s="1411"/>
      <c r="G23" s="1411"/>
      <c r="H23" s="1412"/>
    </row>
    <row r="24" spans="1:14">
      <c r="D24" s="1023" t="s">
        <v>1053</v>
      </c>
      <c r="E24" s="1023" t="s">
        <v>1054</v>
      </c>
      <c r="F24" s="1023" t="s">
        <v>1055</v>
      </c>
      <c r="G24" s="1023" t="s">
        <v>1056</v>
      </c>
      <c r="H24" s="1023" t="s">
        <v>1057</v>
      </c>
    </row>
    <row r="25" spans="1:14" ht="35.15" customHeight="1">
      <c r="C25" s="114" t="s">
        <v>1058</v>
      </c>
      <c r="D25" s="1285" t="s">
        <v>1059</v>
      </c>
      <c r="E25" s="1286" t="s">
        <v>1060</v>
      </c>
      <c r="F25" s="1286" t="s">
        <v>1061</v>
      </c>
      <c r="G25" s="1024"/>
      <c r="H25" s="1024"/>
    </row>
    <row r="26" spans="1:14" ht="44.5" customHeight="1">
      <c r="B26" s="429" t="s">
        <v>1062</v>
      </c>
    </row>
    <row r="27" spans="1:14">
      <c r="B27" s="114" t="s">
        <v>1063</v>
      </c>
      <c r="C27" s="29" t="s">
        <v>522</v>
      </c>
      <c r="D27" s="1287">
        <v>0.13420000000000001</v>
      </c>
      <c r="E27" s="1287">
        <v>7.9400000000000012E-2</v>
      </c>
      <c r="F27" s="1287">
        <v>7.3599999999999999E-2</v>
      </c>
      <c r="G27" s="1026">
        <v>0</v>
      </c>
      <c r="H27" s="1026">
        <v>0</v>
      </c>
    </row>
    <row r="28" spans="1:14">
      <c r="B28" s="114" t="s">
        <v>1064</v>
      </c>
      <c r="C28" s="29" t="s">
        <v>522</v>
      </c>
      <c r="D28" s="1287">
        <v>0</v>
      </c>
      <c r="E28" s="1287">
        <v>0</v>
      </c>
      <c r="F28" s="1287">
        <v>0</v>
      </c>
      <c r="G28" s="1027">
        <v>0</v>
      </c>
      <c r="H28" s="1027">
        <v>0</v>
      </c>
    </row>
    <row r="29" spans="1:14">
      <c r="B29" s="114" t="s">
        <v>1065</v>
      </c>
      <c r="C29" s="29" t="s">
        <v>522</v>
      </c>
      <c r="D29" s="1287">
        <v>1.2800000000000001E-2</v>
      </c>
      <c r="E29" s="1287">
        <v>1E-3</v>
      </c>
      <c r="F29" s="1287">
        <v>2.5999999999999999E-3</v>
      </c>
      <c r="G29" s="1028">
        <v>0</v>
      </c>
      <c r="H29" s="1028">
        <v>0</v>
      </c>
    </row>
    <row r="30" spans="1:14">
      <c r="B30" s="114" t="s">
        <v>1066</v>
      </c>
      <c r="C30" s="29" t="s">
        <v>522</v>
      </c>
      <c r="D30" s="1287">
        <v>1.6200000000000003E-2</v>
      </c>
      <c r="E30" s="1287">
        <v>9.6000000000000009E-3</v>
      </c>
      <c r="F30" s="1287">
        <v>8.9999999999999993E-3</v>
      </c>
      <c r="G30" s="1029">
        <v>0</v>
      </c>
      <c r="H30" s="1029">
        <v>0</v>
      </c>
    </row>
    <row r="31" spans="1:14">
      <c r="B31" s="429" t="s">
        <v>1067</v>
      </c>
      <c r="C31" s="29" t="s">
        <v>522</v>
      </c>
      <c r="D31" s="1041">
        <f>SUM(D27:D30)</f>
        <v>0.16320000000000001</v>
      </c>
      <c r="E31" s="1041">
        <f>SUM(E27:E30)</f>
        <v>9.0000000000000011E-2</v>
      </c>
      <c r="F31" s="1041">
        <f>SUM(F27:F30)</f>
        <v>8.5199999999999998E-2</v>
      </c>
      <c r="G31" s="1041">
        <f>SUM(G27:G30)</f>
        <v>0</v>
      </c>
      <c r="H31" s="1041">
        <f>SUM(H27:H30)</f>
        <v>0</v>
      </c>
    </row>
    <row r="32" spans="1:14">
      <c r="B32" s="429" t="s">
        <v>1068</v>
      </c>
      <c r="C32" s="29" t="s">
        <v>522</v>
      </c>
      <c r="D32" s="1030">
        <f>D31</f>
        <v>0.16320000000000001</v>
      </c>
      <c r="E32" s="1030">
        <f t="shared" ref="E32:F32" si="3">E31</f>
        <v>9.0000000000000011E-2</v>
      </c>
      <c r="F32" s="1030">
        <f t="shared" si="3"/>
        <v>8.5199999999999998E-2</v>
      </c>
      <c r="G32" s="1030">
        <v>0</v>
      </c>
      <c r="H32" s="1030">
        <v>0</v>
      </c>
    </row>
    <row r="33" spans="2:8">
      <c r="B33" s="566"/>
      <c r="D33" s="1031"/>
      <c r="E33" s="1031"/>
      <c r="F33" s="1031"/>
      <c r="G33" s="1031"/>
      <c r="H33" s="1031"/>
    </row>
    <row r="34" spans="2:8">
      <c r="B34" s="429" t="s">
        <v>1069</v>
      </c>
      <c r="D34" s="1031"/>
      <c r="E34" s="1031"/>
      <c r="F34" s="1031"/>
      <c r="G34" s="1031"/>
      <c r="H34" s="1031"/>
    </row>
    <row r="35" spans="2:8">
      <c r="B35" s="114" t="s">
        <v>1070</v>
      </c>
      <c r="C35" s="29" t="s">
        <v>522</v>
      </c>
      <c r="D35" s="1287">
        <v>0</v>
      </c>
      <c r="E35" s="1287">
        <v>0</v>
      </c>
      <c r="F35" s="1287">
        <v>0</v>
      </c>
      <c r="G35" s="1026">
        <v>0</v>
      </c>
      <c r="H35" s="1026">
        <v>0</v>
      </c>
    </row>
    <row r="36" spans="2:8">
      <c r="B36" s="566" t="s">
        <v>1049</v>
      </c>
      <c r="C36" s="29" t="s">
        <v>522</v>
      </c>
      <c r="D36" s="1287">
        <v>0</v>
      </c>
      <c r="E36" s="1287">
        <v>0</v>
      </c>
      <c r="F36" s="1287">
        <v>0</v>
      </c>
      <c r="G36" s="1029">
        <v>0</v>
      </c>
      <c r="H36" s="1029">
        <v>0</v>
      </c>
    </row>
    <row r="37" spans="2:8">
      <c r="B37" s="114" t="s">
        <v>1071</v>
      </c>
      <c r="C37" s="29" t="s">
        <v>522</v>
      </c>
      <c r="D37" s="1287">
        <v>0.1716</v>
      </c>
      <c r="E37" s="1287">
        <v>5.1600000000000007E-2</v>
      </c>
      <c r="F37" s="1287">
        <v>4.8399999999999999E-2</v>
      </c>
      <c r="G37" s="1029">
        <v>0</v>
      </c>
      <c r="H37" s="1029">
        <v>0</v>
      </c>
    </row>
    <row r="38" spans="2:8">
      <c r="B38" s="566" t="s">
        <v>1072</v>
      </c>
      <c r="C38" s="29" t="s">
        <v>522</v>
      </c>
      <c r="D38" s="1287">
        <v>0.19240000000000002</v>
      </c>
      <c r="E38" s="1287">
        <v>6.2800000000000009E-2</v>
      </c>
      <c r="F38" s="1287">
        <v>8.2400000000000001E-2</v>
      </c>
      <c r="G38" s="1029">
        <v>0</v>
      </c>
      <c r="H38" s="1029">
        <v>0</v>
      </c>
    </row>
    <row r="39" spans="2:8">
      <c r="B39" s="429" t="s">
        <v>1073</v>
      </c>
      <c r="C39" s="29" t="s">
        <v>522</v>
      </c>
      <c r="D39" s="1042">
        <f t="shared" ref="D39:H39" si="4">SUM(D35:D38)</f>
        <v>0.36399999999999999</v>
      </c>
      <c r="E39" s="1042">
        <f t="shared" si="4"/>
        <v>0.11440000000000002</v>
      </c>
      <c r="F39" s="1042">
        <f t="shared" si="4"/>
        <v>0.1308</v>
      </c>
      <c r="G39" s="1042">
        <f t="shared" si="4"/>
        <v>0</v>
      </c>
      <c r="H39" s="1042">
        <f t="shared" si="4"/>
        <v>0</v>
      </c>
    </row>
    <row r="40" spans="2:8">
      <c r="B40" s="429" t="s">
        <v>1068</v>
      </c>
      <c r="C40" s="29" t="s">
        <v>522</v>
      </c>
      <c r="D40" s="1030">
        <f>D39</f>
        <v>0.36399999999999999</v>
      </c>
      <c r="E40" s="1030">
        <f t="shared" ref="E40:F40" si="5">E39</f>
        <v>0.11440000000000002</v>
      </c>
      <c r="F40" s="1030">
        <f t="shared" si="5"/>
        <v>0.1308</v>
      </c>
      <c r="G40" s="1029">
        <v>0</v>
      </c>
      <c r="H40" s="1029">
        <v>0</v>
      </c>
    </row>
    <row r="41" spans="2:8">
      <c r="D41" s="1031"/>
      <c r="E41" s="1031"/>
      <c r="F41" s="1031"/>
      <c r="G41" s="1031"/>
      <c r="H41" s="1031"/>
    </row>
    <row r="42" spans="2:8">
      <c r="B42" s="429" t="s">
        <v>1074</v>
      </c>
      <c r="C42" s="29" t="s">
        <v>522</v>
      </c>
      <c r="D42" s="1042">
        <f t="shared" ref="D42:H42" si="6">SUM(D31,D39)</f>
        <v>0.5272</v>
      </c>
      <c r="E42" s="1042">
        <f t="shared" si="6"/>
        <v>0.20440000000000003</v>
      </c>
      <c r="F42" s="1042">
        <f t="shared" si="6"/>
        <v>0.216</v>
      </c>
      <c r="G42" s="1042">
        <f t="shared" si="6"/>
        <v>0</v>
      </c>
      <c r="H42" s="1042">
        <f t="shared" si="6"/>
        <v>0</v>
      </c>
    </row>
    <row r="43" spans="2:8">
      <c r="B43" s="429" t="s">
        <v>1075</v>
      </c>
      <c r="C43" s="29" t="s">
        <v>522</v>
      </c>
      <c r="D43" s="1042">
        <f>D32+D40</f>
        <v>0.5272</v>
      </c>
      <c r="E43" s="1042">
        <f t="shared" ref="E43:H43" si="7">E32+E40</f>
        <v>0.20440000000000003</v>
      </c>
      <c r="F43" s="1042">
        <f t="shared" si="7"/>
        <v>0.216</v>
      </c>
      <c r="G43" s="1042">
        <f t="shared" si="7"/>
        <v>0</v>
      </c>
      <c r="H43" s="1042">
        <f t="shared" si="7"/>
        <v>0</v>
      </c>
    </row>
    <row r="44" spans="2:8">
      <c r="D44" s="1031"/>
      <c r="E44" s="1031"/>
      <c r="F44" s="1031"/>
      <c r="G44" s="1031"/>
      <c r="H44" s="1031"/>
    </row>
    <row r="45" spans="2:8">
      <c r="B45" s="429" t="s">
        <v>1076</v>
      </c>
      <c r="D45" s="1031"/>
      <c r="E45" s="1031"/>
      <c r="F45" s="1031"/>
      <c r="G45" s="1031"/>
      <c r="H45" s="1031"/>
    </row>
    <row r="46" spans="2:8">
      <c r="B46" s="114" t="s">
        <v>1077</v>
      </c>
      <c r="C46" s="29" t="s">
        <v>1078</v>
      </c>
      <c r="D46" s="1025">
        <v>0</v>
      </c>
      <c r="E46" s="1026">
        <v>0</v>
      </c>
      <c r="F46" s="1026">
        <v>0</v>
      </c>
      <c r="G46" s="1029">
        <v>0</v>
      </c>
      <c r="H46" s="1029">
        <v>0</v>
      </c>
    </row>
    <row r="47" spans="2:8">
      <c r="B47" s="566" t="s">
        <v>1049</v>
      </c>
      <c r="C47" s="29"/>
      <c r="D47" s="1025">
        <v>0</v>
      </c>
      <c r="E47" s="1026">
        <v>0</v>
      </c>
      <c r="F47" s="1026">
        <v>0</v>
      </c>
      <c r="G47" s="1029">
        <v>0</v>
      </c>
      <c r="H47" s="1029">
        <v>0</v>
      </c>
    </row>
    <row r="48" spans="2:8">
      <c r="B48" s="114" t="s">
        <v>1079</v>
      </c>
      <c r="C48" s="29" t="s">
        <v>486</v>
      </c>
      <c r="D48" s="1025">
        <v>0</v>
      </c>
      <c r="E48" s="1026">
        <v>0</v>
      </c>
      <c r="F48" s="1026">
        <v>0</v>
      </c>
      <c r="G48" s="1029">
        <v>0</v>
      </c>
      <c r="H48" s="1029">
        <v>0</v>
      </c>
    </row>
    <row r="49" spans="2:14">
      <c r="B49" s="204" t="s">
        <v>1080</v>
      </c>
      <c r="C49" s="29" t="s">
        <v>486</v>
      </c>
      <c r="D49" s="1025">
        <v>0</v>
      </c>
      <c r="E49" s="1026">
        <v>0</v>
      </c>
      <c r="F49" s="1026">
        <v>0</v>
      </c>
      <c r="G49" s="1029">
        <v>0</v>
      </c>
      <c r="H49" s="1029">
        <v>0</v>
      </c>
    </row>
    <row r="50" spans="2:14">
      <c r="B50" s="429" t="s">
        <v>1081</v>
      </c>
      <c r="C50" s="29" t="s">
        <v>522</v>
      </c>
      <c r="D50" s="1025">
        <v>0</v>
      </c>
      <c r="E50" s="1026">
        <v>0</v>
      </c>
      <c r="F50" s="1026">
        <v>0</v>
      </c>
      <c r="G50" s="1029">
        <v>0</v>
      </c>
      <c r="H50" s="1029">
        <v>0</v>
      </c>
    </row>
    <row r="51" spans="2:14">
      <c r="B51" s="204" t="s">
        <v>1082</v>
      </c>
      <c r="C51" s="29" t="s">
        <v>1083</v>
      </c>
      <c r="D51" s="1025">
        <v>0</v>
      </c>
      <c r="E51" s="1026">
        <v>0</v>
      </c>
      <c r="F51" s="1026">
        <v>0</v>
      </c>
      <c r="G51" s="1029">
        <v>0</v>
      </c>
      <c r="H51" s="1029">
        <v>0</v>
      </c>
    </row>
    <row r="52" spans="2:14">
      <c r="B52" s="204" t="s">
        <v>1084</v>
      </c>
      <c r="C52" s="29" t="s">
        <v>1085</v>
      </c>
      <c r="D52" s="1025">
        <v>0</v>
      </c>
      <c r="E52" s="1026">
        <v>0</v>
      </c>
      <c r="F52" s="1026">
        <v>0</v>
      </c>
      <c r="G52" s="1029">
        <v>0</v>
      </c>
      <c r="H52" s="1029">
        <v>0</v>
      </c>
    </row>
    <row r="53" spans="2:14">
      <c r="B53" s="204" t="s">
        <v>1086</v>
      </c>
      <c r="C53" s="29" t="s">
        <v>1083</v>
      </c>
      <c r="D53" s="1025">
        <v>0</v>
      </c>
      <c r="E53" s="1026">
        <v>0</v>
      </c>
      <c r="F53" s="1026">
        <v>0</v>
      </c>
      <c r="G53" s="1029">
        <v>0</v>
      </c>
      <c r="H53" s="1029">
        <v>0</v>
      </c>
    </row>
    <row r="54" spans="2:14">
      <c r="B54" s="429" t="s">
        <v>1087</v>
      </c>
      <c r="C54" s="29" t="s">
        <v>522</v>
      </c>
      <c r="D54" s="1043">
        <f>D52*D53</f>
        <v>0</v>
      </c>
      <c r="E54" s="1043">
        <f t="shared" ref="E54:H54" si="8">E52*E53</f>
        <v>0</v>
      </c>
      <c r="F54" s="1043">
        <f t="shared" si="8"/>
        <v>0</v>
      </c>
      <c r="G54" s="1043">
        <f t="shared" si="8"/>
        <v>0</v>
      </c>
      <c r="H54" s="1043">
        <f t="shared" si="8"/>
        <v>0</v>
      </c>
    </row>
    <row r="55" spans="2:14">
      <c r="C55" s="29"/>
      <c r="D55" s="1031"/>
      <c r="E55" s="1031"/>
      <c r="F55" s="1031"/>
      <c r="G55" s="1031"/>
      <c r="H55" s="1031"/>
    </row>
    <row r="56" spans="2:14">
      <c r="B56" s="429" t="s">
        <v>1088</v>
      </c>
      <c r="C56" s="29" t="s">
        <v>522</v>
      </c>
      <c r="D56" s="1025">
        <v>0</v>
      </c>
      <c r="E56" s="1026">
        <v>0</v>
      </c>
      <c r="F56" s="1026">
        <v>0</v>
      </c>
      <c r="G56" s="1026"/>
      <c r="H56" s="1026"/>
    </row>
    <row r="57" spans="2:14">
      <c r="B57" s="429"/>
      <c r="C57" s="429"/>
      <c r="D57" s="1032"/>
      <c r="E57" s="1032"/>
      <c r="F57" s="1032"/>
      <c r="G57" s="1032"/>
      <c r="H57" s="1032"/>
      <c r="I57" s="429"/>
      <c r="J57" s="429"/>
      <c r="K57" s="429"/>
      <c r="L57" s="429"/>
      <c r="M57" s="429"/>
      <c r="N57" s="429"/>
    </row>
    <row r="58" spans="2:14">
      <c r="B58" s="429" t="s">
        <v>1089</v>
      </c>
      <c r="C58" s="29"/>
      <c r="D58" s="1043">
        <f>D50+D54+D56</f>
        <v>0</v>
      </c>
      <c r="E58" s="1043">
        <f>E50+E54+E56</f>
        <v>0</v>
      </c>
      <c r="F58" s="1043">
        <f>F50+F54+F56</f>
        <v>0</v>
      </c>
      <c r="G58" s="1043">
        <f>G50+G54+G56</f>
        <v>0</v>
      </c>
      <c r="H58" s="1043">
        <f>H50+H54+H56</f>
        <v>0</v>
      </c>
    </row>
    <row r="59" spans="2:14">
      <c r="B59" s="429" t="s">
        <v>1068</v>
      </c>
      <c r="C59" s="29" t="s">
        <v>522</v>
      </c>
      <c r="D59" s="1025">
        <v>0</v>
      </c>
      <c r="E59" s="1026">
        <v>0</v>
      </c>
      <c r="F59" s="1026">
        <v>0</v>
      </c>
      <c r="G59" s="1026"/>
      <c r="H59" s="1026"/>
    </row>
    <row r="60" spans="2:14">
      <c r="B60" s="429"/>
      <c r="C60" s="29"/>
      <c r="D60" s="1032"/>
      <c r="E60" s="1032"/>
      <c r="F60" s="1032"/>
      <c r="G60" s="1032"/>
      <c r="H60" s="1032"/>
      <c r="J60" s="429"/>
      <c r="K60" s="429"/>
    </row>
    <row r="61" spans="2:14">
      <c r="B61" s="429" t="s">
        <v>1090</v>
      </c>
      <c r="C61" s="29" t="s">
        <v>522</v>
      </c>
      <c r="D61" s="1043">
        <f>D42+D58</f>
        <v>0.5272</v>
      </c>
      <c r="E61" s="1043">
        <f t="shared" ref="E61:H61" si="9">E42+E58</f>
        <v>0.20440000000000003</v>
      </c>
      <c r="F61" s="1043">
        <f t="shared" si="9"/>
        <v>0.216</v>
      </c>
      <c r="G61" s="1043">
        <f t="shared" si="9"/>
        <v>0</v>
      </c>
      <c r="H61" s="1043">
        <f t="shared" si="9"/>
        <v>0</v>
      </c>
    </row>
    <row r="62" spans="2:14">
      <c r="B62" s="429" t="s">
        <v>1091</v>
      </c>
      <c r="C62" s="29" t="s">
        <v>522</v>
      </c>
      <c r="D62" s="1043">
        <f>D43+D59</f>
        <v>0.5272</v>
      </c>
      <c r="E62" s="1043">
        <f t="shared" ref="E62:F62" si="10">E43+E59</f>
        <v>0.20440000000000003</v>
      </c>
      <c r="F62" s="1043">
        <f t="shared" si="10"/>
        <v>0.216</v>
      </c>
      <c r="G62" s="1029">
        <v>0</v>
      </c>
      <c r="H62" s="1029">
        <v>0</v>
      </c>
      <c r="J62" s="429"/>
    </row>
    <row r="63" spans="2:14">
      <c r="B63" s="429"/>
      <c r="C63" s="29"/>
      <c r="D63" s="546"/>
      <c r="E63" s="546"/>
      <c r="F63" s="546"/>
      <c r="G63" s="546"/>
      <c r="H63" s="546"/>
      <c r="J63" s="429"/>
    </row>
    <row r="64" spans="2:14">
      <c r="B64" s="429" t="s">
        <v>1092</v>
      </c>
      <c r="C64" s="29"/>
      <c r="D64" s="546"/>
      <c r="E64" s="546"/>
      <c r="F64" s="546"/>
      <c r="G64" s="546"/>
      <c r="H64" s="546"/>
      <c r="I64" s="546"/>
      <c r="J64" s="546"/>
      <c r="K64" s="546"/>
    </row>
    <row r="65" spans="1:12">
      <c r="B65" s="114" t="s">
        <v>1093</v>
      </c>
      <c r="C65" s="29"/>
      <c r="D65" s="1287" t="s">
        <v>1228</v>
      </c>
      <c r="E65" s="546"/>
      <c r="F65" s="546"/>
      <c r="G65" s="1029">
        <v>0</v>
      </c>
      <c r="H65" s="1029">
        <v>0</v>
      </c>
      <c r="I65" s="546"/>
      <c r="J65" s="546"/>
      <c r="K65" s="546"/>
    </row>
    <row r="66" spans="1:12">
      <c r="B66" s="114" t="s">
        <v>1094</v>
      </c>
      <c r="C66" s="29"/>
      <c r="D66" s="1287" t="s">
        <v>1229</v>
      </c>
      <c r="E66" s="546"/>
      <c r="F66" s="546"/>
      <c r="G66" s="546"/>
      <c r="H66" s="546"/>
      <c r="I66" s="546"/>
      <c r="J66" s="546"/>
      <c r="K66" s="546"/>
    </row>
    <row r="67" spans="1:12">
      <c r="B67" s="114" t="s">
        <v>1095</v>
      </c>
      <c r="C67" s="29"/>
      <c r="D67" s="1287" t="s">
        <v>1230</v>
      </c>
      <c r="E67" s="546"/>
      <c r="F67" s="546"/>
      <c r="G67" s="546"/>
      <c r="H67" s="546"/>
      <c r="I67" s="546"/>
      <c r="J67" s="546"/>
      <c r="K67" s="546"/>
    </row>
    <row r="68" spans="1:12">
      <c r="B68" s="429"/>
      <c r="C68" s="29"/>
      <c r="D68" s="546"/>
      <c r="E68" s="546"/>
      <c r="F68" s="546"/>
      <c r="G68" s="546"/>
      <c r="H68" s="546"/>
      <c r="I68" s="546"/>
      <c r="J68" s="546"/>
      <c r="K68" s="546"/>
    </row>
    <row r="69" spans="1:12">
      <c r="A69" s="428" t="s">
        <v>1096</v>
      </c>
      <c r="B69" s="429"/>
      <c r="C69" s="29"/>
      <c r="D69" s="29"/>
      <c r="E69" s="546"/>
      <c r="F69" s="546"/>
      <c r="G69" s="546"/>
      <c r="H69" s="546"/>
      <c r="I69" s="546"/>
      <c r="J69" s="546"/>
      <c r="K69" s="546"/>
      <c r="L69" s="29"/>
    </row>
    <row r="70" spans="1:12">
      <c r="A70" s="428" t="s">
        <v>1097</v>
      </c>
      <c r="B70" s="429"/>
      <c r="C70" s="429"/>
      <c r="D70" s="429"/>
      <c r="E70" s="546"/>
      <c r="F70" s="429"/>
      <c r="G70" s="429"/>
      <c r="H70" s="429"/>
      <c r="I70" s="429"/>
      <c r="J70" s="429"/>
    </row>
    <row r="71" spans="1:12">
      <c r="A71" s="428"/>
      <c r="B71" s="429"/>
      <c r="C71" s="429"/>
      <c r="D71" s="429"/>
      <c r="E71" s="429"/>
      <c r="F71" s="429"/>
      <c r="G71" s="429"/>
      <c r="H71" s="429"/>
      <c r="I71" s="429"/>
      <c r="J71" s="429"/>
    </row>
    <row r="72" spans="1:12">
      <c r="B72" s="429" t="s">
        <v>1098</v>
      </c>
    </row>
    <row r="73" spans="1:12">
      <c r="B73" s="429"/>
    </row>
    <row r="74" spans="1:12">
      <c r="B74" s="1033"/>
      <c r="C74" s="1034"/>
      <c r="D74" s="1034"/>
      <c r="E74" s="1034"/>
      <c r="F74" s="1034"/>
      <c r="G74" s="1035"/>
      <c r="H74" s="1036"/>
    </row>
    <row r="75" spans="1:12">
      <c r="B75" s="1037"/>
      <c r="C75" s="1038"/>
      <c r="D75" s="434"/>
      <c r="E75" s="435"/>
      <c r="F75" s="435"/>
      <c r="G75" s="435"/>
      <c r="H75" s="436"/>
    </row>
    <row r="76" spans="1:12">
      <c r="B76" s="1037"/>
      <c r="C76" s="1038"/>
      <c r="D76" s="434"/>
      <c r="E76" s="435"/>
      <c r="F76" s="435"/>
      <c r="G76" s="435"/>
      <c r="H76" s="436"/>
    </row>
    <row r="77" spans="1:12">
      <c r="B77" s="1037"/>
      <c r="C77" s="1038"/>
      <c r="D77" s="434"/>
      <c r="E77" s="435"/>
      <c r="F77" s="435"/>
      <c r="G77" s="435"/>
      <c r="H77" s="436"/>
    </row>
    <row r="78" spans="1:12">
      <c r="B78" s="1037"/>
      <c r="C78" s="1038"/>
      <c r="D78" s="434"/>
      <c r="E78" s="435"/>
      <c r="F78" s="435"/>
      <c r="G78" s="435"/>
      <c r="H78" s="436"/>
    </row>
    <row r="79" spans="1:12">
      <c r="B79" s="1039"/>
      <c r="C79" s="1040"/>
      <c r="D79" s="439"/>
      <c r="E79" s="440"/>
      <c r="F79" s="440"/>
      <c r="G79" s="440"/>
      <c r="H79" s="441"/>
    </row>
  </sheetData>
  <sheetProtection insertRows="0" sort="0" autoFilter="0" pivotTables="0"/>
  <mergeCells count="1">
    <mergeCell ref="D23:H23"/>
  </mergeCells>
  <phoneticPr fontId="260" type="noConversion"/>
  <conditionalFormatting sqref="D65:D67">
    <cfRule type="expression" dxfId="42" priority="5">
      <formula>D$5="Forecast"</formula>
    </cfRule>
  </conditionalFormatting>
  <conditionalFormatting sqref="D27:F30">
    <cfRule type="expression" dxfId="41" priority="7">
      <formula>D$5="Forecast"</formula>
    </cfRule>
  </conditionalFormatting>
  <conditionalFormatting sqref="D35:F38">
    <cfRule type="expression" dxfId="40" priority="6">
      <formula>D$5="Forecast"</formula>
    </cfRule>
  </conditionalFormatting>
  <conditionalFormatting sqref="D5:G6">
    <cfRule type="expression" dxfId="39" priority="42">
      <formula>AND(D$5="Actuals",E$5="N/A")</formula>
    </cfRule>
  </conditionalFormatting>
  <conditionalFormatting sqref="D5:H6 G27:H30 D31:H32 D64:K64 E65:E70 D68">
    <cfRule type="expression" dxfId="38" priority="34">
      <formula>D$5="N/A"</formula>
    </cfRule>
  </conditionalFormatting>
  <conditionalFormatting sqref="D7:H7">
    <cfRule type="expression" dxfId="37" priority="17">
      <formula>AND(D$5="Actuals",E$5="Forecast")</formula>
    </cfRule>
  </conditionalFormatting>
  <conditionalFormatting sqref="D11:H11">
    <cfRule type="expression" dxfId="36" priority="12">
      <formula>D$5="Forecast"</formula>
    </cfRule>
  </conditionalFormatting>
  <conditionalFormatting sqref="D13:H16">
    <cfRule type="expression" dxfId="35" priority="8">
      <formula>D$5="Forecast"</formula>
    </cfRule>
  </conditionalFormatting>
  <conditionalFormatting sqref="D18:H18">
    <cfRule type="expression" dxfId="34" priority="9">
      <formula>D$5="Forecast"</formula>
    </cfRule>
  </conditionalFormatting>
  <conditionalFormatting sqref="D20:H20">
    <cfRule type="expression" priority="28">
      <formula>D$5="N/A"</formula>
    </cfRule>
  </conditionalFormatting>
  <conditionalFormatting sqref="D40:H40">
    <cfRule type="expression" dxfId="33" priority="4">
      <formula>D$5="N/A"</formula>
    </cfRule>
  </conditionalFormatting>
  <conditionalFormatting sqref="D46:H54">
    <cfRule type="expression" dxfId="32" priority="3">
      <formula>D$5="N/A"</formula>
    </cfRule>
  </conditionalFormatting>
  <conditionalFormatting sqref="D56:H56 D58:H59">
    <cfRule type="expression" dxfId="31" priority="20">
      <formula>D$5="N/A"</formula>
    </cfRule>
  </conditionalFormatting>
  <conditionalFormatting sqref="D61:H63">
    <cfRule type="expression" dxfId="30" priority="2">
      <formula>D$5="N/A"</formula>
    </cfRule>
  </conditionalFormatting>
  <conditionalFormatting sqref="F65:K69">
    <cfRule type="expression" dxfId="29" priority="1">
      <formula>F$5="N/A"</formula>
    </cfRule>
  </conditionalFormatting>
  <conditionalFormatting sqref="G35:H38">
    <cfRule type="expression" dxfId="28" priority="18">
      <formula>G$5="N/A"</formula>
    </cfRule>
  </conditionalFormatting>
  <conditionalFormatting sqref="H5:H6">
    <cfRule type="expression" dxfId="27" priority="281">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Normal="100" workbookViewId="0">
      <selection activeCell="A5" sqref="A5"/>
    </sheetView>
  </sheetViews>
  <sheetFormatPr defaultColWidth="9" defaultRowHeight="13.5"/>
  <cols>
    <col min="1" max="1" width="8.3828125" style="114" customWidth="1"/>
    <col min="2" max="2" width="77.23046875" style="114" bestFit="1" customWidth="1"/>
    <col min="3" max="3" width="14.15234375" style="114" customWidth="1"/>
    <col min="4" max="8" width="11.15234375" style="114" customWidth="1"/>
    <col min="9" max="9" width="6.61328125" style="114" bestFit="1" customWidth="1"/>
    <col min="10" max="16384" width="9" style="114"/>
  </cols>
  <sheetData>
    <row r="1" spans="1:10" ht="20">
      <c r="A1" s="324" t="s">
        <v>1099</v>
      </c>
      <c r="B1" s="326"/>
      <c r="C1" s="327"/>
      <c r="D1" s="327"/>
      <c r="E1" s="327"/>
      <c r="F1" s="327"/>
      <c r="G1" s="327"/>
      <c r="H1" s="327"/>
      <c r="I1" s="456"/>
    </row>
    <row r="2" spans="1:10" ht="20">
      <c r="A2" s="329" t="str">
        <f>Licensee</f>
        <v>Cadent-London</v>
      </c>
      <c r="B2" s="331"/>
      <c r="C2" s="332"/>
      <c r="D2" s="332"/>
      <c r="E2" s="332"/>
      <c r="F2" s="332"/>
      <c r="G2" s="332"/>
      <c r="H2" s="332"/>
      <c r="I2" s="334"/>
    </row>
    <row r="3" spans="1:10" ht="20">
      <c r="A3" s="331">
        <f>Reporting_Year</f>
        <v>2024</v>
      </c>
      <c r="B3" s="555"/>
      <c r="C3" s="335"/>
      <c r="D3" s="335"/>
      <c r="E3" s="335"/>
      <c r="F3" s="335"/>
      <c r="G3" s="335"/>
      <c r="H3" s="335"/>
      <c r="I3" s="337"/>
    </row>
    <row r="4" spans="1:10" s="339" customFormat="1" ht="12.75" customHeight="1">
      <c r="B4" s="480"/>
      <c r="C4" s="114"/>
      <c r="D4" s="777"/>
      <c r="E4" s="777"/>
    </row>
    <row r="5" spans="1:10" s="339" customFormat="1" ht="12.75" customHeight="1">
      <c r="B5" s="480"/>
      <c r="C5" s="114"/>
      <c r="D5" s="1044" t="str">
        <f t="shared" ref="D5:H5" si="0">IF(D6&lt;=Reporting_Year,"Actuals","Forecast")</f>
        <v>Actuals</v>
      </c>
      <c r="E5" s="1044" t="str">
        <f t="shared" si="0"/>
        <v>Actuals</v>
      </c>
      <c r="F5" s="1044" t="str">
        <f t="shared" si="0"/>
        <v>Actuals</v>
      </c>
      <c r="G5" s="1044" t="str">
        <f t="shared" si="0"/>
        <v>Forecast</v>
      </c>
      <c r="H5" s="1044" t="str">
        <f t="shared" si="0"/>
        <v>Forecast</v>
      </c>
      <c r="I5" s="467"/>
    </row>
    <row r="6" spans="1:10" s="339" customFormat="1">
      <c r="C6" s="114"/>
      <c r="D6" s="562">
        <f>'RFPR cover'!$C$6</f>
        <v>2022</v>
      </c>
      <c r="E6" s="562">
        <f>D6+1</f>
        <v>2023</v>
      </c>
      <c r="F6" s="562">
        <f t="shared" ref="F6:H6" si="1">E6+1</f>
        <v>2024</v>
      </c>
      <c r="G6" s="562">
        <f t="shared" si="1"/>
        <v>2025</v>
      </c>
      <c r="H6" s="562">
        <f t="shared" si="1"/>
        <v>2026</v>
      </c>
      <c r="I6" s="467"/>
    </row>
    <row r="7" spans="1:10" s="339" customFormat="1">
      <c r="D7" s="457" t="str">
        <f>RIIO_2_start_date-1&amp;"/"&amp;RIGHT(RIIO_2_start_date,2)</f>
        <v>2021/22</v>
      </c>
      <c r="E7" s="457" t="str">
        <f>RIIO_2_start_date&amp;"/"&amp;RIGHT(RIIO_2_start_date+1,2)</f>
        <v>2022/23</v>
      </c>
      <c r="F7" s="457" t="str">
        <f>RIIO_2_start_date+1&amp;"/"&amp;RIGHT(RIIO_2_start_date+2,2)</f>
        <v>2023/24</v>
      </c>
      <c r="G7" s="457" t="str">
        <f>RIIO_2_start_date+2&amp;"/"&amp;RIGHT(RIIO_2_start_date+3,2)</f>
        <v>2024/25</v>
      </c>
      <c r="H7" s="562" t="str">
        <f>RIIO_2_start_date+3&amp;"/"&amp;RIGHT(RIIO_2_start_date+4,2)</f>
        <v>2025/26</v>
      </c>
      <c r="I7" s="467"/>
    </row>
    <row r="8" spans="1:10" s="339" customFormat="1">
      <c r="I8" s="467"/>
    </row>
    <row r="9" spans="1:10" s="339" customFormat="1">
      <c r="B9" s="1045" t="s">
        <v>1100</v>
      </c>
      <c r="C9" s="392"/>
      <c r="D9" s="393"/>
      <c r="E9" s="393"/>
      <c r="F9" s="393"/>
      <c r="G9" s="393"/>
      <c r="H9" s="393"/>
      <c r="I9" s="467"/>
    </row>
    <row r="10" spans="1:10" s="339" customFormat="1">
      <c r="B10" s="482"/>
      <c r="C10" s="29"/>
      <c r="I10" s="467"/>
    </row>
    <row r="11" spans="1:10" s="339" customFormat="1">
      <c r="B11" s="482"/>
      <c r="C11" s="29"/>
      <c r="I11" s="467"/>
    </row>
    <row r="12" spans="1:10">
      <c r="B12" s="429" t="s">
        <v>1101</v>
      </c>
      <c r="C12" s="29" t="s">
        <v>522</v>
      </c>
      <c r="D12" s="1046">
        <v>4.8983458665856627</v>
      </c>
      <c r="E12" s="1046">
        <v>4.873296886744594</v>
      </c>
      <c r="F12" s="1046">
        <f>SUM(F14:F15)</f>
        <v>0</v>
      </c>
      <c r="G12" s="1046"/>
      <c r="H12" s="1046"/>
      <c r="I12" s="467"/>
      <c r="J12" s="339"/>
    </row>
    <row r="13" spans="1:10">
      <c r="B13" s="564" t="s">
        <v>1102</v>
      </c>
      <c r="D13" s="860"/>
      <c r="E13" s="860"/>
      <c r="F13" s="860"/>
      <c r="G13" s="860"/>
      <c r="H13" s="860"/>
      <c r="J13" s="339"/>
    </row>
    <row r="14" spans="1:10">
      <c r="B14" s="114" t="s">
        <v>1103</v>
      </c>
      <c r="C14" s="29" t="s">
        <v>522</v>
      </c>
      <c r="D14" s="1046">
        <v>6.8312365786148241</v>
      </c>
      <c r="E14" s="1046">
        <v>6.7963032537725407</v>
      </c>
      <c r="F14" s="1046">
        <v>0</v>
      </c>
      <c r="G14" s="1046"/>
      <c r="H14" s="1046"/>
      <c r="I14" s="467"/>
      <c r="J14" s="339"/>
    </row>
    <row r="15" spans="1:10">
      <c r="B15" s="114" t="s">
        <v>1104</v>
      </c>
      <c r="C15" s="29" t="s">
        <v>522</v>
      </c>
      <c r="D15" s="1046">
        <v>-1.9328907120291616</v>
      </c>
      <c r="E15" s="1046">
        <v>-1.9230063670279465</v>
      </c>
      <c r="F15" s="1046">
        <v>0</v>
      </c>
      <c r="G15" s="1046"/>
      <c r="H15" s="1046"/>
      <c r="I15" s="467"/>
      <c r="J15" s="339"/>
    </row>
    <row r="16" spans="1:10">
      <c r="D16" s="860"/>
      <c r="E16" s="860"/>
      <c r="F16" s="860"/>
      <c r="G16" s="860"/>
      <c r="H16" s="860"/>
      <c r="I16" s="467"/>
      <c r="J16" s="339"/>
    </row>
    <row r="17" spans="2:10">
      <c r="D17" s="860"/>
      <c r="E17" s="860"/>
      <c r="F17" s="860"/>
      <c r="G17" s="860"/>
      <c r="H17" s="860"/>
      <c r="I17" s="467"/>
      <c r="J17" s="339"/>
    </row>
    <row r="18" spans="2:10">
      <c r="B18" s="114" t="s">
        <v>1103</v>
      </c>
      <c r="C18" s="841" t="str">
        <f>Data!$C$9</f>
        <v>£m 18/19</v>
      </c>
      <c r="D18" s="240">
        <f t="shared" ref="D18:H18" si="2">D$14/INDEX(real_to_nominal_CF,MATCH(D6,calendar_year,0))</f>
        <v>6.297326967322479</v>
      </c>
      <c r="E18" s="240">
        <f t="shared" si="2"/>
        <v>5.7597556533472112</v>
      </c>
      <c r="F18" s="240">
        <f t="shared" si="2"/>
        <v>0</v>
      </c>
      <c r="G18" s="240">
        <f t="shared" si="2"/>
        <v>0</v>
      </c>
      <c r="H18" s="240">
        <f t="shared" si="2"/>
        <v>0</v>
      </c>
      <c r="I18" s="467"/>
      <c r="J18" s="339"/>
    </row>
    <row r="19" spans="2:10">
      <c r="D19" s="860"/>
      <c r="E19" s="860"/>
      <c r="F19" s="860"/>
      <c r="G19" s="860"/>
      <c r="H19" s="860"/>
      <c r="I19" s="467"/>
      <c r="J19" s="339"/>
    </row>
    <row r="20" spans="2:10">
      <c r="D20" s="860"/>
      <c r="E20" s="860"/>
      <c r="F20" s="860"/>
      <c r="G20" s="860"/>
      <c r="H20" s="860"/>
      <c r="I20" s="467"/>
      <c r="J20" s="339"/>
    </row>
    <row r="21" spans="2:10" s="339" customFormat="1">
      <c r="B21" s="429" t="s">
        <v>1105</v>
      </c>
      <c r="C21" s="841" t="str">
        <f>Data!$C$9</f>
        <v>£m 18/19</v>
      </c>
      <c r="D21" s="850">
        <v>6.7505766358670112</v>
      </c>
      <c r="E21" s="850">
        <v>4.3107397998788244</v>
      </c>
      <c r="F21" s="850">
        <v>0</v>
      </c>
      <c r="G21" s="850">
        <v>-2</v>
      </c>
      <c r="H21" s="850">
        <v>-2</v>
      </c>
      <c r="I21" s="339" t="s">
        <v>1106</v>
      </c>
    </row>
    <row r="22" spans="2:10" s="339" customFormat="1">
      <c r="B22" s="114" t="s">
        <v>1107</v>
      </c>
      <c r="C22" s="841" t="str">
        <f>Data!$C$9</f>
        <v>£m 18/19</v>
      </c>
      <c r="D22" s="1046">
        <v>1.7</v>
      </c>
      <c r="E22" s="1046">
        <v>1.7</v>
      </c>
      <c r="F22" s="776">
        <v>0</v>
      </c>
      <c r="G22" s="776">
        <v>-2</v>
      </c>
      <c r="H22" s="776">
        <v>-2</v>
      </c>
      <c r="I22" s="467"/>
    </row>
    <row r="23" spans="2:10" s="339" customFormat="1">
      <c r="B23" s="429" t="s">
        <v>1108</v>
      </c>
      <c r="C23" s="841" t="str">
        <f>Data!$C$9</f>
        <v>£m 18/19</v>
      </c>
      <c r="D23" s="240">
        <f>D21-D22</f>
        <v>5.050576635867011</v>
      </c>
      <c r="E23" s="240">
        <f t="shared" ref="E23:H23" si="3">E21-E22</f>
        <v>2.6107397998788242</v>
      </c>
      <c r="F23" s="240">
        <f t="shared" si="3"/>
        <v>0</v>
      </c>
      <c r="G23" s="240">
        <f t="shared" si="3"/>
        <v>0</v>
      </c>
      <c r="H23" s="240">
        <f t="shared" si="3"/>
        <v>0</v>
      </c>
      <c r="I23" s="467"/>
    </row>
    <row r="24" spans="2:10" s="339" customFormat="1">
      <c r="B24" s="429"/>
      <c r="C24" s="429"/>
      <c r="D24" s="429"/>
      <c r="E24" s="429"/>
      <c r="F24" s="429"/>
      <c r="G24" s="429"/>
      <c r="H24" s="429"/>
      <c r="I24" s="467"/>
    </row>
    <row r="25" spans="2:10" s="339" customFormat="1">
      <c r="B25" s="429"/>
      <c r="C25" s="429"/>
      <c r="D25" s="1413" t="s">
        <v>1109</v>
      </c>
      <c r="E25" s="429"/>
      <c r="F25" s="429"/>
      <c r="G25" s="429"/>
      <c r="H25" s="429"/>
      <c r="I25" s="467"/>
    </row>
    <row r="26" spans="2:10" s="339" customFormat="1" ht="12.75" customHeight="1">
      <c r="B26" s="429"/>
      <c r="C26" s="429"/>
      <c r="D26" s="1414"/>
      <c r="E26" s="429"/>
      <c r="F26" s="429"/>
      <c r="G26" s="429"/>
      <c r="H26" s="429"/>
      <c r="I26" s="467"/>
    </row>
    <row r="27" spans="2:10">
      <c r="C27" s="429"/>
      <c r="D27" s="1415"/>
      <c r="E27" s="429"/>
      <c r="F27" s="429"/>
      <c r="I27" s="467"/>
    </row>
    <row r="28" spans="2:10">
      <c r="B28" s="429" t="s">
        <v>1110</v>
      </c>
      <c r="C28" s="429"/>
      <c r="D28" s="1288">
        <v>44651</v>
      </c>
      <c r="E28" s="429"/>
      <c r="F28" s="429"/>
      <c r="I28" s="467"/>
    </row>
    <row r="29" spans="2:10">
      <c r="B29" s="429"/>
      <c r="C29" s="429"/>
      <c r="D29" s="1047"/>
      <c r="E29" s="429"/>
      <c r="F29" s="429"/>
      <c r="I29" s="467"/>
    </row>
    <row r="30" spans="2:10">
      <c r="B30" s="114" t="s">
        <v>969</v>
      </c>
      <c r="C30" s="429"/>
      <c r="D30" s="1046" t="s">
        <v>1159</v>
      </c>
      <c r="E30" s="429"/>
      <c r="F30" s="429"/>
      <c r="I30" s="467"/>
    </row>
    <row r="31" spans="2:10">
      <c r="C31" s="429"/>
      <c r="D31" s="429"/>
      <c r="E31" s="429"/>
      <c r="F31" s="429"/>
      <c r="H31"/>
      <c r="I31" s="467"/>
    </row>
    <row r="32" spans="2:10">
      <c r="B32" s="429"/>
      <c r="F32" s="429"/>
      <c r="I32" s="467"/>
    </row>
    <row r="33" spans="2:9">
      <c r="B33" s="114" t="s">
        <v>1111</v>
      </c>
      <c r="C33" s="1048" t="str">
        <f>"£m "&amp;$D$30</f>
        <v>£m 21/22</v>
      </c>
      <c r="D33" s="1046">
        <v>238.39195799999999</v>
      </c>
      <c r="E33" s="429"/>
      <c r="F33" s="429"/>
      <c r="I33" s="467"/>
    </row>
    <row r="34" spans="2:9">
      <c r="B34" s="114" t="s">
        <v>1112</v>
      </c>
      <c r="C34" s="1048" t="str">
        <f>"£m "&amp;$D$30</f>
        <v>£m 21/22</v>
      </c>
      <c r="D34" s="1046">
        <v>6196.6080419999998</v>
      </c>
      <c r="E34" s="429"/>
      <c r="F34" s="429"/>
      <c r="I34" s="467"/>
    </row>
    <row r="35" spans="2:9">
      <c r="C35" s="1049"/>
      <c r="D35" s="860"/>
      <c r="E35" s="429"/>
      <c r="F35" s="429"/>
      <c r="I35" s="467"/>
    </row>
    <row r="36" spans="2:9">
      <c r="B36" s="114" t="s">
        <v>1113</v>
      </c>
      <c r="C36" s="1048" t="str">
        <f>"£m "&amp;$D$30</f>
        <v>£m 21/22</v>
      </c>
      <c r="D36" s="1046">
        <v>286.61980701200832</v>
      </c>
      <c r="I36" s="467"/>
    </row>
    <row r="37" spans="2:9">
      <c r="B37" s="114" t="s">
        <v>1114</v>
      </c>
      <c r="C37" s="1048" t="str">
        <f>"£m "&amp;$D$30</f>
        <v>£m 21/22</v>
      </c>
      <c r="D37" s="1046">
        <v>6249.6801929879921</v>
      </c>
      <c r="I37" s="467"/>
    </row>
    <row r="38" spans="2:9">
      <c r="C38" s="1049"/>
      <c r="D38" s="860"/>
      <c r="I38" s="467"/>
    </row>
    <row r="39" spans="2:9">
      <c r="B39" s="575" t="s">
        <v>1115</v>
      </c>
      <c r="C39" s="1048" t="str">
        <f>"£m "&amp;$D$30</f>
        <v>£m 21/22</v>
      </c>
      <c r="D39" s="240">
        <f>D33-D36</f>
        <v>-48.227849012008335</v>
      </c>
      <c r="I39" s="467"/>
    </row>
    <row r="40" spans="2:9">
      <c r="B40" s="575" t="s">
        <v>1116</v>
      </c>
      <c r="C40" s="1048" t="str">
        <f>"£m "&amp;$D$30</f>
        <v>£m 21/22</v>
      </c>
      <c r="D40" s="240">
        <f>D34-D37</f>
        <v>-53.072150987992245</v>
      </c>
      <c r="I40" s="467"/>
    </row>
    <row r="41" spans="2:9">
      <c r="C41" s="1049"/>
      <c r="D41" s="860"/>
      <c r="I41" s="467"/>
    </row>
    <row r="42" spans="2:9">
      <c r="B42" s="114" t="s">
        <v>1117</v>
      </c>
      <c r="C42" s="1048" t="str">
        <f>"£m "&amp;$D$30</f>
        <v>£m 21/22</v>
      </c>
      <c r="D42" s="1046">
        <v>11.463584613406324</v>
      </c>
      <c r="I42" s="467"/>
    </row>
    <row r="43" spans="2:9">
      <c r="B43" s="114" t="s">
        <v>1118</v>
      </c>
      <c r="C43" s="1048" t="str">
        <f>"£m "&amp;$D$30</f>
        <v>£m 21/22</v>
      </c>
      <c r="D43" s="1046">
        <v>10.629262742562009</v>
      </c>
      <c r="I43" s="467"/>
    </row>
    <row r="44" spans="2:9">
      <c r="I44" s="467"/>
    </row>
    <row r="45" spans="2:9">
      <c r="I45" s="467"/>
    </row>
    <row r="46" spans="2:9">
      <c r="I46" s="467"/>
    </row>
    <row r="47" spans="2:9">
      <c r="B47" s="1045" t="s">
        <v>1119</v>
      </c>
      <c r="C47" s="392"/>
      <c r="D47" s="393"/>
      <c r="E47" s="393"/>
      <c r="F47" s="393"/>
      <c r="G47" s="393"/>
      <c r="H47" s="393"/>
      <c r="I47" s="467"/>
    </row>
    <row r="48" spans="2:9">
      <c r="I48" s="467"/>
    </row>
    <row r="49" spans="1:9">
      <c r="I49" s="467"/>
    </row>
    <row r="50" spans="1:9">
      <c r="I50" s="467"/>
    </row>
    <row r="51" spans="1:9">
      <c r="A51" s="339"/>
      <c r="B51" s="480"/>
      <c r="C51" s="480"/>
      <c r="D51" s="1044" t="str">
        <f t="shared" ref="D51:H51" si="4">IF(D52&lt;=Reporting_Year,"Actuals","Forecast")</f>
        <v>Actuals</v>
      </c>
      <c r="E51" s="1044" t="str">
        <f t="shared" si="4"/>
        <v>Actuals</v>
      </c>
      <c r="F51" s="1044" t="str">
        <f t="shared" si="4"/>
        <v>Actuals</v>
      </c>
      <c r="G51" s="1044" t="str">
        <f t="shared" si="4"/>
        <v>Forecast</v>
      </c>
      <c r="H51" s="1044" t="str">
        <f t="shared" si="4"/>
        <v>Forecast</v>
      </c>
      <c r="I51" s="467"/>
    </row>
    <row r="52" spans="1:9">
      <c r="A52" s="339"/>
      <c r="B52" s="339"/>
      <c r="C52" s="429"/>
      <c r="D52" s="562">
        <f>'RFPR cover'!$C$6</f>
        <v>2022</v>
      </c>
      <c r="E52" s="562">
        <f t="shared" ref="E52:H52" si="5">D52+1</f>
        <v>2023</v>
      </c>
      <c r="F52" s="562">
        <f t="shared" si="5"/>
        <v>2024</v>
      </c>
      <c r="G52" s="562">
        <f t="shared" si="5"/>
        <v>2025</v>
      </c>
      <c r="H52" s="562">
        <f t="shared" si="5"/>
        <v>2026</v>
      </c>
      <c r="I52" s="467"/>
    </row>
    <row r="53" spans="1:9">
      <c r="D53" s="1050"/>
      <c r="E53" s="1050"/>
      <c r="F53" s="1050"/>
      <c r="G53" s="1050"/>
      <c r="H53" s="1050"/>
      <c r="I53" s="467"/>
    </row>
    <row r="54" spans="1:9">
      <c r="B54" s="482" t="s">
        <v>1120</v>
      </c>
      <c r="C54" s="841" t="str">
        <f>Data!$C$9</f>
        <v>£m 18/19</v>
      </c>
      <c r="D54" s="242">
        <f>(D$62+D$67)/INDEX(real_to_nominal_CF,MATCH('R10 - Pensions &amp; Oth Activities'!D52,calendar_year,0))</f>
        <v>1.5153122719828209</v>
      </c>
      <c r="E54" s="242">
        <f>(E$62+E$67)/INDEX(real_to_nominal_CF,MATCH('R10 - Pensions &amp; Oth Activities'!E52,calendar_year,0))</f>
        <v>1.5775899683963812</v>
      </c>
      <c r="F54" s="242">
        <f>(F$62+F$67)/INDEX(real_to_nominal_CF,MATCH('R10 - Pensions &amp; Oth Activities'!F52,calendar_year,0))</f>
        <v>1.8505686682235722</v>
      </c>
      <c r="G54" s="242">
        <f>(G$62+G$67)/INDEX(real_to_nominal_CF,MATCH('R10 - Pensions &amp; Oth Activities'!G52,calendar_year,0))</f>
        <v>0.55708711967627489</v>
      </c>
      <c r="H54" s="242">
        <f>(H$62+H$67)/INDEX(real_to_nominal_CF,MATCH('R10 - Pensions &amp; Oth Activities'!H52,calendar_year,0))</f>
        <v>0.5486513152835194</v>
      </c>
      <c r="I54" s="467"/>
    </row>
    <row r="55" spans="1:9">
      <c r="D55" s="1050"/>
      <c r="E55" s="1050"/>
      <c r="F55" s="1050"/>
      <c r="G55" s="1050"/>
      <c r="H55" s="1050"/>
    </row>
    <row r="56" spans="1:9">
      <c r="B56" s="429" t="s">
        <v>1121</v>
      </c>
      <c r="D56" s="1050"/>
      <c r="E56" s="1050"/>
      <c r="F56" s="1050"/>
      <c r="G56" s="1050"/>
      <c r="H56" s="1050"/>
    </row>
    <row r="57" spans="1:9">
      <c r="B57" s="1051" t="s">
        <v>1122</v>
      </c>
      <c r="C57" s="29" t="s">
        <v>522</v>
      </c>
      <c r="D57" s="1046">
        <v>0</v>
      </c>
      <c r="E57" s="1046">
        <v>0</v>
      </c>
      <c r="F57" s="496">
        <v>0</v>
      </c>
      <c r="G57" s="496">
        <v>0</v>
      </c>
      <c r="H57" s="496">
        <v>0</v>
      </c>
    </row>
    <row r="58" spans="1:9">
      <c r="B58" s="1051" t="s">
        <v>1122</v>
      </c>
      <c r="C58" s="29" t="s">
        <v>522</v>
      </c>
      <c r="D58" s="1046">
        <v>0</v>
      </c>
      <c r="E58" s="1046">
        <v>0</v>
      </c>
      <c r="F58" s="496">
        <v>0</v>
      </c>
      <c r="G58" s="496">
        <v>0</v>
      </c>
      <c r="H58" s="496">
        <v>0</v>
      </c>
    </row>
    <row r="59" spans="1:9">
      <c r="B59" s="1051" t="s">
        <v>1049</v>
      </c>
      <c r="C59" s="29" t="s">
        <v>522</v>
      </c>
      <c r="D59" s="1046">
        <v>0</v>
      </c>
      <c r="E59" s="1046">
        <v>0</v>
      </c>
      <c r="F59" s="496">
        <v>0</v>
      </c>
      <c r="G59" s="496">
        <v>0</v>
      </c>
      <c r="H59" s="496">
        <v>0</v>
      </c>
    </row>
    <row r="60" spans="1:9">
      <c r="B60" s="429" t="s">
        <v>1123</v>
      </c>
      <c r="C60" s="29" t="s">
        <v>522</v>
      </c>
      <c r="D60" s="242">
        <f t="shared" ref="D60:H60" si="6">SUM(D57:D59)</f>
        <v>0</v>
      </c>
      <c r="E60" s="242">
        <f t="shared" si="6"/>
        <v>0</v>
      </c>
      <c r="F60" s="242">
        <f t="shared" si="6"/>
        <v>0</v>
      </c>
      <c r="G60" s="242">
        <f t="shared" si="6"/>
        <v>0</v>
      </c>
      <c r="H60" s="242">
        <f t="shared" si="6"/>
        <v>0</v>
      </c>
    </row>
    <row r="61" spans="1:9">
      <c r="B61" s="339" t="s">
        <v>1124</v>
      </c>
      <c r="C61" s="29" t="s">
        <v>522</v>
      </c>
      <c r="D61" s="1046">
        <v>0</v>
      </c>
      <c r="E61" s="1046">
        <v>0</v>
      </c>
      <c r="F61" s="496">
        <v>0</v>
      </c>
      <c r="G61" s="496">
        <v>0</v>
      </c>
      <c r="H61" s="496">
        <v>0</v>
      </c>
    </row>
    <row r="62" spans="1:9">
      <c r="B62" s="482" t="s">
        <v>1125</v>
      </c>
      <c r="C62" s="29" t="s">
        <v>522</v>
      </c>
      <c r="D62" s="242">
        <f t="shared" ref="D62:H62" si="7">D60-D61</f>
        <v>0</v>
      </c>
      <c r="E62" s="242">
        <f t="shared" si="7"/>
        <v>0</v>
      </c>
      <c r="F62" s="242">
        <f t="shared" si="7"/>
        <v>0</v>
      </c>
      <c r="G62" s="242">
        <f t="shared" si="7"/>
        <v>0</v>
      </c>
      <c r="H62" s="242">
        <f t="shared" si="7"/>
        <v>0</v>
      </c>
    </row>
    <row r="64" spans="1:9">
      <c r="B64" s="429" t="s">
        <v>1126</v>
      </c>
      <c r="D64" s="1050"/>
      <c r="E64" s="1050"/>
      <c r="F64" s="1050"/>
      <c r="G64" s="1050"/>
      <c r="H64" s="1050"/>
    </row>
    <row r="65" spans="2:8">
      <c r="B65" s="1051" t="s">
        <v>1127</v>
      </c>
      <c r="C65" s="29" t="s">
        <v>522</v>
      </c>
      <c r="D65" s="1046">
        <v>2.0293651800000001</v>
      </c>
      <c r="E65" s="1046">
        <v>2.4819987700000006</v>
      </c>
      <c r="F65" s="496">
        <v>3.072968575</v>
      </c>
      <c r="G65" s="496">
        <v>0.94641704005956051</v>
      </c>
      <c r="H65" s="496">
        <v>0.94641704005956051</v>
      </c>
    </row>
    <row r="66" spans="2:8">
      <c r="B66" s="339" t="s">
        <v>1124</v>
      </c>
      <c r="C66" s="29" t="s">
        <v>522</v>
      </c>
      <c r="D66" s="1046">
        <v>0.38557938420000004</v>
      </c>
      <c r="E66" s="1046">
        <v>0.62049969250000014</v>
      </c>
      <c r="F66" s="496">
        <f t="shared" ref="F66:H66" si="8">F65*0.25</f>
        <v>0.76824214374999999</v>
      </c>
      <c r="G66" s="496">
        <f t="shared" si="8"/>
        <v>0.23660426001489013</v>
      </c>
      <c r="H66" s="496">
        <f t="shared" si="8"/>
        <v>0.23660426001489013</v>
      </c>
    </row>
    <row r="67" spans="2:8">
      <c r="B67" s="482" t="s">
        <v>1128</v>
      </c>
      <c r="C67" s="29" t="s">
        <v>522</v>
      </c>
      <c r="D67" s="242">
        <f t="shared" ref="D67:H67" si="9">D65-D66</f>
        <v>1.6437857957999999</v>
      </c>
      <c r="E67" s="242">
        <f t="shared" si="9"/>
        <v>1.8614990775000004</v>
      </c>
      <c r="F67" s="242">
        <f t="shared" si="9"/>
        <v>2.3047264312499998</v>
      </c>
      <c r="G67" s="242">
        <f t="shared" si="9"/>
        <v>0.70981278004467041</v>
      </c>
      <c r="H67" s="242">
        <f t="shared" si="9"/>
        <v>0.70981278004467041</v>
      </c>
    </row>
  </sheetData>
  <sheetProtection insertRows="0" sort="0" autoFilter="0" pivotTables="0"/>
  <mergeCells count="1">
    <mergeCell ref="D25:D27"/>
  </mergeCells>
  <conditionalFormatting sqref="D25">
    <cfRule type="expression" dxfId="26" priority="36">
      <formula>AND(E$4="Actuals",F$4="Forecast")</formula>
    </cfRule>
  </conditionalFormatting>
  <conditionalFormatting sqref="D28">
    <cfRule type="expression" dxfId="25" priority="23">
      <formula>D$5="Forecast"</formula>
    </cfRule>
    <cfRule type="expression" dxfId="24" priority="24">
      <formula>D$5="Actuals"</formula>
    </cfRule>
  </conditionalFormatting>
  <conditionalFormatting sqref="D30">
    <cfRule type="expression" dxfId="23" priority="21">
      <formula>D$5="Forecast"</formula>
    </cfRule>
    <cfRule type="expression" dxfId="22" priority="22">
      <formula>D$5="Actuals"</formula>
    </cfRule>
  </conditionalFormatting>
  <conditionalFormatting sqref="D33:D34">
    <cfRule type="expression" dxfId="21" priority="13">
      <formula>D$5="Forecast"</formula>
    </cfRule>
    <cfRule type="expression" dxfId="20" priority="14">
      <formula>D$5="Actuals"</formula>
    </cfRule>
  </conditionalFormatting>
  <conditionalFormatting sqref="D36:D37">
    <cfRule type="expression" dxfId="19" priority="17">
      <formula>D$5="Forecast"</formula>
    </cfRule>
    <cfRule type="expression" dxfId="18" priority="18">
      <formula>D$5="Actuals"</formula>
    </cfRule>
  </conditionalFormatting>
  <conditionalFormatting sqref="D42:D43">
    <cfRule type="expression" dxfId="17" priority="9">
      <formula>D$5="Forecast"</formula>
    </cfRule>
    <cfRule type="expression" dxfId="16" priority="10">
      <formula>D$5="Actuals"</formula>
    </cfRule>
  </conditionalFormatting>
  <conditionalFormatting sqref="D22:E22">
    <cfRule type="expression" dxfId="15" priority="25">
      <formula>D$5="Forecast"</formula>
    </cfRule>
    <cfRule type="expression" dxfId="14" priority="26">
      <formula>D$5="Actuals"</formula>
    </cfRule>
  </conditionalFormatting>
  <conditionalFormatting sqref="D57:E59">
    <cfRule type="expression" dxfId="13" priority="7">
      <formula>D$5="Forecast"</formula>
    </cfRule>
    <cfRule type="expression" dxfId="12" priority="8">
      <formula>D$5="Actuals"</formula>
    </cfRule>
  </conditionalFormatting>
  <conditionalFormatting sqref="D61:E61">
    <cfRule type="expression" dxfId="11" priority="5">
      <formula>D$5="Forecast"</formula>
    </cfRule>
    <cfRule type="expression" dxfId="10" priority="6">
      <formula>D$5="Actuals"</formula>
    </cfRule>
  </conditionalFormatting>
  <conditionalFormatting sqref="D65:E66">
    <cfRule type="expression" dxfId="9" priority="1">
      <formula>D$5="Forecast"</formula>
    </cfRule>
    <cfRule type="expression" dxfId="8" priority="2">
      <formula>D$5="Actuals"</formula>
    </cfRule>
  </conditionalFormatting>
  <conditionalFormatting sqref="D5:G6 I5:I12 I14:I54 D51:G52">
    <cfRule type="expression" dxfId="7" priority="39">
      <formula>AND(D$5="Actuals",E$5="Forecast")</formula>
    </cfRule>
  </conditionalFormatting>
  <conditionalFormatting sqref="D6:G6 D52:G52">
    <cfRule type="expression" dxfId="6" priority="46">
      <formula>AND(D$4="Actuals",E$4="Forecast")</formula>
    </cfRule>
  </conditionalFormatting>
  <conditionalFormatting sqref="D7:H7">
    <cfRule type="expression" dxfId="5" priority="27">
      <formula>AND(D$5="Actuals",E$5="Forecast")</formula>
    </cfRule>
  </conditionalFormatting>
  <conditionalFormatting sqref="D12:H12 D14:H15">
    <cfRule type="expression" dxfId="4" priority="40">
      <formula>D$5="Forecast"</formula>
    </cfRule>
    <cfRule type="expression" dxfId="3" priority="41">
      <formula>D$5="Actuals"</formula>
    </cfRule>
  </conditionalFormatting>
  <conditionalFormatting sqref="H5:H6 H51:H52">
    <cfRule type="expression" dxfId="2" priority="300">
      <formula>AND(H$5="Actuals",#REF!="Forecast")</formula>
    </cfRule>
  </conditionalFormatting>
  <conditionalFormatting sqref="H6 H52">
    <cfRule type="expression" dxfId="1" priority="292">
      <formula>AND(H$4="Actuals",#REF!="Forecast")</formula>
    </cfRule>
  </conditionalFormatting>
  <conditionalFormatting sqref="J17:J22">
    <cfRule type="expression" dxfId="0" priority="312">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activeCell="B8" sqref="B8"/>
    </sheetView>
  </sheetViews>
  <sheetFormatPr defaultRowHeight="13.5"/>
  <cols>
    <col min="1" max="1" width="1.61328125" customWidth="1"/>
  </cols>
  <sheetData>
    <row r="1" spans="1:5">
      <c r="A1" s="1" t="s">
        <v>1129</v>
      </c>
    </row>
    <row r="4" spans="1:5">
      <c r="B4" s="47" t="s">
        <v>273</v>
      </c>
    </row>
    <row r="5" spans="1:5">
      <c r="B5" s="47" t="s">
        <v>274</v>
      </c>
      <c r="E5" s="47"/>
    </row>
    <row r="6" spans="1:5">
      <c r="B6" s="47" t="s">
        <v>275</v>
      </c>
    </row>
    <row r="7" spans="1:5">
      <c r="B7" s="47" t="s">
        <v>276</v>
      </c>
    </row>
    <row r="8" spans="1:5">
      <c r="B8" s="47" t="s">
        <v>277</v>
      </c>
    </row>
    <row r="9" spans="1:5">
      <c r="B9" s="47" t="s">
        <v>278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workbookViewId="0">
      <selection activeCell="Q35" sqref="Q35"/>
    </sheetView>
  </sheetViews>
  <sheetFormatPr defaultColWidth="0" defaultRowHeight="15" customHeight="1" zeroHeight="1"/>
  <cols>
    <col min="1" max="1" width="19.15234375" style="267" customWidth="1"/>
    <col min="2" max="2" width="11.3828125" style="267" customWidth="1"/>
    <col min="3" max="3" width="10.4609375" style="267" customWidth="1"/>
    <col min="4" max="4" width="9" style="267" customWidth="1"/>
    <col min="5" max="15" width="10" style="267" customWidth="1"/>
    <col min="16" max="23" width="10" style="266" customWidth="1"/>
    <col min="24" max="32" width="10" style="266" hidden="1" customWidth="1"/>
    <col min="33" max="16384" width="9" style="266" hidden="1"/>
  </cols>
  <sheetData>
    <row r="1" spans="1:29" customFormat="1" ht="19.5">
      <c r="A1" s="272" t="str">
        <f ca="1">MID(CELL("filename",A1),FIND("]",CELL("filename",A1))+1,256)</f>
        <v>I1 - Universal Data</v>
      </c>
      <c r="B1" s="273"/>
      <c r="C1" s="273"/>
      <c r="D1" s="273"/>
      <c r="E1" s="273"/>
      <c r="F1" s="273"/>
      <c r="G1" s="273"/>
      <c r="H1" s="273"/>
      <c r="I1" s="273"/>
      <c r="J1" s="273"/>
      <c r="K1" s="273"/>
      <c r="L1" s="273"/>
      <c r="M1" s="273"/>
      <c r="N1" s="273"/>
      <c r="O1" s="273"/>
      <c r="P1" s="273"/>
      <c r="Q1" s="273"/>
      <c r="R1" s="273"/>
      <c r="S1" s="273"/>
      <c r="T1" s="273"/>
      <c r="U1" s="273"/>
      <c r="V1" s="273"/>
      <c r="W1" s="276"/>
      <c r="X1" s="1061"/>
      <c r="Y1" s="1061"/>
      <c r="Z1" s="1061"/>
      <c r="AA1" s="1061"/>
      <c r="AB1" s="1061"/>
    </row>
    <row r="2" spans="1:29" customFormat="1" ht="19.5">
      <c r="A2" s="272" t="str">
        <f>Licensee</f>
        <v>Cadent-London</v>
      </c>
      <c r="B2" s="273"/>
      <c r="C2" s="273"/>
      <c r="D2" s="273"/>
      <c r="E2" s="273"/>
      <c r="F2" s="273"/>
      <c r="G2" s="273"/>
      <c r="H2" s="273"/>
      <c r="I2" s="273"/>
      <c r="J2" s="273"/>
      <c r="K2" s="273"/>
      <c r="L2" s="273"/>
      <c r="M2" s="273"/>
      <c r="N2" s="273"/>
      <c r="O2" s="273"/>
      <c r="P2" s="273"/>
      <c r="Q2" s="273"/>
      <c r="R2" s="273"/>
      <c r="S2" s="273"/>
      <c r="T2" s="273"/>
      <c r="U2" s="273"/>
      <c r="V2" s="273"/>
      <c r="W2" s="276"/>
      <c r="X2" s="1061"/>
      <c r="Y2" s="1061"/>
      <c r="Z2" s="1061"/>
      <c r="AA2" s="1061"/>
      <c r="AB2" s="1061"/>
    </row>
    <row r="3" spans="1:29" customFormat="1" ht="19.5">
      <c r="A3" s="274" t="str">
        <f>Sector</f>
        <v>GD2</v>
      </c>
      <c r="B3" s="275"/>
      <c r="C3" s="275"/>
      <c r="D3" s="275"/>
      <c r="E3" s="275"/>
      <c r="F3" s="275"/>
      <c r="G3" s="275"/>
      <c r="H3" s="275"/>
      <c r="I3" s="275"/>
      <c r="J3" s="275"/>
      <c r="K3" s="275"/>
      <c r="L3" s="275"/>
      <c r="M3" s="275"/>
      <c r="N3" s="275"/>
      <c r="O3" s="275"/>
      <c r="P3" s="275"/>
      <c r="Q3" s="275"/>
      <c r="R3" s="275"/>
      <c r="S3" s="275"/>
      <c r="T3" s="275"/>
      <c r="U3" s="275"/>
      <c r="V3" s="275"/>
      <c r="W3" s="277"/>
      <c r="X3" s="1061"/>
      <c r="Y3" s="1061"/>
      <c r="Z3" s="1061"/>
      <c r="AA3" s="1061"/>
      <c r="AB3" s="1061"/>
    </row>
    <row r="4" spans="1:29" ht="14.5">
      <c r="A4" s="1062"/>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4"/>
    </row>
    <row r="5" spans="1:29" ht="14.5">
      <c r="A5" s="1065" t="s">
        <v>1130</v>
      </c>
      <c r="B5" s="1066" t="s">
        <v>1131</v>
      </c>
      <c r="C5" s="1066" t="s">
        <v>1132</v>
      </c>
      <c r="D5" s="1067">
        <v>2015</v>
      </c>
      <c r="E5" s="1067">
        <v>2016</v>
      </c>
      <c r="F5" s="1067">
        <v>2017</v>
      </c>
      <c r="G5" s="1067">
        <v>2018</v>
      </c>
      <c r="H5" s="1067">
        <v>2019</v>
      </c>
      <c r="I5" s="1067">
        <v>2020</v>
      </c>
      <c r="J5" s="1067">
        <v>2021</v>
      </c>
      <c r="K5" s="1067">
        <v>2022</v>
      </c>
      <c r="L5" s="1067">
        <v>2023</v>
      </c>
      <c r="M5" s="1067">
        <f>L5+1</f>
        <v>2024</v>
      </c>
      <c r="N5" s="1067">
        <f>M5+1</f>
        <v>2025</v>
      </c>
      <c r="O5" s="1067">
        <f>N5+1</f>
        <v>2026</v>
      </c>
      <c r="P5" s="1067">
        <f>O5+1</f>
        <v>2027</v>
      </c>
      <c r="Q5" s="1067">
        <f>P5+1</f>
        <v>2028</v>
      </c>
      <c r="R5" s="1067">
        <f t="shared" ref="R5:V5" si="0">Q5+1</f>
        <v>2029</v>
      </c>
      <c r="S5" s="1067">
        <f t="shared" si="0"/>
        <v>2030</v>
      </c>
      <c r="T5" s="1067">
        <f t="shared" si="0"/>
        <v>2031</v>
      </c>
      <c r="U5" s="1067">
        <f t="shared" si="0"/>
        <v>2032</v>
      </c>
      <c r="V5" s="1067">
        <f t="shared" si="0"/>
        <v>2033</v>
      </c>
      <c r="W5" s="1064"/>
    </row>
    <row r="6" spans="1:29" ht="14.5">
      <c r="A6" s="1068"/>
      <c r="B6" s="1063"/>
      <c r="C6" s="1063"/>
      <c r="D6" s="1064"/>
      <c r="E6" s="1064"/>
      <c r="F6" s="1064"/>
      <c r="G6" s="1064"/>
      <c r="H6" s="1064"/>
      <c r="I6" s="1064"/>
      <c r="J6" s="1064"/>
      <c r="K6" s="1064"/>
      <c r="L6" s="1064"/>
      <c r="M6" s="1064"/>
      <c r="N6" s="1064"/>
      <c r="O6" s="1064"/>
      <c r="P6" s="1064"/>
      <c r="Q6" s="1064"/>
      <c r="R6" s="1064"/>
      <c r="S6" s="1064"/>
      <c r="T6" s="1064"/>
      <c r="U6" s="1064"/>
      <c r="V6" s="1064"/>
      <c r="W6" s="1064"/>
      <c r="X6" s="1064"/>
      <c r="Y6" s="1064"/>
    </row>
    <row r="7" spans="1:29" s="267" customFormat="1" ht="13.5">
      <c r="A7" s="87" t="s">
        <v>1133</v>
      </c>
      <c r="B7" s="87"/>
      <c r="C7" s="1069"/>
      <c r="D7" s="1070"/>
      <c r="E7" s="1070"/>
      <c r="F7" s="1070"/>
      <c r="G7" s="1070"/>
      <c r="H7" s="1070"/>
      <c r="I7" s="1071"/>
      <c r="J7" s="1071"/>
      <c r="K7" s="1071"/>
      <c r="L7" s="1071"/>
      <c r="M7" s="1071"/>
      <c r="N7" s="1071"/>
      <c r="O7" s="1071"/>
      <c r="P7" s="1071"/>
      <c r="Q7" s="1071"/>
      <c r="R7" s="1071"/>
      <c r="S7" s="1071"/>
      <c r="T7" s="1071"/>
      <c r="U7" s="1071"/>
      <c r="V7" s="1071"/>
    </row>
    <row r="8" spans="1:29" ht="14.5">
      <c r="E8" s="1072"/>
      <c r="F8" s="1072"/>
      <c r="G8" s="1072"/>
      <c r="H8" s="1072"/>
      <c r="I8" s="1072"/>
      <c r="J8" s="1072"/>
      <c r="K8" s="1072"/>
      <c r="L8" s="1072"/>
      <c r="M8" s="1072"/>
      <c r="N8" s="1072"/>
      <c r="O8" s="1072"/>
      <c r="P8" s="1073"/>
      <c r="Q8" s="1073"/>
      <c r="R8" s="1073"/>
      <c r="S8" s="1073"/>
      <c r="T8" s="1073"/>
      <c r="U8" s="1073"/>
      <c r="V8" s="1073"/>
    </row>
    <row r="9" spans="1:29" ht="14.5">
      <c r="A9" s="1074" t="s">
        <v>1134</v>
      </c>
      <c r="B9" s="267" t="s">
        <v>1135</v>
      </c>
      <c r="C9" s="1075">
        <f>IF(Price_basis = "£M 18/19", 2019, IF(Price_basis = "£M 20/21", 2021, "NA"))</f>
        <v>2019</v>
      </c>
      <c r="D9" s="266"/>
      <c r="E9" s="1072"/>
      <c r="F9" s="1072"/>
      <c r="G9" s="1072"/>
      <c r="H9" s="1072"/>
      <c r="I9" s="1072"/>
      <c r="J9" s="1072"/>
      <c r="K9" s="1072"/>
      <c r="L9" s="1072"/>
      <c r="M9" s="1072"/>
      <c r="N9" s="1072"/>
      <c r="O9" s="1072"/>
      <c r="P9" s="1073"/>
      <c r="Q9" s="1073"/>
      <c r="R9" s="1073"/>
      <c r="S9" s="1073"/>
      <c r="T9" s="1073"/>
      <c r="U9" s="1073"/>
      <c r="V9" s="1073"/>
    </row>
    <row r="10" spans="1:29" s="267" customFormat="1" ht="14.5">
      <c r="E10" s="1072"/>
      <c r="F10" s="1072"/>
      <c r="G10" s="1072"/>
      <c r="H10" s="1072"/>
      <c r="I10" s="1072"/>
      <c r="J10" s="1072"/>
      <c r="K10" s="1072"/>
      <c r="L10" s="1072"/>
      <c r="M10" s="1072"/>
      <c r="N10" s="1072"/>
      <c r="O10" s="1072"/>
      <c r="P10" s="1073"/>
      <c r="Q10" s="1072"/>
      <c r="R10" s="1072"/>
      <c r="S10" s="1072"/>
      <c r="T10" s="1072"/>
      <c r="U10" s="1072"/>
      <c r="V10" s="1072"/>
    </row>
    <row r="11" spans="1:29" s="267" customFormat="1" ht="14.5">
      <c r="A11" s="1076" t="s">
        <v>1136</v>
      </c>
      <c r="B11" s="1077"/>
      <c r="D11" s="1078"/>
      <c r="E11" s="1079"/>
      <c r="F11" s="1079"/>
      <c r="G11" s="1079"/>
      <c r="H11" s="1072"/>
      <c r="I11" s="1072"/>
      <c r="J11" s="1072"/>
      <c r="K11" s="1072"/>
      <c r="L11" s="1072"/>
      <c r="M11" s="1072"/>
      <c r="N11" s="1072"/>
      <c r="O11" s="1072"/>
      <c r="P11" s="1073"/>
      <c r="Q11" s="1079"/>
      <c r="R11" s="1079"/>
      <c r="S11" s="1079"/>
      <c r="T11" s="1079"/>
      <c r="U11" s="1079"/>
      <c r="V11" s="1079"/>
    </row>
    <row r="12" spans="1:29" s="267" customFormat="1" ht="13.5">
      <c r="A12" s="1277" t="s">
        <v>1137</v>
      </c>
      <c r="B12" s="1278"/>
      <c r="D12" s="1080"/>
      <c r="E12" s="1079"/>
      <c r="F12" s="1079"/>
      <c r="G12" s="1079"/>
      <c r="H12" s="1079"/>
      <c r="I12" s="1079"/>
      <c r="J12" s="1079"/>
      <c r="K12" s="1079"/>
      <c r="L12" s="1079"/>
      <c r="M12" s="1079"/>
      <c r="N12" s="1079"/>
      <c r="O12" s="1079"/>
      <c r="P12" s="1079"/>
      <c r="Q12" s="1079"/>
      <c r="R12" s="1079"/>
      <c r="S12" s="1079"/>
      <c r="T12" s="1079"/>
      <c r="U12" s="1079"/>
      <c r="V12" s="1079"/>
    </row>
    <row r="13" spans="1:29" s="267" customFormat="1" ht="14.5">
      <c r="E13" s="1079"/>
      <c r="F13" s="1079"/>
      <c r="G13" s="1079"/>
      <c r="H13" s="1079"/>
      <c r="I13" s="1079"/>
      <c r="J13" s="1079"/>
      <c r="K13" s="1079"/>
      <c r="L13" s="1079"/>
      <c r="M13" s="1079"/>
      <c r="N13" s="1079"/>
      <c r="O13" s="1079"/>
      <c r="P13" s="1079"/>
      <c r="Q13" s="1079"/>
      <c r="R13" s="1079"/>
      <c r="S13" s="1079"/>
      <c r="T13" s="1079"/>
      <c r="U13" s="1079"/>
      <c r="V13" s="1079"/>
      <c r="W13" s="266"/>
      <c r="X13" s="266"/>
      <c r="Y13" s="266"/>
      <c r="Z13" s="266"/>
      <c r="AA13" s="266"/>
      <c r="AB13" s="266"/>
      <c r="AC13" s="266"/>
    </row>
    <row r="14" spans="1:29" s="267" customFormat="1" ht="14.5">
      <c r="A14" s="1074" t="s">
        <v>1138</v>
      </c>
      <c r="B14" s="267" t="s">
        <v>1139</v>
      </c>
      <c r="D14" s="1081">
        <v>2015</v>
      </c>
      <c r="E14" s="1081">
        <v>2016</v>
      </c>
      <c r="F14" s="1081">
        <v>2017</v>
      </c>
      <c r="G14" s="1081">
        <v>2018</v>
      </c>
      <c r="H14" s="1081">
        <v>2019</v>
      </c>
      <c r="I14" s="1081">
        <v>2020</v>
      </c>
      <c r="J14" s="1081">
        <v>2021</v>
      </c>
      <c r="K14" s="1081">
        <v>2022</v>
      </c>
      <c r="L14" s="1081">
        <v>2023</v>
      </c>
      <c r="M14" s="1081">
        <v>2024</v>
      </c>
      <c r="N14" s="1081">
        <v>2025</v>
      </c>
      <c r="O14" s="1081">
        <v>2026</v>
      </c>
      <c r="P14" s="1081">
        <v>2027</v>
      </c>
      <c r="Q14" s="1081">
        <v>2028</v>
      </c>
      <c r="R14" s="1081">
        <v>2029</v>
      </c>
      <c r="S14" s="1081">
        <v>2030</v>
      </c>
      <c r="T14" s="1081">
        <v>2031</v>
      </c>
      <c r="U14" s="1081">
        <v>2032</v>
      </c>
      <c r="V14" s="1081">
        <v>2033</v>
      </c>
      <c r="W14" s="266"/>
      <c r="X14" s="266"/>
      <c r="Y14" s="266"/>
      <c r="Z14" s="266"/>
      <c r="AA14" s="266"/>
      <c r="AB14" s="266"/>
      <c r="AC14" s="266"/>
    </row>
    <row r="15" spans="1:29" s="267" customFormat="1" ht="14.5">
      <c r="A15" s="1074" t="s">
        <v>1140</v>
      </c>
      <c r="B15" s="267" t="s">
        <v>486</v>
      </c>
      <c r="D15" s="1082"/>
      <c r="E15" s="1083"/>
      <c r="F15" s="1083"/>
      <c r="G15" s="1084"/>
      <c r="H15" s="1281">
        <v>2.5628884588821732E-2</v>
      </c>
      <c r="I15" s="1281">
        <v>1.5033471260387898E-2</v>
      </c>
      <c r="J15" s="1281">
        <v>4.0452569031158125E-2</v>
      </c>
      <c r="K15" s="1281">
        <v>0.11584699426229506</v>
      </c>
      <c r="L15" s="1275">
        <v>9.6914789201007601E-2</v>
      </c>
      <c r="M15" s="1275">
        <v>3.1356893625321E-2</v>
      </c>
      <c r="N15" s="1275">
        <v>2.0457266265074402E-2</v>
      </c>
      <c r="O15" s="1275">
        <v>2.4969908330546801E-2</v>
      </c>
      <c r="P15" s="1276">
        <v>0.03</v>
      </c>
      <c r="Q15" s="1276">
        <v>0.03</v>
      </c>
      <c r="R15" s="1276">
        <v>0.03</v>
      </c>
      <c r="S15" s="1276">
        <v>0.03</v>
      </c>
      <c r="T15" s="1276">
        <v>0.03</v>
      </c>
      <c r="U15" s="1281">
        <v>0.03</v>
      </c>
      <c r="V15" s="1281">
        <v>0.03</v>
      </c>
      <c r="W15" s="266"/>
      <c r="X15" s="266"/>
      <c r="Y15" s="266"/>
      <c r="Z15" s="266"/>
      <c r="AA15" s="266"/>
      <c r="AB15" s="266"/>
      <c r="AC15" s="266"/>
    </row>
    <row r="16" spans="1:29" s="267" customFormat="1" ht="14.5">
      <c r="A16" s="1074" t="s">
        <v>1141</v>
      </c>
      <c r="B16" s="267" t="s">
        <v>486</v>
      </c>
      <c r="D16" s="1085"/>
      <c r="E16" s="1086"/>
      <c r="F16" s="1086"/>
      <c r="G16" s="1087"/>
      <c r="H16" s="1281">
        <v>1.7910205867057716E-2</v>
      </c>
      <c r="I16" s="1281">
        <v>8.5065402820156955E-3</v>
      </c>
      <c r="J16" s="1281">
        <v>2.5882219500718229E-2</v>
      </c>
      <c r="K16" s="1281">
        <v>9.0667455547039033E-2</v>
      </c>
      <c r="L16" s="1275">
        <v>7.3032807433557098E-2</v>
      </c>
      <c r="M16" s="1275">
        <v>2.1902133306788099E-2</v>
      </c>
      <c r="N16" s="1275">
        <v>1.47540195471507E-2</v>
      </c>
      <c r="O16" s="1275">
        <v>1.62662132526732E-2</v>
      </c>
      <c r="P16" s="1276">
        <v>0.02</v>
      </c>
      <c r="Q16" s="1276">
        <v>0.02</v>
      </c>
      <c r="R16" s="1276">
        <v>0.02</v>
      </c>
      <c r="S16" s="1276">
        <v>0.02</v>
      </c>
      <c r="T16" s="1276">
        <v>0.02</v>
      </c>
      <c r="U16" s="1281">
        <v>0.02</v>
      </c>
      <c r="V16" s="1281">
        <v>0.02</v>
      </c>
      <c r="W16" s="266"/>
      <c r="X16" s="266"/>
      <c r="Y16" s="266"/>
      <c r="Z16" s="266"/>
      <c r="AA16" s="266"/>
      <c r="AB16" s="266"/>
      <c r="AC16" s="266"/>
    </row>
    <row r="17" spans="1:29" s="267" customFormat="1" ht="14.5">
      <c r="H17" s="1252"/>
      <c r="I17" s="1261"/>
      <c r="J17" s="1261"/>
      <c r="K17" s="1261"/>
      <c r="L17" s="1261"/>
      <c r="M17" s="1261"/>
      <c r="N17" s="1261"/>
      <c r="O17" s="1261"/>
      <c r="P17" s="1252"/>
      <c r="Q17" s="1252"/>
      <c r="R17" s="1266"/>
      <c r="S17" s="1266"/>
      <c r="T17" s="1266"/>
      <c r="U17" s="1266"/>
      <c r="V17" s="1266"/>
      <c r="W17" s="266"/>
      <c r="X17" s="266"/>
      <c r="Y17" s="266"/>
      <c r="Z17" s="266"/>
      <c r="AA17" s="266"/>
      <c r="AB17" s="266"/>
      <c r="AC17" s="266"/>
    </row>
    <row r="18" spans="1:29" s="267" customFormat="1" ht="14.5">
      <c r="A18" s="1076" t="s">
        <v>1142</v>
      </c>
      <c r="E18" s="1088"/>
      <c r="F18" s="1089"/>
      <c r="G18" s="1089"/>
      <c r="H18" s="1089"/>
      <c r="I18" s="1089"/>
      <c r="J18" s="1089"/>
      <c r="K18" s="1089"/>
      <c r="L18" s="1089"/>
      <c r="M18" s="1089"/>
      <c r="N18" s="1089"/>
      <c r="O18" s="1089"/>
      <c r="P18" s="1089"/>
      <c r="Q18" s="1089"/>
      <c r="R18" s="1089"/>
      <c r="S18" s="1089"/>
      <c r="T18" s="1089"/>
      <c r="U18" s="1089"/>
      <c r="V18" s="1089"/>
      <c r="W18" s="266"/>
      <c r="X18" s="266"/>
      <c r="Y18" s="266"/>
      <c r="Z18" s="266"/>
      <c r="AA18" s="266"/>
      <c r="AB18" s="266"/>
      <c r="AC18" s="266"/>
    </row>
    <row r="19" spans="1:29" s="267" customFormat="1" ht="14.5">
      <c r="A19" s="1074" t="s">
        <v>1143</v>
      </c>
      <c r="B19" s="267" t="s">
        <v>1144</v>
      </c>
      <c r="D19" s="1090">
        <f ca="1">AVERAGEIFS('I2 - Monthly Inflation'!$H:$H,'I2 - Monthly Inflation'!$A:$A,"&gt;"&amp;DATE(D$14 - 1, 3, 31),'I2 - Monthly Inflation'!$A:$A,"&lt;"&amp;DATE(D$14, 4, 1))</f>
        <v>256.66666666666669</v>
      </c>
      <c r="E19" s="1090">
        <f ca="1">AVERAGEIFS('I2 - Monthly Inflation'!$H:$H,'I2 - Monthly Inflation'!$A:$A,"&gt;"&amp;DATE(E$14 - 1, 3, 31),'I2 - Monthly Inflation'!$A:$A,"&lt;"&amp;DATE(E$14, 4, 1))</f>
        <v>259.43333333333334</v>
      </c>
      <c r="F19" s="1090">
        <f ca="1">AVERAGEIFS('I2 - Monthly Inflation'!$H:$H,'I2 - Monthly Inflation'!$A:$A,"&gt;"&amp;DATE(F$14 - 1, 3, 31),'I2 - Monthly Inflation'!$A:$A,"&lt;"&amp;DATE(F$14, 4, 1))</f>
        <v>264.99166666666673</v>
      </c>
      <c r="G19" s="1090">
        <f ca="1">AVERAGEIFS('I2 - Monthly Inflation'!$H:$H,'I2 - Monthly Inflation'!$A:$A,"&gt;"&amp;DATE(G$14 - 1, 3, 31),'I2 - Monthly Inflation'!$A:$A,"&lt;"&amp;DATE(G$14, 4, 1))</f>
        <v>274.90833333333336</v>
      </c>
      <c r="H19" s="1090">
        <f ca="1">AVERAGEIFS('I2 - Monthly Inflation'!$H:$H,'I2 - Monthly Inflation'!$A:$A,"&gt;"&amp;DATE(H$14 - 1, 3, 31),'I2 - Monthly Inflation'!$A:$A,"&lt;"&amp;DATE(H$14, 4, 1))</f>
        <v>283.30833333333334</v>
      </c>
      <c r="I19" s="1090">
        <f ca="1">AVERAGEIFS('I2 - Monthly Inflation'!$H:$H,'I2 - Monthly Inflation'!$A:$A,"&gt;"&amp;DATE(I$14 - 1, 3, 31),'I2 - Monthly Inflation'!$A:$A,"&lt;"&amp;DATE(I$14, 4, 1))</f>
        <v>290.64166666666665</v>
      </c>
      <c r="J19" s="1090">
        <f ca="1">AVERAGEIFS('I2 - Monthly Inflation'!$H:$H,'I2 - Monthly Inflation'!$A:$A,"&gt;"&amp;DATE(J$14 - 1, 3, 31),'I2 - Monthly Inflation'!$A:$A,"&lt;"&amp;DATE(J$14, 4, 1))</f>
        <v>294.16666666666669</v>
      </c>
      <c r="K19" s="1090">
        <f ca="1">AVERAGEIFS('I2 - Monthly Inflation'!$H:$H,'I2 - Monthly Inflation'!$A:$A,"&gt;"&amp;DATE(K$14 - 1, 3, 31),'I2 - Monthly Inflation'!$A:$A,"&lt;"&amp;DATE(K$14, 4, 1))</f>
        <v>311.1583333333333</v>
      </c>
      <c r="L19" s="1090">
        <f ca="1">AVERAGEIFS('I2 - Monthly Inflation'!$H:$H,'I2 - Monthly Inflation'!$A:$A,"&gt;"&amp;DATE(L$14 - 1, 3, 31),'I2 - Monthly Inflation'!$A:$A,"&lt;"&amp;DATE(L$14, 4, 1))</f>
        <v>351.2166666666667</v>
      </c>
      <c r="M19" s="1090">
        <f ca="1">AVERAGEIFS('I2 - Monthly Inflation'!$H:$H,'I2 - Monthly Inflation'!$A:$A,"&gt;"&amp;DATE(M$14 - 1, 3, 31),'I2 - Monthly Inflation'!$A:$A,"&lt;"&amp;DATE(M$14, 4, 1))</f>
        <v>377.48333333333341</v>
      </c>
      <c r="N19" s="1090">
        <f ca="1">AVERAGEIFS('I2 - Monthly Inflation'!$H:$H,'I2 - Monthly Inflation'!$A:$A,"&gt;"&amp;DATE(N$14 - 1, 3, 31),'I2 - Monthly Inflation'!$A:$A,"&lt;"&amp;DATE(N$14, 4, 1))</f>
        <v>388.17567024472964</v>
      </c>
      <c r="O19" s="1090">
        <f ca="1">AVERAGEIFS('I2 - Monthly Inflation'!$H:$H,'I2 - Monthly Inflation'!$A:$A,"&gt;"&amp;DATE(O$14 - 1, 3, 31),'I2 - Monthly Inflation'!$A:$A,"&lt;"&amp;DATE(O$14, 4, 1))</f>
        <v>396.75312552378745</v>
      </c>
      <c r="P19" s="1090">
        <f ca="1">AVERAGEIFS('I2 - Monthly Inflation'!$H:$H,'I2 - Monthly Inflation'!$A:$A,"&gt;"&amp;DATE(P$14 - 1, 3, 31),'I2 - Monthly Inflation'!$A:$A,"&lt;"&amp;DATE(P$14, 4, 1))</f>
        <v>407.24952999494184</v>
      </c>
      <c r="Q19" s="1090">
        <f ca="1">AVERAGEIFS('I2 - Monthly Inflation'!$H:$H,'I2 - Monthly Inflation'!$A:$A,"&gt;"&amp;DATE(Q$14 - 1, 3, 31),'I2 - Monthly Inflation'!$A:$A,"&lt;"&amp;DATE(Q$14, 4, 1))</f>
        <v>419.42476662637688</v>
      </c>
      <c r="R19" s="1090">
        <f ca="1">AVERAGEIFS('I2 - Monthly Inflation'!$H:$H,'I2 - Monthly Inflation'!$A:$A,"&gt;"&amp;DATE(R$14 - 1, 3, 31),'I2 - Monthly Inflation'!$A:$A,"&lt;"&amp;DATE(R$14, 4, 1))</f>
        <v>432.00750962516872</v>
      </c>
      <c r="S19" s="1090">
        <f ca="1">AVERAGEIFS('I2 - Monthly Inflation'!$H:$H,'I2 - Monthly Inflation'!$A:$A,"&gt;"&amp;DATE(S$14 - 1, 3, 31),'I2 - Monthly Inflation'!$A:$A,"&lt;"&amp;DATE(S$14, 4, 1))</f>
        <v>444.96773491392423</v>
      </c>
      <c r="T19" s="1090">
        <f ca="1">AVERAGEIFS('I2 - Monthly Inflation'!$H:$H,'I2 - Monthly Inflation'!$A:$A,"&gt;"&amp;DATE(T$14 - 1, 3, 31),'I2 - Monthly Inflation'!$A:$A,"&lt;"&amp;DATE(T$14, 4, 1))</f>
        <v>458.31676696134241</v>
      </c>
      <c r="U19" s="1090">
        <f ca="1">AVERAGEIFS('I2 - Monthly Inflation'!$H:$H,'I2 - Monthly Inflation'!$A:$A,"&gt;"&amp;DATE(U$14 - 1, 3, 31),'I2 - Monthly Inflation'!$A:$A,"&lt;"&amp;DATE(U$14, 4, 1))</f>
        <v>472.06626997018316</v>
      </c>
      <c r="V19" s="1090">
        <f ca="1">AVERAGEIFS('I2 - Monthly Inflation'!$H:$H,'I2 - Monthly Inflation'!$A:$A,"&gt;"&amp;DATE(V$14 - 1, 3, 31),'I2 - Monthly Inflation'!$A:$A,"&lt;"&amp;DATE(V$14, 4, 1))</f>
        <v>486.22825806928921</v>
      </c>
      <c r="W19" s="266"/>
      <c r="X19" s="266"/>
      <c r="Y19" s="266"/>
      <c r="Z19" s="266"/>
      <c r="AA19" s="266"/>
      <c r="AB19" s="266"/>
      <c r="AC19" s="266"/>
    </row>
    <row r="20" spans="1:29" s="267" customFormat="1" ht="14.5">
      <c r="A20" s="1091" t="s">
        <v>1145</v>
      </c>
      <c r="B20" s="267" t="s">
        <v>486</v>
      </c>
      <c r="D20" s="1085"/>
      <c r="E20" s="1092">
        <f t="shared" ref="E20:V20" ca="1" si="1">E19/D19-1</f>
        <v>1.0779220779220777E-2</v>
      </c>
      <c r="F20" s="1092">
        <f t="shared" ca="1" si="1"/>
        <v>2.1424900424001248E-2</v>
      </c>
      <c r="G20" s="1092">
        <f t="shared" ca="1" si="1"/>
        <v>3.7422560457875953E-2</v>
      </c>
      <c r="H20" s="1092">
        <f t="shared" ca="1" si="1"/>
        <v>3.0555639758707454E-2</v>
      </c>
      <c r="I20" s="1092">
        <f t="shared" ca="1" si="1"/>
        <v>2.5884636879724532E-2</v>
      </c>
      <c r="J20" s="1092">
        <f t="shared" ca="1" si="1"/>
        <v>1.2128336726209277E-2</v>
      </c>
      <c r="K20" s="1092">
        <f t="shared" ca="1" si="1"/>
        <v>5.7762039660056441E-2</v>
      </c>
      <c r="L20" s="1092">
        <f t="shared" ca="1" si="1"/>
        <v>0.12873938777149907</v>
      </c>
      <c r="M20" s="1092">
        <f t="shared" ca="1" si="1"/>
        <v>7.4787642955440825E-2</v>
      </c>
      <c r="N20" s="1092">
        <f t="shared" ca="1" si="1"/>
        <v>2.8325321854553165E-2</v>
      </c>
      <c r="O20" s="1092">
        <f t="shared" ca="1" si="1"/>
        <v>2.2096838974091426E-2</v>
      </c>
      <c r="P20" s="1092">
        <f t="shared" ca="1" si="1"/>
        <v>2.6455757487221288E-2</v>
      </c>
      <c r="Q20" s="1092">
        <f t="shared" ca="1" si="1"/>
        <v>2.9896257048071417E-2</v>
      </c>
      <c r="R20" s="1092">
        <f t="shared" ca="1" si="1"/>
        <v>3.0000000000001359E-2</v>
      </c>
      <c r="S20" s="1092">
        <f t="shared" ca="1" si="1"/>
        <v>3.0000000000001137E-2</v>
      </c>
      <c r="T20" s="1092">
        <f t="shared" ca="1" si="1"/>
        <v>3.0000000000000915E-2</v>
      </c>
      <c r="U20" s="1092">
        <f t="shared" ca="1" si="1"/>
        <v>3.0000000000001137E-2</v>
      </c>
      <c r="V20" s="1092">
        <f t="shared" ca="1" si="1"/>
        <v>3.0000000000001137E-2</v>
      </c>
      <c r="W20" s="266"/>
      <c r="X20" s="266"/>
      <c r="Y20" s="266"/>
      <c r="Z20" s="266"/>
      <c r="AA20" s="266"/>
      <c r="AB20" s="266"/>
      <c r="AC20" s="266"/>
    </row>
    <row r="21" spans="1:29" s="267" customFormat="1" ht="14.5">
      <c r="A21" s="1074"/>
      <c r="D21" s="1089"/>
      <c r="E21" s="1089"/>
      <c r="F21" s="1089"/>
      <c r="G21" s="1089"/>
      <c r="H21" s="1089"/>
      <c r="I21" s="1089"/>
      <c r="J21" s="1089"/>
      <c r="K21" s="1089"/>
      <c r="L21" s="1089"/>
      <c r="M21" s="1089"/>
      <c r="N21" s="1089"/>
      <c r="O21" s="1089"/>
      <c r="P21" s="1089"/>
      <c r="Q21" s="1089"/>
      <c r="R21" s="1089"/>
      <c r="S21" s="1089"/>
      <c r="T21" s="1089"/>
      <c r="U21" s="1089"/>
      <c r="V21" s="1089"/>
      <c r="W21" s="266"/>
      <c r="X21" s="266"/>
      <c r="Y21" s="266"/>
      <c r="Z21" s="266"/>
      <c r="AA21" s="266"/>
      <c r="AB21" s="266"/>
      <c r="AC21" s="266"/>
    </row>
    <row r="22" spans="1:29" s="267" customFormat="1" ht="14.5">
      <c r="A22" s="1074" t="s">
        <v>1146</v>
      </c>
      <c r="B22" s="267" t="s">
        <v>1144</v>
      </c>
      <c r="D22" s="1090">
        <f ca="1">AVERAGEIFS('I2 - Monthly Inflation'!$G:$G,'I2 - Monthly Inflation'!$A:$A,"&gt;"&amp;DATE(D$14 - 1, 3, 31),'I2 - Monthly Inflation'!$A:$A,"&lt;"&amp;DATE(D$14, 4, 1))</f>
        <v>99.72499999999998</v>
      </c>
      <c r="E22" s="1090">
        <f ca="1">AVERAGEIFS('I2 - Monthly Inflation'!$G:$G,'I2 - Monthly Inflation'!$A:$A,"&gt;"&amp;DATE(E$14 - 1, 3, 31),'I2 - Monthly Inflation'!$A:$A,"&lt;"&amp;DATE(E$14, 4, 1))</f>
        <v>100.16666666666667</v>
      </c>
      <c r="F22" s="1090">
        <f ca="1">AVERAGEIFS('I2 - Monthly Inflation'!$G:$G,'I2 - Monthly Inflation'!$A:$A,"&gt;"&amp;DATE(F$14 - 1, 3, 31),'I2 - Monthly Inflation'!$A:$A,"&lt;"&amp;DATE(F$14, 4, 1))</f>
        <v>101.54166666666667</v>
      </c>
      <c r="G22" s="1090">
        <f ca="1">AVERAGEIFS('I2 - Monthly Inflation'!$G:$G,'I2 - Monthly Inflation'!$A:$A,"&gt;"&amp;DATE(G$14 - 1, 3, 31),'I2 - Monthly Inflation'!$A:$A,"&lt;"&amp;DATE(G$14, 4, 1))</f>
        <v>104.21666666666665</v>
      </c>
      <c r="H22" s="1090">
        <f ca="1">AVERAGEIFS('I2 - Monthly Inflation'!$G:$G,'I2 - Monthly Inflation'!$A:$A,"&gt;"&amp;DATE(H$14 - 1, 3, 31),'I2 - Monthly Inflation'!$A:$A,"&lt;"&amp;DATE(H$14, 4, 1))</f>
        <v>106.43333333333334</v>
      </c>
      <c r="I22" s="1090">
        <f ca="1">AVERAGEIFS('I2 - Monthly Inflation'!$G:$G,'I2 - Monthly Inflation'!$A:$A,"&gt;"&amp;DATE(I$14 - 1, 3, 31),'I2 - Monthly Inflation'!$A:$A,"&lt;"&amp;DATE(I$14, 4, 1))</f>
        <v>108.24166666666663</v>
      </c>
      <c r="J22" s="1090">
        <f ca="1">AVERAGEIFS('I2 - Monthly Inflation'!$G:$G,'I2 - Monthly Inflation'!$A:$A,"&gt;"&amp;DATE(J$14 - 1, 3, 31),'I2 - Monthly Inflation'!$A:$A,"&lt;"&amp;DATE(J$14, 4, 1))</f>
        <v>109.10833333333335</v>
      </c>
      <c r="K22" s="1090">
        <f ca="1">AVERAGEIFS('I2 - Monthly Inflation'!$G:$G,'I2 - Monthly Inflation'!$A:$A,"&gt;"&amp;DATE(K$14 - 1, 3, 31),'I2 - Monthly Inflation'!$A:$A,"&lt;"&amp;DATE(K$14, 4, 1))</f>
        <v>113.11666666666667</v>
      </c>
      <c r="L22" s="1090">
        <f ca="1">AVERAGEIFS('I2 - Monthly Inflation'!$G:$G,'I2 - Monthly Inflation'!$A:$A,"&gt;"&amp;DATE(L$14 - 1, 3, 31),'I2 - Monthly Inflation'!$A:$A,"&lt;"&amp;DATE(L$14, 4, 1))</f>
        <v>123.04166666666664</v>
      </c>
      <c r="M22" s="1090">
        <f ca="1">AVERAGEIFS('I2 - Monthly Inflation'!$G:$G,'I2 - Monthly Inflation'!$A:$A,"&gt;"&amp;DATE(M$14 - 1, 3, 31),'I2 - Monthly Inflation'!$A:$A,"&lt;"&amp;DATE(M$14, 4, 1))</f>
        <v>129.86666666666665</v>
      </c>
      <c r="N22" s="1090">
        <f ca="1">AVERAGEIFS('I2 - Monthly Inflation'!$G:$G,'I2 - Monthly Inflation'!$A:$A,"&gt;"&amp;DATE(N$14 - 1, 3, 31),'I2 - Monthly Inflation'!$A:$A,"&lt;"&amp;DATE(N$14, 4, 1))</f>
        <v>132.86304853440734</v>
      </c>
      <c r="O22" s="1090">
        <f ca="1">AVERAGEIFS('I2 - Monthly Inflation'!$G:$G,'I2 - Monthly Inflation'!$A:$A,"&gt;"&amp;DATE(O$14 - 1, 3, 31),'I2 - Monthly Inflation'!$A:$A,"&lt;"&amp;DATE(O$14, 4, 1))</f>
        <v>134.90588823466803</v>
      </c>
      <c r="P22" s="1090">
        <f ca="1">AVERAGEIFS('I2 - Monthly Inflation'!$G:$G,'I2 - Monthly Inflation'!$A:$A,"&gt;"&amp;DATE(P$14 - 1, 3, 31),'I2 - Monthly Inflation'!$A:$A,"&lt;"&amp;DATE(P$14, 4, 1))</f>
        <v>137.25393974873671</v>
      </c>
      <c r="Q22" s="1090">
        <f ca="1">AVERAGEIFS('I2 - Monthly Inflation'!$G:$G,'I2 - Monthly Inflation'!$A:$A,"&gt;"&amp;DATE(Q$14 - 1, 3, 31),'I2 - Monthly Inflation'!$A:$A,"&lt;"&amp;DATE(Q$14, 4, 1))</f>
        <v>139.98841143297739</v>
      </c>
      <c r="R22" s="1090">
        <f ca="1">AVERAGEIFS('I2 - Monthly Inflation'!$G:$G,'I2 - Monthly Inflation'!$A:$A,"&gt;"&amp;DATE(R$14 - 1, 3, 31),'I2 - Monthly Inflation'!$A:$A,"&lt;"&amp;DATE(R$14, 4, 1))</f>
        <v>142.78817966163695</v>
      </c>
      <c r="S22" s="1090">
        <f ca="1">AVERAGEIFS('I2 - Monthly Inflation'!$G:$G,'I2 - Monthly Inflation'!$A:$A,"&gt;"&amp;DATE(S$14 - 1, 3, 31),'I2 - Monthly Inflation'!$A:$A,"&lt;"&amp;DATE(S$14, 4, 1))</f>
        <v>145.64394325486975</v>
      </c>
      <c r="T22" s="1090">
        <f ca="1">AVERAGEIFS('I2 - Monthly Inflation'!$G:$G,'I2 - Monthly Inflation'!$A:$A,"&gt;"&amp;DATE(T$14 - 1, 3, 31),'I2 - Monthly Inflation'!$A:$A,"&lt;"&amp;DATE(T$14, 4, 1))</f>
        <v>148.55682211996722</v>
      </c>
      <c r="U22" s="1090">
        <f ca="1">AVERAGEIFS('I2 - Monthly Inflation'!$G:$G,'I2 - Monthly Inflation'!$A:$A,"&gt;"&amp;DATE(U$14 - 1, 3, 31),'I2 - Monthly Inflation'!$A:$A,"&lt;"&amp;DATE(U$14, 4, 1))</f>
        <v>151.52795856236665</v>
      </c>
      <c r="V22" s="1090">
        <f ca="1">AVERAGEIFS('I2 - Monthly Inflation'!$G:$G,'I2 - Monthly Inflation'!$A:$A,"&gt;"&amp;DATE(V$14 - 1, 3, 31),'I2 - Monthly Inflation'!$A:$A,"&lt;"&amp;DATE(V$14, 4, 1))</f>
        <v>154.55851773361411</v>
      </c>
      <c r="W22" s="266"/>
      <c r="X22" s="266"/>
      <c r="Y22" s="266"/>
      <c r="Z22" s="266"/>
      <c r="AA22" s="266"/>
      <c r="AB22" s="266"/>
      <c r="AC22" s="266"/>
    </row>
    <row r="23" spans="1:29" s="267" customFormat="1" ht="14.5">
      <c r="A23" s="1074" t="s">
        <v>1147</v>
      </c>
      <c r="B23" s="267" t="s">
        <v>486</v>
      </c>
      <c r="D23" s="1085"/>
      <c r="E23" s="1092">
        <f t="shared" ref="E23:V23" ca="1" si="2">E22/D22-1</f>
        <v>4.4288459931480784E-3</v>
      </c>
      <c r="F23" s="1092">
        <f t="shared" ca="1" si="2"/>
        <v>1.3727121464226277E-2</v>
      </c>
      <c r="G23" s="1092">
        <f t="shared" ca="1" si="2"/>
        <v>2.6343865408288814E-2</v>
      </c>
      <c r="H23" s="1092">
        <f t="shared" ca="1" si="2"/>
        <v>2.1269790500559882E-2</v>
      </c>
      <c r="I23" s="1092">
        <f t="shared" ca="1" si="2"/>
        <v>1.6990291262135582E-2</v>
      </c>
      <c r="J23" s="1092">
        <f t="shared" ca="1" si="2"/>
        <v>8.0067749634311625E-3</v>
      </c>
      <c r="K23" s="1092">
        <f t="shared" ca="1" si="2"/>
        <v>3.6737187810280236E-2</v>
      </c>
      <c r="L23" s="1092">
        <f t="shared" ca="1" si="2"/>
        <v>8.7741270075143429E-2</v>
      </c>
      <c r="M23" s="1092">
        <f t="shared" ca="1" si="2"/>
        <v>5.5469014561462915E-2</v>
      </c>
      <c r="N23" s="1092">
        <f t="shared" ca="1" si="2"/>
        <v>2.3072755655087596E-2</v>
      </c>
      <c r="O23" s="1092">
        <f t="shared" ca="1" si="2"/>
        <v>1.537552933486741E-2</v>
      </c>
      <c r="P23" s="1092">
        <f t="shared" ca="1" si="2"/>
        <v>1.7405107699852707E-2</v>
      </c>
      <c r="Q23" s="1092">
        <f t="shared" ca="1" si="2"/>
        <v>1.9922719080024409E-2</v>
      </c>
      <c r="R23" s="1092">
        <f t="shared" ca="1" si="2"/>
        <v>2.0000000000000018E-2</v>
      </c>
      <c r="S23" s="1092">
        <f t="shared" ca="1" si="2"/>
        <v>2.0000000000000462E-2</v>
      </c>
      <c r="T23" s="1092">
        <f t="shared" ca="1" si="2"/>
        <v>2.0000000000000462E-2</v>
      </c>
      <c r="U23" s="1092">
        <f t="shared" ca="1" si="2"/>
        <v>2.0000000000000462E-2</v>
      </c>
      <c r="V23" s="1092">
        <f t="shared" ca="1" si="2"/>
        <v>2.0000000000000906E-2</v>
      </c>
      <c r="W23" s="266"/>
      <c r="X23" s="266"/>
      <c r="Y23" s="266"/>
      <c r="Z23" s="266"/>
      <c r="AA23" s="266"/>
      <c r="AB23" s="266"/>
      <c r="AC23" s="266"/>
    </row>
    <row r="24" spans="1:29" s="267" customFormat="1" ht="14.5">
      <c r="A24" s="1074"/>
      <c r="D24" s="1089"/>
      <c r="E24" s="1089"/>
      <c r="F24" s="1089"/>
      <c r="G24" s="1089"/>
      <c r="H24" s="1089"/>
      <c r="I24" s="1089"/>
      <c r="J24" s="1089"/>
      <c r="K24" s="1089"/>
      <c r="L24" s="1089"/>
      <c r="M24" s="1089"/>
      <c r="N24" s="1089"/>
      <c r="O24" s="1089"/>
      <c r="P24" s="1089"/>
      <c r="Q24" s="1089"/>
      <c r="R24" s="1089"/>
      <c r="S24" s="1089"/>
      <c r="T24" s="1089"/>
      <c r="U24" s="1089"/>
      <c r="V24" s="1089"/>
      <c r="W24" s="266"/>
      <c r="X24" s="266"/>
      <c r="Y24" s="266"/>
      <c r="Z24" s="266"/>
      <c r="AA24" s="266"/>
      <c r="AB24" s="266"/>
      <c r="AC24" s="266"/>
    </row>
    <row r="25" spans="1:29" s="267" customFormat="1" ht="14.5">
      <c r="A25" s="1273" t="s">
        <v>1148</v>
      </c>
      <c r="B25" s="1274"/>
      <c r="C25" s="1274"/>
      <c r="D25" s="1274"/>
      <c r="E25" s="1274"/>
      <c r="F25" s="1274"/>
      <c r="G25" s="1274"/>
      <c r="W25" s="266"/>
      <c r="X25" s="266"/>
      <c r="Y25" s="266"/>
      <c r="Z25" s="266"/>
      <c r="AA25" s="266"/>
      <c r="AB25" s="266"/>
      <c r="AC25" s="266"/>
    </row>
    <row r="26" spans="1:29" ht="16">
      <c r="A26" s="1093" t="s">
        <v>182</v>
      </c>
      <c r="B26" s="267" t="s">
        <v>1149</v>
      </c>
      <c r="D26" s="1094"/>
      <c r="E26" s="1282">
        <v>5.0781749999999973E-3</v>
      </c>
      <c r="F26" s="1282">
        <v>3.4351165354330692E-3</v>
      </c>
      <c r="G26" s="1282">
        <v>3.5873463999999979E-3</v>
      </c>
      <c r="H26" s="1282">
        <v>6.6127083003952539E-3</v>
      </c>
      <c r="I26" s="1282">
        <v>6.803233464566928E-3</v>
      </c>
      <c r="J26" s="1282">
        <v>7.1293557312252984E-4</v>
      </c>
      <c r="K26" s="1282">
        <v>1.7992043478260867E-3</v>
      </c>
      <c r="L26" s="1282">
        <v>2.0980357784199554E-2</v>
      </c>
      <c r="M26" s="1282">
        <v>2.3740698686855872E-2</v>
      </c>
      <c r="N26" s="1282">
        <v>1.9477023536646317E-2</v>
      </c>
      <c r="O26" s="1282">
        <v>1.5611995450668598E-2</v>
      </c>
      <c r="P26" s="1282">
        <v>1.3742897566514626E-2</v>
      </c>
      <c r="Q26" s="1282">
        <v>1.3281905321116914E-2</v>
      </c>
      <c r="R26" s="1282">
        <v>1.3276122547146463E-2</v>
      </c>
      <c r="S26" s="1282">
        <v>1.3276122547146463E-2</v>
      </c>
      <c r="T26" s="1282">
        <v>1.3276122547146463E-2</v>
      </c>
      <c r="U26" s="1282">
        <v>1.3276122547146463E-2</v>
      </c>
      <c r="V26" s="1282">
        <v>1.3276122547146463E-2</v>
      </c>
    </row>
    <row r="27" spans="1:29" ht="16">
      <c r="A27" s="1093" t="s">
        <v>192</v>
      </c>
      <c r="B27" s="267" t="s">
        <v>1149</v>
      </c>
      <c r="D27" s="1095"/>
      <c r="E27" s="1282">
        <v>5.8068182539682493E-3</v>
      </c>
      <c r="F27" s="1282">
        <v>4.3909897637795289E-3</v>
      </c>
      <c r="G27" s="1282">
        <v>4.1095688000000029E-3</v>
      </c>
      <c r="H27" s="1282">
        <v>8.0087794466403156E-3</v>
      </c>
      <c r="I27" s="1282">
        <v>7.5744059055118133E-3</v>
      </c>
      <c r="J27" s="1282">
        <v>1.3609695652173918E-3</v>
      </c>
      <c r="K27" s="1282">
        <v>2.7350237154150194E-3</v>
      </c>
      <c r="L27" s="1282">
        <v>2.5740684477426647E-2</v>
      </c>
      <c r="M27" s="1282">
        <v>2.8715698686855855E-2</v>
      </c>
      <c r="N27" s="1282">
        <v>2.4452023536646307E-2</v>
      </c>
      <c r="O27" s="1282">
        <v>2.05869954506686E-2</v>
      </c>
      <c r="P27" s="1282">
        <v>1.8717897566514617E-2</v>
      </c>
      <c r="Q27" s="1282">
        <v>1.8256905321116835E-2</v>
      </c>
      <c r="R27" s="1282">
        <v>1.8251122547146371E-2</v>
      </c>
      <c r="S27" s="1282">
        <v>1.8251122547146368E-2</v>
      </c>
      <c r="T27" s="1282">
        <v>1.8251122547146368E-2</v>
      </c>
      <c r="U27" s="1282">
        <v>1.8251122547146371E-2</v>
      </c>
      <c r="V27" s="1282">
        <v>1.8251122547146365E-2</v>
      </c>
    </row>
    <row r="28" spans="1:29" ht="16">
      <c r="A28" s="1093" t="s">
        <v>201</v>
      </c>
      <c r="B28" s="267" t="s">
        <v>1149</v>
      </c>
      <c r="D28" s="1095"/>
      <c r="E28" s="1282">
        <v>7.3433785714285748E-3</v>
      </c>
      <c r="F28" s="1282">
        <v>5.8573948818897627E-3</v>
      </c>
      <c r="G28" s="1282">
        <v>5.2583907999999993E-3</v>
      </c>
      <c r="H28" s="1282">
        <v>9.1325312252964422E-3</v>
      </c>
      <c r="I28" s="1282">
        <v>8.2736870078740157E-3</v>
      </c>
      <c r="J28" s="1282">
        <v>1.9395011857707494E-3</v>
      </c>
      <c r="K28" s="1282">
        <v>4.3624873517786582E-3</v>
      </c>
      <c r="L28" s="1282">
        <v>3.2193353800135785E-2</v>
      </c>
      <c r="M28" s="1282">
        <v>3.5484698686855873E-2</v>
      </c>
      <c r="N28" s="1282">
        <v>3.1221023536646332E-2</v>
      </c>
      <c r="O28" s="1282">
        <v>2.7355995450668611E-2</v>
      </c>
      <c r="P28" s="1282">
        <v>2.5486897566514628E-2</v>
      </c>
      <c r="Q28" s="1282">
        <v>2.5025905321116808E-2</v>
      </c>
      <c r="R28" s="1282">
        <v>2.5020122547146306E-2</v>
      </c>
      <c r="S28" s="1282">
        <v>2.5020122547146306E-2</v>
      </c>
      <c r="T28" s="1282">
        <v>2.5020122547146306E-2</v>
      </c>
      <c r="U28" s="1282">
        <v>2.5020122547146306E-2</v>
      </c>
      <c r="V28" s="1282">
        <v>2.5020122547146306E-2</v>
      </c>
    </row>
    <row r="29" spans="1:29" ht="16">
      <c r="A29" s="1093" t="s">
        <v>209</v>
      </c>
      <c r="B29" s="267" t="s">
        <v>1149</v>
      </c>
      <c r="D29" s="1095"/>
      <c r="E29" s="1282">
        <v>1.0276014682539686E-2</v>
      </c>
      <c r="F29" s="1282">
        <v>8.2560413385826814E-3</v>
      </c>
      <c r="G29" s="1282">
        <v>7.3098552000000032E-3</v>
      </c>
      <c r="H29" s="1282">
        <v>1.0661026482213435E-2</v>
      </c>
      <c r="I29" s="1282">
        <v>9.1932188976377935E-3</v>
      </c>
      <c r="J29" s="1282">
        <v>2.9339932806324112E-3</v>
      </c>
      <c r="K29" s="1282">
        <v>6.4837596837944694E-3</v>
      </c>
      <c r="L29" s="1282">
        <v>3.5593353800135813E-2</v>
      </c>
      <c r="M29" s="1282">
        <v>3.8884698686855873E-2</v>
      </c>
      <c r="N29" s="1282">
        <v>3.4621023536646325E-2</v>
      </c>
      <c r="O29" s="1282">
        <v>3.0755995450668594E-2</v>
      </c>
      <c r="P29" s="1282">
        <v>2.8886897566514632E-2</v>
      </c>
      <c r="Q29" s="1282">
        <v>2.8425905321116832E-2</v>
      </c>
      <c r="R29" s="1282">
        <v>2.8420122547146334E-2</v>
      </c>
      <c r="S29" s="1282">
        <v>2.8420122547146334E-2</v>
      </c>
      <c r="T29" s="1282">
        <v>2.8420122547146334E-2</v>
      </c>
      <c r="U29" s="1282">
        <v>2.8420122547146334E-2</v>
      </c>
      <c r="V29" s="1282">
        <v>2.8420122547146334E-2</v>
      </c>
    </row>
    <row r="30" spans="1:29" ht="16">
      <c r="A30" s="1093" t="s">
        <v>214</v>
      </c>
      <c r="B30" s="267" t="s">
        <v>1149</v>
      </c>
      <c r="D30" s="1096"/>
      <c r="E30" s="1282">
        <v>4.6020119047619082E-3</v>
      </c>
      <c r="F30" s="1282">
        <v>2.971768627450981E-3</v>
      </c>
      <c r="G30" s="1282">
        <v>3.1490079681274906E-3</v>
      </c>
      <c r="H30" s="1282">
        <v>6.1974703557312284E-3</v>
      </c>
      <c r="I30" s="1282">
        <v>6.76011023622047E-3</v>
      </c>
      <c r="J30" s="1282">
        <v>5.5921739130434752E-4</v>
      </c>
      <c r="K30" s="1282">
        <v>1.4230988142292492E-3</v>
      </c>
      <c r="L30" s="1282">
        <v>2.2631043824701203E-2</v>
      </c>
      <c r="M30" s="1282">
        <v>4.9711560000000037E-2</v>
      </c>
      <c r="N30" s="1282">
        <v>4.9637201437048195E-2</v>
      </c>
      <c r="O30" s="1282">
        <v>4.5004104095878336E-2</v>
      </c>
      <c r="P30" s="1282">
        <v>4.0659022973774384E-2</v>
      </c>
      <c r="Q30" s="1282">
        <v>3.7787179498201061E-2</v>
      </c>
      <c r="R30" s="1282">
        <v>3.6732654717432131E-2</v>
      </c>
      <c r="S30" s="1282">
        <v>3.6621815274093257E-2</v>
      </c>
      <c r="T30" s="1282">
        <v>3.6622122547146405E-2</v>
      </c>
      <c r="U30" s="1282">
        <v>3.6622122547146405E-2</v>
      </c>
      <c r="V30" s="1282">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tabSelected="1" zoomScale="85" zoomScaleNormal="85" workbookViewId="0">
      <selection activeCell="A4" sqref="A4"/>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57" t="s">
        <v>16</v>
      </c>
      <c r="B1" s="321"/>
      <c r="C1" s="321"/>
      <c r="D1" s="321"/>
      <c r="E1" s="321"/>
      <c r="F1" s="321"/>
      <c r="G1" s="321"/>
      <c r="H1" s="321"/>
      <c r="I1" s="321"/>
      <c r="J1" s="321"/>
      <c r="K1" s="321"/>
      <c r="L1" s="321"/>
      <c r="M1" s="321"/>
      <c r="N1" s="258"/>
    </row>
    <row r="2" spans="1:14" ht="20">
      <c r="A2" s="315" t="str">
        <f>Licensee</f>
        <v>Cadent-London</v>
      </c>
      <c r="B2" s="109"/>
      <c r="C2" s="109"/>
      <c r="D2" s="109"/>
      <c r="E2" s="109"/>
      <c r="F2" s="109"/>
      <c r="G2" s="109"/>
      <c r="H2" s="109"/>
      <c r="I2" s="109"/>
      <c r="J2" s="109"/>
      <c r="K2" s="109"/>
      <c r="L2" s="109"/>
      <c r="M2" s="109"/>
      <c r="N2" s="111"/>
    </row>
    <row r="3" spans="1:14" ht="20">
      <c r="A3" s="106">
        <f>Reporting_Year</f>
        <v>2024</v>
      </c>
      <c r="B3" s="222"/>
      <c r="C3" s="222"/>
      <c r="D3" s="222"/>
      <c r="E3" s="222"/>
      <c r="F3" s="222"/>
      <c r="G3" s="222"/>
      <c r="H3" s="222"/>
      <c r="I3" s="222"/>
      <c r="J3" s="222"/>
      <c r="K3" s="222"/>
      <c r="L3" s="222"/>
      <c r="M3" s="222"/>
      <c r="N3" s="112"/>
    </row>
    <row r="6" spans="1:14">
      <c r="B6" s="209" t="s">
        <v>17</v>
      </c>
      <c r="C6" s="225">
        <f>INDEX(O63:U91,MATCH(Licensee,Data!B63:B91,0),MATCH(Reporting_Year,Data!O62:U62,0))</f>
        <v>5.2833943999999994E-2</v>
      </c>
      <c r="F6" s="1272" t="s">
        <v>18</v>
      </c>
      <c r="G6" s="34"/>
      <c r="H6" s="202" t="s">
        <v>19</v>
      </c>
      <c r="I6" s="224" t="s">
        <v>20</v>
      </c>
    </row>
    <row r="7" spans="1:14">
      <c r="B7" s="209" t="s">
        <v>21</v>
      </c>
      <c r="C7" s="225">
        <f>SUMIF(Data!$B$62:$B$91,'RFPR cover'!C7,Data!$C$62:$C$91)</f>
        <v>0.5</v>
      </c>
      <c r="F7" s="226">
        <v>0.1</v>
      </c>
      <c r="G7" s="80"/>
      <c r="H7" s="202" t="s">
        <v>22</v>
      </c>
      <c r="I7" s="203" t="s">
        <v>23</v>
      </c>
    </row>
    <row r="8" spans="1:14">
      <c r="B8" s="209" t="s">
        <v>24</v>
      </c>
      <c r="C8" s="223">
        <f>SUMIF(Data!$B$62:$B$91,'RFPR cover'!C7,Data!$D$62:$D$91)</f>
        <v>0.6</v>
      </c>
      <c r="H8" s="202" t="s">
        <v>25</v>
      </c>
      <c r="I8" s="203" t="s">
        <v>23</v>
      </c>
    </row>
    <row r="9" spans="1:14">
      <c r="B9" s="148" t="s">
        <v>26</v>
      </c>
      <c r="C9" s="212" t="str">
        <f>INDEX(Data!$F$63:$F$91,MATCH('RFPR cover'!$C$7,Data!$B$63:$B$91,0),0)</f>
        <v>£m 18/19</v>
      </c>
      <c r="H9" s="202" t="s">
        <v>27</v>
      </c>
      <c r="I9" s="203" t="s">
        <v>23</v>
      </c>
    </row>
    <row r="10" spans="1:14">
      <c r="B10" s="148" t="s">
        <v>28</v>
      </c>
      <c r="C10" s="302">
        <f>INDEX(Data!$M$315:$S$343,MATCH('RFPR cover'!$C$7,Data!$L$315:$L$343,0),MATCH('R8a - Tax Reconciliation'!$B$6,Data!$M$314:$S$314,0))</f>
        <v>6.5990959038420405</v>
      </c>
      <c r="H10" s="202" t="s">
        <v>29</v>
      </c>
      <c r="I10" s="203" t="s">
        <v>23</v>
      </c>
    </row>
    <row r="11" spans="1:14">
      <c r="B11" s="148" t="s">
        <v>30</v>
      </c>
      <c r="C11" s="302">
        <f>INDEX(Data!$M$350:$S$378,MATCH('RFPR cover'!$C$7,Data!$L$350:$L$378,0),MATCH('R8a - Tax Reconciliation'!$B$6,Data!$M$349:$S$349,0))</f>
        <v>1.5479360762098613</v>
      </c>
      <c r="H11" s="129"/>
      <c r="I11" s="299"/>
    </row>
    <row r="13" spans="1:14">
      <c r="A13" s="7"/>
      <c r="B13" s="227" t="s">
        <v>31</v>
      </c>
      <c r="C13" s="173">
        <v>0.19</v>
      </c>
      <c r="D13" s="243">
        <v>0.19</v>
      </c>
      <c r="E13" s="243">
        <v>0.19</v>
      </c>
      <c r="F13" s="243">
        <v>0.19</v>
      </c>
      <c r="G13" s="173">
        <v>0.19</v>
      </c>
      <c r="H13" s="173">
        <v>0.25</v>
      </c>
      <c r="I13" s="173">
        <v>0.25</v>
      </c>
      <c r="J13" s="173">
        <v>0.25</v>
      </c>
      <c r="K13" s="172">
        <v>0.25</v>
      </c>
      <c r="L13" s="172">
        <v>0.25</v>
      </c>
      <c r="M13" s="172">
        <v>0.25</v>
      </c>
      <c r="N13" s="172">
        <v>0.25</v>
      </c>
    </row>
    <row r="15" spans="1:14">
      <c r="A15" s="1" t="s">
        <v>32</v>
      </c>
      <c r="B15" s="1271" t="s">
        <v>33</v>
      </c>
    </row>
    <row r="16" spans="1:14">
      <c r="B16" s="227" t="s">
        <v>34</v>
      </c>
      <c r="C16" s="228" t="str">
        <f t="shared" ref="C16:N16" si="0">IF(VALUE(C18)&lt;=Reporting_Year,"Actual","Forecast")</f>
        <v>Actual</v>
      </c>
      <c r="D16" s="228" t="str">
        <f t="shared" si="0"/>
        <v>Actual</v>
      </c>
      <c r="E16" s="228" t="str">
        <f t="shared" si="0"/>
        <v>Actual</v>
      </c>
      <c r="F16" s="228" t="str">
        <f t="shared" si="0"/>
        <v>Actual</v>
      </c>
      <c r="G16" s="228" t="str">
        <f t="shared" si="0"/>
        <v>Actual</v>
      </c>
      <c r="H16" s="228" t="str">
        <f t="shared" si="0"/>
        <v>Actual</v>
      </c>
      <c r="I16" s="228" t="str">
        <f t="shared" si="0"/>
        <v>Forecast</v>
      </c>
      <c r="J16" s="228" t="str">
        <f t="shared" si="0"/>
        <v>Forecast</v>
      </c>
      <c r="K16" s="228" t="str">
        <f t="shared" si="0"/>
        <v>Forecast</v>
      </c>
      <c r="L16" s="228" t="str">
        <f t="shared" si="0"/>
        <v>Forecast</v>
      </c>
      <c r="M16" s="228" t="str">
        <f t="shared" si="0"/>
        <v>Forecast</v>
      </c>
      <c r="N16" s="228" t="str">
        <f t="shared" si="0"/>
        <v>Forecast</v>
      </c>
    </row>
    <row r="17" spans="1:22">
      <c r="B17" s="227" t="s">
        <v>35</v>
      </c>
      <c r="C17" s="229">
        <v>43555</v>
      </c>
      <c r="D17" s="230">
        <v>43921</v>
      </c>
      <c r="E17" s="230">
        <v>44286</v>
      </c>
      <c r="F17" s="230">
        <v>44651</v>
      </c>
      <c r="G17" s="230">
        <v>45016</v>
      </c>
      <c r="H17" s="229">
        <v>45382</v>
      </c>
      <c r="I17" s="229">
        <v>45747</v>
      </c>
      <c r="J17" s="229">
        <v>46112</v>
      </c>
      <c r="K17" s="229">
        <v>46477</v>
      </c>
      <c r="L17" s="229">
        <v>46843</v>
      </c>
      <c r="M17" s="229">
        <v>47208</v>
      </c>
      <c r="N17" s="229">
        <v>47573</v>
      </c>
    </row>
    <row r="18" spans="1:22">
      <c r="B18" s="227" t="s">
        <v>36</v>
      </c>
      <c r="C18" s="231">
        <v>2019</v>
      </c>
      <c r="D18" s="232">
        <v>2020</v>
      </c>
      <c r="E18" s="231">
        <v>2021</v>
      </c>
      <c r="F18" s="232">
        <v>2022</v>
      </c>
      <c r="G18" s="231">
        <v>2023</v>
      </c>
      <c r="H18" s="232">
        <v>2024</v>
      </c>
      <c r="I18" s="231">
        <v>2025</v>
      </c>
      <c r="J18" s="232">
        <v>2026</v>
      </c>
      <c r="K18" s="231">
        <v>2027</v>
      </c>
      <c r="L18" s="232">
        <v>2028</v>
      </c>
      <c r="M18" s="231">
        <v>2029</v>
      </c>
      <c r="N18" s="232">
        <v>2030</v>
      </c>
    </row>
    <row r="19" spans="1:22">
      <c r="B19" s="233" t="s">
        <v>37</v>
      </c>
      <c r="C19" s="293">
        <v>283.30833333333334</v>
      </c>
      <c r="D19" s="294">
        <v>290.64166666666665</v>
      </c>
      <c r="E19" s="294">
        <v>294.16666666666669</v>
      </c>
      <c r="F19" s="294">
        <v>307.32821397646848</v>
      </c>
      <c r="G19" s="294">
        <v>334.29358180068937</v>
      </c>
      <c r="H19" s="294">
        <v>352.83651735739545</v>
      </c>
      <c r="I19" s="294">
        <v>360.97742810857477</v>
      </c>
      <c r="J19" s="294">
        <v>366.52764714368323</v>
      </c>
      <c r="K19" s="309">
        <f t="shared" ref="K19:N21" si="1">J19*(1+K$22)</f>
        <v>373.85820008655691</v>
      </c>
      <c r="L19" s="309">
        <f t="shared" si="1"/>
        <v>381.33536408828803</v>
      </c>
      <c r="M19" s="309">
        <f t="shared" si="1"/>
        <v>388.96207137005382</v>
      </c>
      <c r="N19" s="309">
        <f t="shared" si="1"/>
        <v>396.7413127974549</v>
      </c>
      <c r="O19" s="1211"/>
    </row>
    <row r="20" spans="1:22">
      <c r="B20" s="233" t="s">
        <v>38</v>
      </c>
      <c r="C20" s="293">
        <v>286.64999999999998</v>
      </c>
      <c r="D20" s="294">
        <v>292.60000000000002</v>
      </c>
      <c r="E20" s="294">
        <v>298.42363263445759</v>
      </c>
      <c r="F20" s="294">
        <v>319.91658048382931</v>
      </c>
      <c r="G20" s="294">
        <v>346.54233410371501</v>
      </c>
      <c r="H20" s="294">
        <v>357.86889631512634</v>
      </c>
      <c r="I20" s="294">
        <v>363.68027567809611</v>
      </c>
      <c r="J20" s="294">
        <v>369.23294542844485</v>
      </c>
      <c r="K20" s="309">
        <f t="shared" si="1"/>
        <v>376.61760433701374</v>
      </c>
      <c r="L20" s="309">
        <f t="shared" si="1"/>
        <v>384.14995642375402</v>
      </c>
      <c r="M20" s="309">
        <f t="shared" si="1"/>
        <v>391.83295555222912</v>
      </c>
      <c r="N20" s="309">
        <f t="shared" si="1"/>
        <v>399.66961466327371</v>
      </c>
      <c r="O20" s="1211"/>
    </row>
    <row r="21" spans="1:22">
      <c r="A21" s="7"/>
      <c r="B21" s="123" t="s">
        <v>39</v>
      </c>
      <c r="C21" s="295">
        <v>106.43333333333334</v>
      </c>
      <c r="D21" s="295">
        <v>108.24166666666663</v>
      </c>
      <c r="E21" s="295">
        <v>109.10833333333335</v>
      </c>
      <c r="F21" s="295">
        <v>113.11666666666667</v>
      </c>
      <c r="G21" s="295">
        <v>123.04166666666664</v>
      </c>
      <c r="H21" s="295">
        <v>129.86666666666665</v>
      </c>
      <c r="I21" s="295">
        <v>132.86304853440734</v>
      </c>
      <c r="J21" s="295">
        <v>134.90588823466803</v>
      </c>
      <c r="K21" s="309">
        <f t="shared" si="1"/>
        <v>137.60400599936139</v>
      </c>
      <c r="L21" s="309">
        <f t="shared" si="1"/>
        <v>140.35608611934862</v>
      </c>
      <c r="M21" s="309">
        <f t="shared" si="1"/>
        <v>143.16320784173558</v>
      </c>
      <c r="N21" s="309">
        <f t="shared" si="1"/>
        <v>146.02647199857029</v>
      </c>
      <c r="O21" s="1211"/>
      <c r="U21" s="120"/>
      <c r="V21" s="120"/>
    </row>
    <row r="22" spans="1:22" ht="16">
      <c r="A22" s="7"/>
      <c r="B22" s="227" t="s">
        <v>40</v>
      </c>
      <c r="C22" s="123"/>
      <c r="D22" s="123"/>
      <c r="E22" s="123"/>
      <c r="F22" s="123"/>
      <c r="G22" s="123"/>
      <c r="H22" s="124"/>
      <c r="I22" s="123"/>
      <c r="J22" s="123"/>
      <c r="K22" s="173">
        <v>0.02</v>
      </c>
      <c r="L22" s="173">
        <v>0.02</v>
      </c>
      <c r="M22" s="173">
        <v>0.02</v>
      </c>
      <c r="N22" s="173">
        <v>0.02</v>
      </c>
      <c r="O22" s="135" t="s">
        <v>41</v>
      </c>
      <c r="U22" s="120"/>
      <c r="V22" s="120"/>
    </row>
    <row r="23" spans="1:22" ht="16">
      <c r="A23" s="7"/>
      <c r="H23" s="122"/>
      <c r="K23" s="1214"/>
      <c r="L23" s="1214"/>
      <c r="M23" s="1214"/>
      <c r="N23" s="1214"/>
      <c r="O23" s="135"/>
      <c r="U23" s="120"/>
      <c r="V23" s="120"/>
    </row>
    <row r="24" spans="1:22">
      <c r="A24" s="1215" t="s">
        <v>42</v>
      </c>
      <c r="B24" s="1271" t="s">
        <v>43</v>
      </c>
      <c r="U24" s="120"/>
      <c r="V24" s="120"/>
    </row>
    <row r="25" spans="1:22">
      <c r="A25" s="7"/>
      <c r="B25" s="227" t="s">
        <v>34</v>
      </c>
      <c r="C25" s="228" t="str">
        <f t="shared" ref="C25:N25" si="2">IF(VALUE(C27)&lt;=Reporting_Year,"Actual","Forecast")</f>
        <v>Actual</v>
      </c>
      <c r="D25" s="228" t="str">
        <f t="shared" si="2"/>
        <v>Actual</v>
      </c>
      <c r="E25" s="228" t="str">
        <f t="shared" si="2"/>
        <v>Actual</v>
      </c>
      <c r="F25" s="228" t="str">
        <f t="shared" si="2"/>
        <v>Actual</v>
      </c>
      <c r="G25" s="228" t="str">
        <f t="shared" si="2"/>
        <v>Actual</v>
      </c>
      <c r="H25" s="228" t="str">
        <f t="shared" si="2"/>
        <v>Actual</v>
      </c>
      <c r="I25" s="228" t="str">
        <f t="shared" si="2"/>
        <v>Forecast</v>
      </c>
      <c r="J25" s="228" t="str">
        <f t="shared" si="2"/>
        <v>Forecast</v>
      </c>
      <c r="K25" s="228" t="str">
        <f t="shared" si="2"/>
        <v>Forecast</v>
      </c>
      <c r="L25" s="228" t="str">
        <f t="shared" si="2"/>
        <v>Forecast</v>
      </c>
      <c r="M25" s="228" t="str">
        <f t="shared" si="2"/>
        <v>Forecast</v>
      </c>
      <c r="N25" s="228" t="str">
        <f t="shared" si="2"/>
        <v>Forecast</v>
      </c>
      <c r="U25" s="120"/>
      <c r="V25" s="120"/>
    </row>
    <row r="26" spans="1:22">
      <c r="A26" s="7"/>
      <c r="B26" s="227" t="s">
        <v>35</v>
      </c>
      <c r="C26" s="229">
        <v>43555</v>
      </c>
      <c r="D26" s="230">
        <v>43921</v>
      </c>
      <c r="E26" s="230">
        <v>44286</v>
      </c>
      <c r="F26" s="230">
        <v>44651</v>
      </c>
      <c r="G26" s="230">
        <v>45016</v>
      </c>
      <c r="H26" s="229">
        <v>45382</v>
      </c>
      <c r="I26" s="229">
        <v>45747</v>
      </c>
      <c r="J26" s="229">
        <v>46112</v>
      </c>
      <c r="K26" s="229">
        <v>46477</v>
      </c>
      <c r="L26" s="229">
        <v>46843</v>
      </c>
      <c r="M26" s="229">
        <v>47208</v>
      </c>
      <c r="N26" s="229">
        <v>47573</v>
      </c>
      <c r="U26" s="120"/>
      <c r="V26" s="120"/>
    </row>
    <row r="27" spans="1:22">
      <c r="A27" s="7"/>
      <c r="B27" s="227" t="s">
        <v>36</v>
      </c>
      <c r="C27" s="231">
        <v>2019</v>
      </c>
      <c r="D27" s="232">
        <v>2020</v>
      </c>
      <c r="E27" s="231">
        <v>2021</v>
      </c>
      <c r="F27" s="232">
        <v>2022</v>
      </c>
      <c r="G27" s="231">
        <v>2023</v>
      </c>
      <c r="H27" s="232">
        <v>2024</v>
      </c>
      <c r="I27" s="231">
        <v>2025</v>
      </c>
      <c r="J27" s="232">
        <v>2026</v>
      </c>
      <c r="K27" s="1246">
        <v>2027</v>
      </c>
      <c r="L27" s="1247">
        <v>2028</v>
      </c>
      <c r="M27" s="1246">
        <v>2029</v>
      </c>
      <c r="N27" s="1247">
        <v>2030</v>
      </c>
      <c r="U27" s="120"/>
      <c r="V27" s="120"/>
    </row>
    <row r="28" spans="1:22">
      <c r="A28" s="7"/>
      <c r="B28" s="233" t="s">
        <v>37</v>
      </c>
      <c r="C28" s="293">
        <v>283.30833333333334</v>
      </c>
      <c r="D28" s="294">
        <v>290.64166666666665</v>
      </c>
      <c r="E28" s="294">
        <v>294.16666666666669</v>
      </c>
      <c r="F28" s="294">
        <v>311.1583333333333</v>
      </c>
      <c r="G28" s="294">
        <v>351.2166666666667</v>
      </c>
      <c r="H28" s="294">
        <v>376.71650221738128</v>
      </c>
      <c r="I28" s="294">
        <v>385.40839002428197</v>
      </c>
      <c r="J28" s="1245">
        <v>391.33424803100451</v>
      </c>
      <c r="K28" s="1248">
        <v>398.0456355005802</v>
      </c>
      <c r="L28" s="1249">
        <v>405.76023501973924</v>
      </c>
      <c r="M28" s="1250">
        <f t="shared" ref="M28:M29" si="3">L28*(1+M$22)</f>
        <v>413.87543972013401</v>
      </c>
      <c r="N28" s="1250">
        <f t="shared" ref="N28:N29" si="4">M28*(1+N$22)</f>
        <v>422.15294851453672</v>
      </c>
      <c r="O28" s="1211"/>
      <c r="U28" s="120"/>
      <c r="V28" s="120"/>
    </row>
    <row r="29" spans="1:22">
      <c r="A29" s="7"/>
      <c r="B29" s="227" t="s">
        <v>38</v>
      </c>
      <c r="C29" s="293">
        <v>286.64999999999998</v>
      </c>
      <c r="D29" s="294">
        <v>292.60000000000002</v>
      </c>
      <c r="E29" s="294">
        <v>299</v>
      </c>
      <c r="F29" s="294">
        <v>329.05</v>
      </c>
      <c r="G29" s="294">
        <v>369.68596214511041</v>
      </c>
      <c r="H29" s="294">
        <v>382.08947271654415</v>
      </c>
      <c r="I29" s="294">
        <v>388.29416638904945</v>
      </c>
      <c r="J29" s="1245">
        <v>394.48785735339231</v>
      </c>
      <c r="K29" s="1248">
        <v>401.81615050280811</v>
      </c>
      <c r="L29" s="1249">
        <v>409.44663376493384</v>
      </c>
      <c r="M29" s="1250">
        <f t="shared" si="3"/>
        <v>417.63556644023254</v>
      </c>
      <c r="N29" s="1250">
        <f t="shared" si="4"/>
        <v>425.98827776903721</v>
      </c>
      <c r="O29" s="1211"/>
      <c r="U29" s="120"/>
      <c r="V29" s="120"/>
    </row>
    <row r="31" spans="1:22" ht="14.25" customHeight="1">
      <c r="B31" s="1271" t="s">
        <v>44</v>
      </c>
      <c r="M31" s="10"/>
    </row>
    <row r="32" spans="1:22" ht="48.65" customHeight="1">
      <c r="E32" s="228" t="str">
        <f>IF(E33&lt;='RFPR cover'!$C$9,"Actuals","Forecast")</f>
        <v>Actuals</v>
      </c>
      <c r="F32" s="228" t="str">
        <f>IF(F33&lt;='RFPR cover'!$C$9,"Actuals","Forecast")</f>
        <v>Actuals</v>
      </c>
      <c r="G32" s="228" t="str">
        <f>IF(G33&lt;='RFPR cover'!$C$9,"Actuals","Forecast")</f>
        <v>Actuals</v>
      </c>
      <c r="H32" s="228" t="str">
        <f>IF(H33&lt;='RFPR cover'!$C$9,"Actuals","Forecast")</f>
        <v>Actuals</v>
      </c>
      <c r="I32" s="228" t="str">
        <f>IF(I33&lt;='RFPR cover'!$C$9,"Actuals","Forecast")</f>
        <v>Forecast</v>
      </c>
      <c r="J32" s="228" t="str">
        <f>IF(J33&lt;='RFPR cover'!$C$9,"Actuals","Forecast")</f>
        <v>Forecast</v>
      </c>
      <c r="K32" s="228" t="str">
        <f>IF(K33&lt;='RFPR cover'!$C$9,"Actuals","Forecast")</f>
        <v>Forecast</v>
      </c>
      <c r="L32" s="228" t="str">
        <f>IF(L33&lt;='RFPR cover'!$C$9,"Actuals","Forecast")</f>
        <v>Forecast</v>
      </c>
      <c r="M32" s="129"/>
      <c r="N32" s="339"/>
      <c r="O32" s="339"/>
      <c r="P32" s="339"/>
      <c r="Q32" s="339"/>
      <c r="R32" s="339"/>
      <c r="S32" s="339"/>
    </row>
    <row r="33" spans="1:23" ht="58.5" customHeight="1">
      <c r="E33" s="149">
        <v>2021</v>
      </c>
      <c r="F33" s="150">
        <f t="shared" ref="F33:L33" si="5">E33+1</f>
        <v>2022</v>
      </c>
      <c r="G33" s="150">
        <f t="shared" si="5"/>
        <v>2023</v>
      </c>
      <c r="H33" s="150">
        <f t="shared" si="5"/>
        <v>2024</v>
      </c>
      <c r="I33" s="150">
        <f t="shared" si="5"/>
        <v>2025</v>
      </c>
      <c r="J33" s="150">
        <f t="shared" si="5"/>
        <v>2026</v>
      </c>
      <c r="K33" s="150">
        <f t="shared" si="5"/>
        <v>2027</v>
      </c>
      <c r="L33" s="150">
        <f t="shared" si="5"/>
        <v>2028</v>
      </c>
      <c r="M33" s="129"/>
    </row>
    <row r="34" spans="1:23" ht="71.150000000000006" customHeight="1">
      <c r="A34" s="119"/>
      <c r="D34" s="234" t="s">
        <v>45</v>
      </c>
      <c r="E34" s="1230">
        <f>IF(SectorCov="ED2",E28/INDEX($C$28:$N$28,MATCH($E$27,$C$27:$N$27,0)),E19/INDEX($C$19:$N$19,MATCH($C$18,$C$18:$N$18,0)))</f>
        <v>1.0383269111980469</v>
      </c>
      <c r="F34" s="1230">
        <f t="shared" ref="F34:L34" si="6">IF(SectorCov="ED2",F28/INDEX($C$28:$N$28,MATCH($E$27,$C$27:$N$27,0)),F19/INDEX($C$19:$N$19,MATCH($C$18,$C$18:$N$18,0)))</f>
        <v>1.0847835302284383</v>
      </c>
      <c r="G34" s="1230">
        <f t="shared" si="6"/>
        <v>1.1799638149272795</v>
      </c>
      <c r="H34" s="1230">
        <f t="shared" si="6"/>
        <v>1.2454152449594804</v>
      </c>
      <c r="I34" s="1230">
        <f t="shared" si="6"/>
        <v>1.2741504065955518</v>
      </c>
      <c r="J34" s="1230">
        <f t="shared" si="6"/>
        <v>1.2937411435491952</v>
      </c>
      <c r="K34" s="1230">
        <f t="shared" si="6"/>
        <v>1.319615966420179</v>
      </c>
      <c r="L34" s="1230">
        <f t="shared" si="6"/>
        <v>1.3460082857485827</v>
      </c>
      <c r="M34" s="1216"/>
    </row>
    <row r="35" spans="1:23" ht="40.5">
      <c r="A35" s="119"/>
      <c r="B35" s="119"/>
      <c r="C35" s="119"/>
      <c r="D35" s="137" t="s">
        <v>46</v>
      </c>
      <c r="E35" s="1230">
        <f>IF(Sector="ED2",INDEX(Data!$C$28:$N$28,MATCH(E$33,Data!$C$27:$N$27,0))/INDEX(Data!$C$28:$N$28,MATCH(E$33-1,Data!$C$27:$N$27,0)),INDEX(Data!$C$19:$N$19,MATCH(E$33,Data!$C$18:$N$18,0))/INDEX(Data!$C$19:$N$19,MATCH(E$33-1,Data!$C$18:$N$18,0)))</f>
        <v>1.0121283367262093</v>
      </c>
      <c r="F35" s="1230">
        <f>IF(Sector="ED2",INDEX(Data!$C$28:$N$28,MATCH(F$33,Data!$C$27:$N$27,0))/INDEX(Data!$C$28:$N$28,MATCH(F$33-1,Data!$C$27:$N$27,0)),INDEX(Data!$C$19:$N$19,MATCH(F$33,Data!$C$18:$N$18,0))/INDEX(Data!$C$19:$N$19,MATCH(F$33-1,Data!$C$18:$N$18,0)))</f>
        <v>1.0447418038860117</v>
      </c>
      <c r="G35" s="1230">
        <f>IF(Sector="ED2",INDEX(Data!$C$28:$N$28,MATCH(G$33,Data!$C$27:$N$27,0))/INDEX(Data!$C$28:$N$28,MATCH(G$33-1,Data!$C$27:$N$27,0)),INDEX(Data!$C$19:$N$19,MATCH(G$33,Data!$C$18:$N$18,0))/INDEX(Data!$C$19:$N$19,MATCH(G$33-1,Data!$C$18:$N$18,0)))</f>
        <v>1.0877412700751437</v>
      </c>
      <c r="H35" s="1230">
        <f>IF(Sector="ED2",INDEX(Data!$C$28:$N$28,MATCH(H$33,Data!$C$27:$N$27,0))/INDEX(Data!$C$28:$N$28,MATCH(H$33-1,Data!$C$27:$N$27,0)),INDEX(Data!$C$19:$N$19,MATCH(H$33,Data!$C$18:$N$18,0))/INDEX(Data!$C$19:$N$19,MATCH(H$33-1,Data!$C$18:$N$18,0)))</f>
        <v>1.0554690145614631</v>
      </c>
      <c r="I35" s="1230">
        <f>IF(Sector="ED2",INDEX(Data!$C$28:$N$28,MATCH(I$33,Data!$C$27:$N$27,0))/INDEX(Data!$C$28:$N$28,MATCH(I$33-1,Data!$C$27:$N$27,0)),INDEX(Data!$C$19:$N$19,MATCH(I$33,Data!$C$18:$N$18,0))/INDEX(Data!$C$19:$N$19,MATCH(I$33-1,Data!$C$18:$N$18,0)))</f>
        <v>1.0230727556550878</v>
      </c>
      <c r="J35" s="1230">
        <f>IF(Sector="ED2",INDEX(Data!$C$28:$N$28,MATCH(J$33,Data!$C$27:$N$27,0))/INDEX(Data!$C$28:$N$28,MATCH(J$33-1,Data!$C$27:$N$27,0)),INDEX(Data!$C$19:$N$19,MATCH(J$33,Data!$C$18:$N$18,0))/INDEX(Data!$C$19:$N$19,MATCH(J$33-1,Data!$C$18:$N$18,0)))</f>
        <v>1.0153755293348676</v>
      </c>
      <c r="K35" s="1230">
        <f>IF(Sector="ED2",INDEX(Data!$C$28:$N$28,MATCH(K$33,Data!$C$27:$N$27,0))/INDEX(Data!$C$28:$N$28,MATCH(K$33-1,Data!$C$27:$N$27,0)),INDEX(Data!$C$19:$N$19,MATCH(K$33,Data!$C$18:$N$18,0))/INDEX(Data!$C$19:$N$19,MATCH(K$33-1,Data!$C$18:$N$18,0)))</f>
        <v>1.02</v>
      </c>
      <c r="L35" s="1230">
        <f>IF(Sector="ED2",INDEX(Data!$C$28:$N$28,MATCH(L$33,Data!$C$27:$N$27,0))/INDEX(Data!$C$28:$N$28,MATCH(L$33-1,Data!$C$27:$N$27,0)),INDEX(Data!$C$19:$N$19,MATCH(L$33,Data!$C$18:$N$18,0))/INDEX(Data!$C$19:$N$19,MATCH(L$33-1,Data!$C$18:$N$18,0)))</f>
        <v>1.02</v>
      </c>
      <c r="M35" s="129"/>
      <c r="N35" s="122"/>
      <c r="O35" s="122"/>
      <c r="P35" s="122"/>
      <c r="Q35" s="122"/>
      <c r="R35" s="122"/>
      <c r="S35" s="122"/>
      <c r="T35" s="122"/>
      <c r="U35" s="122"/>
      <c r="V35" s="122"/>
      <c r="W35" s="122"/>
    </row>
    <row r="36" spans="1:23" ht="67.5">
      <c r="A36" s="119"/>
      <c r="D36" s="137" t="s">
        <v>47</v>
      </c>
      <c r="E36" s="1230">
        <f>IF(SectorCov="ED2",INDEX(Data!$C$29:$N$29,MATCH(E$33,Data!$C$27:$N$27,0))/Data!$E$28,INDEX(Data!$C$20:$N$20,MATCH(E$33,Data!$C$18:$N$18,0))/Data!$C$19)</f>
        <v>1.0533528227824487</v>
      </c>
      <c r="F36" s="1230">
        <f>IF(SectorCov="ED2",INDEX(Data!$C$29:$N$29,MATCH(F$33,Data!$C$27:$N$27,0))/Data!$E$28,INDEX(Data!$C$20:$N$20,MATCH(F$33,Data!$C$18:$N$18,0))/Data!$C$19)</f>
        <v>1.1292169796764278</v>
      </c>
      <c r="G36" s="1230">
        <f>IF(SectorCov="ED2",INDEX(Data!$C$29:$N$29,MATCH(G$33,Data!$C$27:$N$27,0))/Data!$E$28,INDEX(Data!$C$20:$N$20,MATCH(G$33,Data!$C$18:$N$18,0))/Data!$C$19)</f>
        <v>1.2231985202354856</v>
      </c>
      <c r="H36" s="1230">
        <f>IF(SectorCov="ED2",INDEX(Data!$C$29:$N$29,MATCH(H$33,Data!$C$27:$N$27,0))/Data!$E$28,INDEX(Data!$C$20:$N$20,MATCH(H$33,Data!$C$18:$N$18,0))/Data!$C$19)</f>
        <v>1.2631781497724845</v>
      </c>
      <c r="I36" s="1230">
        <f>IF(SectorCov="ED2",INDEX(Data!$C$29:$N$29,MATCH(I$33,Data!$C$27:$N$27,0))/Data!$E$28,INDEX(Data!$C$20:$N$20,MATCH(I$33,Data!$C$18:$N$18,0))/Data!$C$19)</f>
        <v>1.2836907103971389</v>
      </c>
      <c r="J36" s="1230">
        <f>IF(SectorCov="ED2",INDEX(Data!$C$29:$N$29,MATCH(J$33,Data!$C$27:$N$27,0))/Data!$E$28,INDEX(Data!$C$20:$N$20,MATCH(J$33,Data!$C$18:$N$18,0))/Data!$C$19)</f>
        <v>1.3032900976972492</v>
      </c>
      <c r="K36" s="1230">
        <f>IF(SectorCov="ED2",INDEX(Data!$C$29:$N$29,MATCH(K$33,Data!$C$27:$N$27,0))/Data!$E$28,INDEX(Data!$C$20:$N$20,MATCH(K$33,Data!$C$18:$N$18,0))/Data!$C$19)</f>
        <v>1.3293558996511943</v>
      </c>
      <c r="L36" s="1230">
        <f>IF(SectorCov="ED2",INDEX(Data!$C$29:$N$29,MATCH(L$33,Data!$C$27:$N$27,0))/Data!$E$28,INDEX(Data!$C$20:$N$20,MATCH(L$33,Data!$C$18:$N$18,0))/Data!$C$19)</f>
        <v>1.355943017644218</v>
      </c>
      <c r="M36" s="129"/>
    </row>
    <row r="37" spans="1:23" ht="54" customHeight="1">
      <c r="A37" s="119"/>
      <c r="B37" s="1350" t="s">
        <v>48</v>
      </c>
      <c r="C37" s="1350"/>
      <c r="D37" s="1350"/>
      <c r="E37" s="1350"/>
      <c r="F37" s="1350"/>
      <c r="G37" s="1350"/>
      <c r="H37" s="1350"/>
      <c r="I37" s="1350"/>
      <c r="J37" s="1350"/>
      <c r="K37" s="1350"/>
      <c r="L37" s="1350"/>
      <c r="M37" s="1350"/>
      <c r="N37" s="1350"/>
      <c r="O37" s="1350"/>
      <c r="P37" s="1350"/>
      <c r="Q37" s="37"/>
    </row>
    <row r="38" spans="1:23">
      <c r="B38" s="98"/>
      <c r="C38" s="119"/>
      <c r="D38" s="119"/>
      <c r="E38" s="119"/>
      <c r="F38" s="119"/>
      <c r="G38" s="119"/>
      <c r="H38" s="119"/>
      <c r="I38" s="119"/>
      <c r="J38" s="119"/>
    </row>
    <row r="39" spans="1:23">
      <c r="B39" s="61"/>
      <c r="C39" s="61"/>
      <c r="D39" s="38"/>
      <c r="E39" s="61"/>
      <c r="F39" s="62"/>
      <c r="G39" s="63"/>
      <c r="H39" s="63"/>
      <c r="I39" s="63"/>
      <c r="J39" s="64"/>
      <c r="K39" s="64"/>
      <c r="L39" s="38"/>
      <c r="M39" s="38"/>
      <c r="N39" s="38"/>
      <c r="O39" s="38"/>
      <c r="P39" s="38"/>
      <c r="Q39" s="38"/>
      <c r="R39" s="38"/>
      <c r="S39" s="38"/>
      <c r="T39" s="38"/>
    </row>
    <row r="40" spans="1:23">
      <c r="B40" s="60" t="s">
        <v>49</v>
      </c>
      <c r="C40" s="34"/>
      <c r="I40" s="14"/>
    </row>
    <row r="41" spans="1:23">
      <c r="C41" s="149">
        <v>2022</v>
      </c>
      <c r="D41" s="150">
        <f t="shared" ref="D41" si="7">C41+1</f>
        <v>2023</v>
      </c>
      <c r="E41" s="150">
        <f t="shared" ref="E41" si="8">D41+1</f>
        <v>2024</v>
      </c>
      <c r="F41" s="150">
        <f t="shared" ref="F41" si="9">E41+1</f>
        <v>2025</v>
      </c>
      <c r="G41" s="150">
        <f t="shared" ref="G41" si="10">F41+1</f>
        <v>2026</v>
      </c>
      <c r="H41" s="150">
        <f t="shared" ref="H41" si="11">G41+1</f>
        <v>2027</v>
      </c>
      <c r="I41" s="150">
        <f t="shared" ref="I41" si="12">H41+1</f>
        <v>2028</v>
      </c>
    </row>
    <row r="42" spans="1:23">
      <c r="B42" s="147" t="s">
        <v>50</v>
      </c>
      <c r="C42" s="138"/>
      <c r="D42" s="139"/>
      <c r="E42" s="131">
        <v>3.04E-2</v>
      </c>
      <c r="F42" s="131">
        <v>3.1099999999999999E-2</v>
      </c>
      <c r="G42" s="131">
        <v>3.1699999999999999E-2</v>
      </c>
      <c r="H42" s="131">
        <v>3.1800000000000002E-2</v>
      </c>
      <c r="I42" s="132">
        <v>3.2000000000000001E-2</v>
      </c>
      <c r="J42" s="1211"/>
    </row>
    <row r="43" spans="1:23">
      <c r="B43" s="1197" t="s">
        <v>51</v>
      </c>
      <c r="C43" s="1198"/>
      <c r="D43" s="1199"/>
      <c r="E43" s="1200">
        <v>3.04E-2</v>
      </c>
      <c r="F43" s="1200">
        <v>3.1099999999999999E-2</v>
      </c>
      <c r="G43" s="1200">
        <v>3.1699999999999999E-2</v>
      </c>
      <c r="H43" s="1200">
        <v>3.1800000000000002E-2</v>
      </c>
      <c r="I43" s="1201">
        <v>3.2000000000000001E-2</v>
      </c>
      <c r="J43" s="1211"/>
    </row>
    <row r="44" spans="1:23">
      <c r="B44" s="1197" t="s">
        <v>52</v>
      </c>
      <c r="C44" s="1198"/>
      <c r="D44" s="1199"/>
      <c r="E44" s="1200">
        <v>3.04E-2</v>
      </c>
      <c r="F44" s="1200">
        <v>3.1099999999999999E-2</v>
      </c>
      <c r="G44" s="1200">
        <v>3.1699999999999999E-2</v>
      </c>
      <c r="H44" s="1200">
        <v>3.1800000000000002E-2</v>
      </c>
      <c r="I44" s="1201">
        <v>3.2000000000000001E-2</v>
      </c>
      <c r="J44" s="1211"/>
    </row>
    <row r="45" spans="1:23">
      <c r="A45" s="125"/>
      <c r="B45" s="141" t="s">
        <v>53</v>
      </c>
      <c r="C45" s="140"/>
      <c r="D45" s="81"/>
      <c r="E45" s="133">
        <v>3.1E-2</v>
      </c>
      <c r="F45" s="133">
        <v>3.1699999999999999E-2</v>
      </c>
      <c r="G45" s="133">
        <v>3.2300000000000002E-2</v>
      </c>
      <c r="H45" s="133">
        <v>3.2399999999999998E-2</v>
      </c>
      <c r="I45" s="59">
        <v>3.2599999999999997E-2</v>
      </c>
      <c r="J45" s="1211"/>
    </row>
    <row r="46" spans="1:23">
      <c r="A46" s="125"/>
      <c r="B46" s="141" t="s">
        <v>54</v>
      </c>
      <c r="C46" s="141">
        <v>1.8184707641684131E-2</v>
      </c>
      <c r="D46" s="133">
        <v>1.5809503423148775E-2</v>
      </c>
      <c r="E46" s="133">
        <v>1.8000565597912722E-2</v>
      </c>
      <c r="F46" s="133">
        <v>2.3276186478151731E-2</v>
      </c>
      <c r="G46" s="133">
        <v>2.7418061040625063E-2</v>
      </c>
      <c r="H46" s="81"/>
      <c r="I46" s="142"/>
      <c r="J46" s="1211"/>
    </row>
    <row r="47" spans="1:23">
      <c r="A47" s="126"/>
      <c r="B47" s="141" t="s">
        <v>55</v>
      </c>
      <c r="C47" s="141">
        <v>2.0500000000000001E-2</v>
      </c>
      <c r="D47" s="133">
        <v>1.9E-2</v>
      </c>
      <c r="E47" s="133">
        <v>1.9199999999999998E-2</v>
      </c>
      <c r="F47" s="133">
        <v>2.1100000000000001E-2</v>
      </c>
      <c r="G47" s="133">
        <v>2.29E-2</v>
      </c>
      <c r="H47" s="81"/>
      <c r="I47" s="142"/>
      <c r="J47" s="1211"/>
      <c r="N47" s="113"/>
      <c r="O47" s="113"/>
      <c r="P47" s="113"/>
      <c r="Q47" s="113"/>
      <c r="R47" s="113"/>
    </row>
    <row r="48" spans="1:23">
      <c r="A48" s="125"/>
      <c r="B48" s="141" t="s">
        <v>25</v>
      </c>
      <c r="C48" s="141">
        <v>2.0500000000000001E-2</v>
      </c>
      <c r="D48" s="133">
        <v>1.9E-2</v>
      </c>
      <c r="E48" s="133">
        <v>1.9199999999999998E-2</v>
      </c>
      <c r="F48" s="133">
        <v>2.1100000000000001E-2</v>
      </c>
      <c r="G48" s="133">
        <v>2.29E-2</v>
      </c>
      <c r="H48" s="81"/>
      <c r="I48" s="142"/>
      <c r="J48" s="1211"/>
    </row>
    <row r="49" spans="1:23">
      <c r="A49" s="125"/>
      <c r="B49" s="141" t="s">
        <v>56</v>
      </c>
      <c r="C49" s="141">
        <v>2.1100000000000001E-2</v>
      </c>
      <c r="D49" s="133">
        <v>1.9599999999999999E-2</v>
      </c>
      <c r="E49" s="133">
        <v>1.9799999999999998E-2</v>
      </c>
      <c r="F49" s="133">
        <v>2.1700000000000001E-2</v>
      </c>
      <c r="G49" s="133">
        <v>2.35E-2</v>
      </c>
      <c r="H49" s="81"/>
      <c r="I49" s="142"/>
      <c r="J49" s="1211"/>
    </row>
    <row r="50" spans="1:23">
      <c r="A50" s="125"/>
      <c r="B50" s="141" t="s">
        <v>27</v>
      </c>
      <c r="C50" s="141">
        <v>2.0500000000000001E-2</v>
      </c>
      <c r="D50" s="133">
        <v>1.9E-2</v>
      </c>
      <c r="E50" s="133">
        <v>1.9199999999999998E-2</v>
      </c>
      <c r="F50" s="133">
        <v>2.1100000000000001E-2</v>
      </c>
      <c r="G50" s="133">
        <v>2.29E-2</v>
      </c>
      <c r="H50" s="81"/>
      <c r="I50" s="142"/>
      <c r="J50" s="1211"/>
    </row>
    <row r="51" spans="1:23">
      <c r="A51" s="125"/>
      <c r="B51" s="143" t="s">
        <v>29</v>
      </c>
      <c r="C51" s="143">
        <v>-5.9999999999999995E-4</v>
      </c>
      <c r="D51" s="144">
        <v>2.12E-2</v>
      </c>
      <c r="E51" s="144">
        <v>5.0099999999999999E-2</v>
      </c>
      <c r="F51" s="144">
        <v>4.7300000000000002E-2</v>
      </c>
      <c r="G51" s="144">
        <v>4.19E-2</v>
      </c>
      <c r="H51" s="145"/>
      <c r="I51" s="146"/>
      <c r="J51" s="1211"/>
    </row>
    <row r="52" spans="1:23">
      <c r="C52" s="183"/>
      <c r="D52" s="183"/>
      <c r="E52" s="183"/>
      <c r="F52" s="183"/>
      <c r="G52" s="183"/>
      <c r="H52" s="14"/>
    </row>
    <row r="53" spans="1:23">
      <c r="B53" s="60" t="s">
        <v>57</v>
      </c>
      <c r="C53" s="34"/>
      <c r="D53" s="34"/>
      <c r="E53" s="34"/>
      <c r="F53" s="34"/>
      <c r="G53" s="34"/>
      <c r="I53" s="14"/>
    </row>
    <row r="54" spans="1:23">
      <c r="A54" s="12" t="s">
        <v>6</v>
      </c>
      <c r="C54" s="149">
        <v>2022</v>
      </c>
      <c r="D54" s="150">
        <f t="shared" ref="D54:I54" si="13">C54+1</f>
        <v>2023</v>
      </c>
      <c r="E54" s="150">
        <f t="shared" si="13"/>
        <v>2024</v>
      </c>
      <c r="F54" s="150">
        <f t="shared" si="13"/>
        <v>2025</v>
      </c>
      <c r="G54" s="150">
        <f t="shared" si="13"/>
        <v>2026</v>
      </c>
      <c r="H54" s="150">
        <f t="shared" si="13"/>
        <v>2027</v>
      </c>
      <c r="I54" s="150">
        <f t="shared" si="13"/>
        <v>2028</v>
      </c>
    </row>
    <row r="55" spans="1:23">
      <c r="A55" s="12" t="s">
        <v>42</v>
      </c>
      <c r="B55" s="141" t="s">
        <v>19</v>
      </c>
      <c r="C55" s="140"/>
      <c r="D55" s="81"/>
      <c r="E55" s="133">
        <v>5.2833944000000001E-2</v>
      </c>
      <c r="F55" s="133">
        <v>5.5875458000000003E-2</v>
      </c>
      <c r="G55" s="133">
        <v>5.5175427000000006E-2</v>
      </c>
      <c r="H55" s="133">
        <v>5.5320261000000003E-2</v>
      </c>
      <c r="I55" s="59">
        <v>5.5489234000000012E-2</v>
      </c>
    </row>
    <row r="56" spans="1:23">
      <c r="A56" s="12" t="s">
        <v>58</v>
      </c>
      <c r="B56" s="141" t="s">
        <v>22</v>
      </c>
      <c r="C56" s="141">
        <v>4.2439449777777784E-2</v>
      </c>
      <c r="D56" s="133">
        <v>4.2616093333333334E-2</v>
      </c>
      <c r="E56" s="133">
        <v>4.909683911111111E-2</v>
      </c>
      <c r="F56" s="133">
        <v>5.2011518222222233E-2</v>
      </c>
      <c r="G56" s="133">
        <v>5.158926844444444E-2</v>
      </c>
      <c r="H56" s="81"/>
      <c r="I56" s="142"/>
      <c r="N56" s="113"/>
      <c r="O56" s="113"/>
      <c r="P56" s="113"/>
      <c r="Q56" s="113"/>
      <c r="R56" s="113"/>
    </row>
    <row r="57" spans="1:23">
      <c r="A57" s="12" t="s">
        <v>59</v>
      </c>
      <c r="B57" s="141" t="s">
        <v>25</v>
      </c>
      <c r="C57" s="141">
        <v>4.5181881000000007E-2</v>
      </c>
      <c r="D57" s="133">
        <v>4.5568104999999998E-2</v>
      </c>
      <c r="E57" s="133">
        <v>5.2833943999999994E-2</v>
      </c>
      <c r="F57" s="133">
        <v>5.5875458000000003E-2</v>
      </c>
      <c r="G57" s="133">
        <v>5.5175426999999992E-2</v>
      </c>
      <c r="H57" s="81"/>
      <c r="I57" s="142"/>
    </row>
    <row r="58" spans="1:23">
      <c r="A58" s="12" t="s">
        <v>60</v>
      </c>
      <c r="B58" s="141" t="s">
        <v>27</v>
      </c>
      <c r="C58" s="244">
        <v>4.5181881000000007E-2</v>
      </c>
      <c r="D58" s="245">
        <v>4.5568104999999991E-2</v>
      </c>
      <c r="E58" s="245">
        <v>5.2833943999999994E-2</v>
      </c>
      <c r="F58" s="245">
        <v>5.587545800000001E-2</v>
      </c>
      <c r="G58" s="245">
        <v>5.5175426999999992E-2</v>
      </c>
      <c r="H58" s="81"/>
      <c r="I58" s="142"/>
    </row>
    <row r="59" spans="1:23">
      <c r="A59" s="12" t="s">
        <v>61</v>
      </c>
      <c r="B59" s="143" t="s">
        <v>29</v>
      </c>
      <c r="C59" s="246">
        <v>7.5718976000000007E-2</v>
      </c>
      <c r="D59" s="246">
        <v>7.5510080000000007E-2</v>
      </c>
      <c r="E59" s="246">
        <v>7.1580223999999998E-2</v>
      </c>
      <c r="F59" s="246">
        <v>6.9935168000000006E-2</v>
      </c>
      <c r="G59" s="246">
        <v>7.0313792E-2</v>
      </c>
      <c r="H59" s="185"/>
      <c r="I59" s="146"/>
    </row>
    <row r="60" spans="1:23" ht="14" thickBot="1">
      <c r="A60" s="125"/>
      <c r="B60" s="183"/>
      <c r="C60" s="183"/>
      <c r="D60" s="183"/>
      <c r="E60" s="183"/>
      <c r="F60" s="183"/>
      <c r="G60" s="183"/>
      <c r="H60" s="184"/>
      <c r="I60" s="184"/>
    </row>
    <row r="61" spans="1:23" s="122" customFormat="1" ht="41" thickBot="1">
      <c r="A61"/>
      <c r="B61" s="3"/>
      <c r="C61" s="200" t="s">
        <v>62</v>
      </c>
      <c r="D61" s="200" t="s">
        <v>63</v>
      </c>
      <c r="E61" s="200" t="s">
        <v>64</v>
      </c>
      <c r="F61" s="200" t="s">
        <v>65</v>
      </c>
      <c r="G61" s="201" t="s">
        <v>66</v>
      </c>
      <c r="H61" s="1331" t="s">
        <v>67</v>
      </c>
      <c r="I61" s="1332"/>
      <c r="J61" s="1332"/>
      <c r="K61" s="1332"/>
      <c r="L61" s="1332"/>
      <c r="M61" s="1332"/>
      <c r="N61" s="1332"/>
      <c r="O61" s="1328" t="s">
        <v>68</v>
      </c>
      <c r="P61" s="1329"/>
      <c r="Q61" s="1329"/>
      <c r="R61" s="1329"/>
      <c r="S61" s="1329"/>
      <c r="T61" s="1329"/>
      <c r="U61" s="1330"/>
      <c r="V61"/>
      <c r="W61"/>
    </row>
    <row r="62" spans="1:23" ht="14" thickBot="1">
      <c r="A62" s="48" t="s">
        <v>6</v>
      </c>
      <c r="B62" s="196" t="s">
        <v>69</v>
      </c>
      <c r="C62" s="197"/>
      <c r="D62" s="197"/>
      <c r="E62" s="198"/>
      <c r="F62" s="199"/>
      <c r="G62" s="1188"/>
      <c r="H62" s="1192">
        <v>2022</v>
      </c>
      <c r="I62" s="1193">
        <f t="shared" ref="I62:N62" si="14">H62+1</f>
        <v>2023</v>
      </c>
      <c r="J62" s="1193">
        <f t="shared" si="14"/>
        <v>2024</v>
      </c>
      <c r="K62" s="1194">
        <f t="shared" si="14"/>
        <v>2025</v>
      </c>
      <c r="L62" s="1194">
        <f t="shared" si="14"/>
        <v>2026</v>
      </c>
      <c r="M62" s="1194">
        <f t="shared" si="14"/>
        <v>2027</v>
      </c>
      <c r="N62" s="1195">
        <f t="shared" si="14"/>
        <v>2028</v>
      </c>
      <c r="O62" s="1177">
        <v>2022</v>
      </c>
      <c r="P62" s="187">
        <f t="shared" ref="P62:U62" si="15">O62+1</f>
        <v>2023</v>
      </c>
      <c r="Q62" s="187">
        <f t="shared" si="15"/>
        <v>2024</v>
      </c>
      <c r="R62" s="188">
        <f t="shared" si="15"/>
        <v>2025</v>
      </c>
      <c r="S62" s="188">
        <f t="shared" si="15"/>
        <v>2026</v>
      </c>
      <c r="T62" s="188">
        <f t="shared" si="15"/>
        <v>2027</v>
      </c>
      <c r="U62" s="1178">
        <f t="shared" si="15"/>
        <v>2028</v>
      </c>
    </row>
    <row r="63" spans="1:23">
      <c r="A63" s="12" t="s">
        <v>19</v>
      </c>
      <c r="B63" s="191" t="s">
        <v>70</v>
      </c>
      <c r="C63" s="190">
        <v>0.50600000000000001</v>
      </c>
      <c r="D63" s="133">
        <v>0.6</v>
      </c>
      <c r="E63" s="192">
        <v>2024</v>
      </c>
      <c r="F63" s="1171" t="str">
        <f t="shared" ref="F63:F91" si="16">VLOOKUP($A63,$H$6:$I$10,2,FALSE)</f>
        <v>£m 20/21</v>
      </c>
      <c r="G63" s="1189" t="s">
        <v>53</v>
      </c>
      <c r="H63" s="1196"/>
      <c r="I63" s="189"/>
      <c r="J63" s="1175">
        <f t="shared" ref="J63:N76" si="17">INDEX($C$42:$I$51,MATCH($G63,$B$42:$B$51,0),MATCH(J$62,$C$41:$I$41))</f>
        <v>3.1E-2</v>
      </c>
      <c r="K63" s="1175">
        <f t="shared" si="17"/>
        <v>3.1699999999999999E-2</v>
      </c>
      <c r="L63" s="1175">
        <f t="shared" si="17"/>
        <v>3.2300000000000002E-2</v>
      </c>
      <c r="M63" s="1174">
        <f t="shared" si="17"/>
        <v>3.2399999999999998E-2</v>
      </c>
      <c r="N63" s="1180">
        <f t="shared" si="17"/>
        <v>3.2599999999999997E-2</v>
      </c>
      <c r="O63" s="1179"/>
      <c r="P63" s="139"/>
      <c r="Q63" s="1176">
        <f t="shared" ref="Q63:U76" si="18">INDEX($C$55:$I$59,MATCH($A63,$B$55:$B$59,0),MATCH(Q$62,$C$54:$I$54))</f>
        <v>5.2833944000000001E-2</v>
      </c>
      <c r="R63" s="1176">
        <f t="shared" si="18"/>
        <v>5.5875458000000003E-2</v>
      </c>
      <c r="S63" s="1176">
        <f t="shared" si="18"/>
        <v>5.5175427000000006E-2</v>
      </c>
      <c r="T63" s="1174">
        <f t="shared" si="18"/>
        <v>5.5320261000000003E-2</v>
      </c>
      <c r="U63" s="1180">
        <f t="shared" si="18"/>
        <v>5.5489234000000012E-2</v>
      </c>
    </row>
    <row r="64" spans="1:23">
      <c r="A64" s="12" t="s">
        <v>19</v>
      </c>
      <c r="B64" s="193" t="s">
        <v>71</v>
      </c>
      <c r="C64" s="133">
        <v>0.501</v>
      </c>
      <c r="D64" s="133">
        <v>0.6</v>
      </c>
      <c r="E64" s="49">
        <v>2024</v>
      </c>
      <c r="F64" s="1172" t="str">
        <f t="shared" si="16"/>
        <v>£m 20/21</v>
      </c>
      <c r="G64" s="1190" t="s">
        <v>53</v>
      </c>
      <c r="H64" s="1181"/>
      <c r="I64" s="81"/>
      <c r="J64" s="1174">
        <f t="shared" si="17"/>
        <v>3.1E-2</v>
      </c>
      <c r="K64" s="1174">
        <f t="shared" si="17"/>
        <v>3.1699999999999999E-2</v>
      </c>
      <c r="L64" s="1174">
        <f t="shared" si="17"/>
        <v>3.2300000000000002E-2</v>
      </c>
      <c r="M64" s="1174">
        <f t="shared" si="17"/>
        <v>3.2399999999999998E-2</v>
      </c>
      <c r="N64" s="1180">
        <f t="shared" si="17"/>
        <v>3.2599999999999997E-2</v>
      </c>
      <c r="O64" s="1181"/>
      <c r="P64" s="81"/>
      <c r="Q64" s="1174">
        <f t="shared" si="18"/>
        <v>5.2833944000000001E-2</v>
      </c>
      <c r="R64" s="1174">
        <f t="shared" si="18"/>
        <v>5.5875458000000003E-2</v>
      </c>
      <c r="S64" s="1174">
        <f t="shared" si="18"/>
        <v>5.5175427000000006E-2</v>
      </c>
      <c r="T64" s="1174">
        <f t="shared" si="18"/>
        <v>5.5320261000000003E-2</v>
      </c>
      <c r="U64" s="1180">
        <f t="shared" si="18"/>
        <v>5.5489234000000012E-2</v>
      </c>
    </row>
    <row r="65" spans="1:21">
      <c r="A65" s="12" t="s">
        <v>19</v>
      </c>
      <c r="B65" s="193" t="s">
        <v>72</v>
      </c>
      <c r="C65" s="133">
        <v>0.501</v>
      </c>
      <c r="D65" s="133">
        <v>0.6</v>
      </c>
      <c r="E65" s="49">
        <v>2024</v>
      </c>
      <c r="F65" s="1172" t="str">
        <f t="shared" si="16"/>
        <v>£m 20/21</v>
      </c>
      <c r="G65" s="1190" t="s">
        <v>53</v>
      </c>
      <c r="H65" s="1181"/>
      <c r="I65" s="81"/>
      <c r="J65" s="1174">
        <f t="shared" si="17"/>
        <v>3.1E-2</v>
      </c>
      <c r="K65" s="1174">
        <f t="shared" si="17"/>
        <v>3.1699999999999999E-2</v>
      </c>
      <c r="L65" s="1174">
        <f t="shared" si="17"/>
        <v>3.2300000000000002E-2</v>
      </c>
      <c r="M65" s="1174">
        <f t="shared" si="17"/>
        <v>3.2399999999999998E-2</v>
      </c>
      <c r="N65" s="1180">
        <f t="shared" si="17"/>
        <v>3.2599999999999997E-2</v>
      </c>
      <c r="O65" s="1181"/>
      <c r="P65" s="81"/>
      <c r="Q65" s="1174">
        <f t="shared" si="18"/>
        <v>5.2833944000000001E-2</v>
      </c>
      <c r="R65" s="1174">
        <f t="shared" si="18"/>
        <v>5.5875458000000003E-2</v>
      </c>
      <c r="S65" s="1174">
        <f t="shared" si="18"/>
        <v>5.5175427000000006E-2</v>
      </c>
      <c r="T65" s="1174">
        <f t="shared" si="18"/>
        <v>5.5320261000000003E-2</v>
      </c>
      <c r="U65" s="1180">
        <f t="shared" si="18"/>
        <v>5.5489234000000012E-2</v>
      </c>
    </row>
    <row r="66" spans="1:21">
      <c r="A66" s="12" t="s">
        <v>19</v>
      </c>
      <c r="B66" s="193" t="s">
        <v>52</v>
      </c>
      <c r="C66" s="133">
        <v>0.5</v>
      </c>
      <c r="D66" s="133">
        <v>0.6</v>
      </c>
      <c r="E66" s="49">
        <v>2024</v>
      </c>
      <c r="F66" s="1172" t="str">
        <f t="shared" si="16"/>
        <v>£m 20/21</v>
      </c>
      <c r="G66" s="1190" t="s">
        <v>52</v>
      </c>
      <c r="H66" s="1181"/>
      <c r="I66" s="81"/>
      <c r="J66" s="1174">
        <f t="shared" si="17"/>
        <v>3.04E-2</v>
      </c>
      <c r="K66" s="1174">
        <f t="shared" si="17"/>
        <v>3.1099999999999999E-2</v>
      </c>
      <c r="L66" s="1174">
        <f t="shared" si="17"/>
        <v>3.1699999999999999E-2</v>
      </c>
      <c r="M66" s="1174">
        <f t="shared" si="17"/>
        <v>3.1800000000000002E-2</v>
      </c>
      <c r="N66" s="1180">
        <f t="shared" si="17"/>
        <v>3.2000000000000001E-2</v>
      </c>
      <c r="O66" s="1181"/>
      <c r="P66" s="81"/>
      <c r="Q66" s="1174">
        <f t="shared" si="18"/>
        <v>5.2833944000000001E-2</v>
      </c>
      <c r="R66" s="1174">
        <f t="shared" si="18"/>
        <v>5.5875458000000003E-2</v>
      </c>
      <c r="S66" s="1174">
        <f t="shared" si="18"/>
        <v>5.5175427000000006E-2</v>
      </c>
      <c r="T66" s="1174">
        <f t="shared" si="18"/>
        <v>5.5320261000000003E-2</v>
      </c>
      <c r="U66" s="1180">
        <f t="shared" si="18"/>
        <v>5.5489234000000012E-2</v>
      </c>
    </row>
    <row r="67" spans="1:21">
      <c r="A67" s="12" t="s">
        <v>19</v>
      </c>
      <c r="B67" s="193" t="s">
        <v>73</v>
      </c>
      <c r="C67" s="133">
        <v>0.5</v>
      </c>
      <c r="D67" s="133">
        <v>0.6</v>
      </c>
      <c r="E67" s="49">
        <v>2024</v>
      </c>
      <c r="F67" s="1172" t="str">
        <f t="shared" si="16"/>
        <v>£m 20/21</v>
      </c>
      <c r="G67" s="1190" t="s">
        <v>53</v>
      </c>
      <c r="H67" s="1181"/>
      <c r="I67" s="81"/>
      <c r="J67" s="1174">
        <f t="shared" si="17"/>
        <v>3.1E-2</v>
      </c>
      <c r="K67" s="1174">
        <f t="shared" si="17"/>
        <v>3.1699999999999999E-2</v>
      </c>
      <c r="L67" s="1174">
        <f t="shared" si="17"/>
        <v>3.2300000000000002E-2</v>
      </c>
      <c r="M67" s="1174">
        <f t="shared" si="17"/>
        <v>3.2399999999999998E-2</v>
      </c>
      <c r="N67" s="1180">
        <f t="shared" si="17"/>
        <v>3.2599999999999997E-2</v>
      </c>
      <c r="O67" s="1181"/>
      <c r="P67" s="81"/>
      <c r="Q67" s="1174">
        <f t="shared" si="18"/>
        <v>5.2833944000000001E-2</v>
      </c>
      <c r="R67" s="1174">
        <f t="shared" si="18"/>
        <v>5.5875458000000003E-2</v>
      </c>
      <c r="S67" s="1174">
        <f t="shared" si="18"/>
        <v>5.5175427000000006E-2</v>
      </c>
      <c r="T67" s="1174">
        <f t="shared" si="18"/>
        <v>5.5320261000000003E-2</v>
      </c>
      <c r="U67" s="1180">
        <f t="shared" si="18"/>
        <v>5.5489234000000012E-2</v>
      </c>
    </row>
    <row r="68" spans="1:21">
      <c r="A68" s="12" t="s">
        <v>19</v>
      </c>
      <c r="B68" s="193" t="s">
        <v>74</v>
      </c>
      <c r="C68" s="133">
        <v>0.5</v>
      </c>
      <c r="D68" s="133">
        <v>0.6</v>
      </c>
      <c r="E68" s="49">
        <v>2024</v>
      </c>
      <c r="F68" s="1172" t="str">
        <f t="shared" si="16"/>
        <v>£m 20/21</v>
      </c>
      <c r="G68" s="1190" t="s">
        <v>53</v>
      </c>
      <c r="H68" s="1181"/>
      <c r="I68" s="81"/>
      <c r="J68" s="1174">
        <f t="shared" si="17"/>
        <v>3.1E-2</v>
      </c>
      <c r="K68" s="1174">
        <f t="shared" si="17"/>
        <v>3.1699999999999999E-2</v>
      </c>
      <c r="L68" s="1174">
        <f t="shared" si="17"/>
        <v>3.2300000000000002E-2</v>
      </c>
      <c r="M68" s="1174">
        <f t="shared" si="17"/>
        <v>3.2399999999999998E-2</v>
      </c>
      <c r="N68" s="1180">
        <f t="shared" si="17"/>
        <v>3.2599999999999997E-2</v>
      </c>
      <c r="O68" s="1181"/>
      <c r="P68" s="81"/>
      <c r="Q68" s="1174">
        <f t="shared" si="18"/>
        <v>5.2833944000000001E-2</v>
      </c>
      <c r="R68" s="1174">
        <f t="shared" si="18"/>
        <v>5.5875458000000003E-2</v>
      </c>
      <c r="S68" s="1174">
        <f t="shared" si="18"/>
        <v>5.5175427000000006E-2</v>
      </c>
      <c r="T68" s="1174">
        <f t="shared" si="18"/>
        <v>5.5320261000000003E-2</v>
      </c>
      <c r="U68" s="1180">
        <f t="shared" si="18"/>
        <v>5.5489234000000012E-2</v>
      </c>
    </row>
    <row r="69" spans="1:21">
      <c r="A69" s="12" t="s">
        <v>19</v>
      </c>
      <c r="B69" s="193" t="s">
        <v>75</v>
      </c>
      <c r="C69" s="133">
        <v>0.5</v>
      </c>
      <c r="D69" s="133">
        <v>0.6</v>
      </c>
      <c r="E69" s="49">
        <v>2024</v>
      </c>
      <c r="F69" s="1172" t="str">
        <f t="shared" si="16"/>
        <v>£m 20/21</v>
      </c>
      <c r="G69" s="1190" t="s">
        <v>53</v>
      </c>
      <c r="H69" s="1181"/>
      <c r="I69" s="81"/>
      <c r="J69" s="1174">
        <f t="shared" si="17"/>
        <v>3.1E-2</v>
      </c>
      <c r="K69" s="1174">
        <f t="shared" si="17"/>
        <v>3.1699999999999999E-2</v>
      </c>
      <c r="L69" s="1174">
        <f t="shared" si="17"/>
        <v>3.2300000000000002E-2</v>
      </c>
      <c r="M69" s="1174">
        <f t="shared" si="17"/>
        <v>3.2399999999999998E-2</v>
      </c>
      <c r="N69" s="1180">
        <f t="shared" si="17"/>
        <v>3.2599999999999997E-2</v>
      </c>
      <c r="O69" s="1181"/>
      <c r="P69" s="81"/>
      <c r="Q69" s="1174">
        <f t="shared" si="18"/>
        <v>5.2833944000000001E-2</v>
      </c>
      <c r="R69" s="1174">
        <f t="shared" si="18"/>
        <v>5.5875458000000003E-2</v>
      </c>
      <c r="S69" s="1174">
        <f t="shared" si="18"/>
        <v>5.5175427000000006E-2</v>
      </c>
      <c r="T69" s="1174">
        <f t="shared" si="18"/>
        <v>5.5320261000000003E-2</v>
      </c>
      <c r="U69" s="1180">
        <f t="shared" si="18"/>
        <v>5.5489234000000012E-2</v>
      </c>
    </row>
    <row r="70" spans="1:21">
      <c r="A70" s="12" t="s">
        <v>19</v>
      </c>
      <c r="B70" s="193" t="s">
        <v>76</v>
      </c>
      <c r="C70" s="133">
        <v>0.5</v>
      </c>
      <c r="D70" s="133">
        <v>0.6</v>
      </c>
      <c r="E70" s="49">
        <v>2024</v>
      </c>
      <c r="F70" s="1172" t="str">
        <f t="shared" si="16"/>
        <v>£m 20/21</v>
      </c>
      <c r="G70" s="1190" t="s">
        <v>53</v>
      </c>
      <c r="H70" s="1181"/>
      <c r="I70" s="81"/>
      <c r="J70" s="1174">
        <f t="shared" si="17"/>
        <v>3.1E-2</v>
      </c>
      <c r="K70" s="1174">
        <f t="shared" si="17"/>
        <v>3.1699999999999999E-2</v>
      </c>
      <c r="L70" s="1174">
        <f t="shared" si="17"/>
        <v>3.2300000000000002E-2</v>
      </c>
      <c r="M70" s="1174">
        <f t="shared" si="17"/>
        <v>3.2399999999999998E-2</v>
      </c>
      <c r="N70" s="1180">
        <f t="shared" si="17"/>
        <v>3.2599999999999997E-2</v>
      </c>
      <c r="O70" s="1181"/>
      <c r="P70" s="81"/>
      <c r="Q70" s="1174">
        <f t="shared" si="18"/>
        <v>5.2833944000000001E-2</v>
      </c>
      <c r="R70" s="1174">
        <f t="shared" si="18"/>
        <v>5.5875458000000003E-2</v>
      </c>
      <c r="S70" s="1174">
        <f t="shared" si="18"/>
        <v>5.5175427000000006E-2</v>
      </c>
      <c r="T70" s="1174">
        <f t="shared" si="18"/>
        <v>5.5320261000000003E-2</v>
      </c>
      <c r="U70" s="1180">
        <f t="shared" si="18"/>
        <v>5.5489234000000012E-2</v>
      </c>
    </row>
    <row r="71" spans="1:21">
      <c r="A71" s="12" t="s">
        <v>19</v>
      </c>
      <c r="B71" s="193" t="s">
        <v>77</v>
      </c>
      <c r="C71" s="133">
        <v>0.50700000000000001</v>
      </c>
      <c r="D71" s="133">
        <v>0.6</v>
      </c>
      <c r="E71" s="49">
        <v>2024</v>
      </c>
      <c r="F71" s="1172" t="str">
        <f t="shared" si="16"/>
        <v>£m 20/21</v>
      </c>
      <c r="G71" s="1190" t="s">
        <v>53</v>
      </c>
      <c r="H71" s="1181"/>
      <c r="I71" s="81"/>
      <c r="J71" s="1174">
        <f t="shared" si="17"/>
        <v>3.1E-2</v>
      </c>
      <c r="K71" s="1174">
        <f t="shared" si="17"/>
        <v>3.1699999999999999E-2</v>
      </c>
      <c r="L71" s="1174">
        <f t="shared" si="17"/>
        <v>3.2300000000000002E-2</v>
      </c>
      <c r="M71" s="1174">
        <f t="shared" si="17"/>
        <v>3.2399999999999998E-2</v>
      </c>
      <c r="N71" s="1180">
        <f t="shared" si="17"/>
        <v>3.2599999999999997E-2</v>
      </c>
      <c r="O71" s="1181"/>
      <c r="P71" s="81"/>
      <c r="Q71" s="1174">
        <f t="shared" si="18"/>
        <v>5.2833944000000001E-2</v>
      </c>
      <c r="R71" s="1174">
        <f t="shared" si="18"/>
        <v>5.5875458000000003E-2</v>
      </c>
      <c r="S71" s="1174">
        <f t="shared" si="18"/>
        <v>5.5175427000000006E-2</v>
      </c>
      <c r="T71" s="1174">
        <f t="shared" si="18"/>
        <v>5.5320261000000003E-2</v>
      </c>
      <c r="U71" s="1180">
        <f t="shared" si="18"/>
        <v>5.5489234000000012E-2</v>
      </c>
    </row>
    <row r="72" spans="1:21">
      <c r="A72" s="12" t="s">
        <v>19</v>
      </c>
      <c r="B72" s="193" t="s">
        <v>50</v>
      </c>
      <c r="C72" s="133">
        <v>0.50700000000000001</v>
      </c>
      <c r="D72" s="133">
        <v>0.6</v>
      </c>
      <c r="E72" s="49">
        <v>2024</v>
      </c>
      <c r="F72" s="1172" t="str">
        <f t="shared" si="16"/>
        <v>£m 20/21</v>
      </c>
      <c r="G72" s="1190" t="s">
        <v>50</v>
      </c>
      <c r="H72" s="1181"/>
      <c r="I72" s="81"/>
      <c r="J72" s="1174">
        <f t="shared" si="17"/>
        <v>3.04E-2</v>
      </c>
      <c r="K72" s="1174">
        <f t="shared" si="17"/>
        <v>3.1099999999999999E-2</v>
      </c>
      <c r="L72" s="1174">
        <f t="shared" si="17"/>
        <v>3.1699999999999999E-2</v>
      </c>
      <c r="M72" s="1174">
        <f t="shared" si="17"/>
        <v>3.1800000000000002E-2</v>
      </c>
      <c r="N72" s="1180">
        <f t="shared" si="17"/>
        <v>3.2000000000000001E-2</v>
      </c>
      <c r="O72" s="1181"/>
      <c r="P72" s="81"/>
      <c r="Q72" s="1174">
        <f t="shared" si="18"/>
        <v>5.2833944000000001E-2</v>
      </c>
      <c r="R72" s="1174">
        <f t="shared" si="18"/>
        <v>5.5875458000000003E-2</v>
      </c>
      <c r="S72" s="1174">
        <f t="shared" si="18"/>
        <v>5.5175427000000006E-2</v>
      </c>
      <c r="T72" s="1174">
        <f t="shared" si="18"/>
        <v>5.5320261000000003E-2</v>
      </c>
      <c r="U72" s="1180">
        <f t="shared" si="18"/>
        <v>5.5489234000000012E-2</v>
      </c>
    </row>
    <row r="73" spans="1:21">
      <c r="A73" s="12" t="s">
        <v>19</v>
      </c>
      <c r="B73" s="193" t="s">
        <v>51</v>
      </c>
      <c r="C73" s="133">
        <v>0.5</v>
      </c>
      <c r="D73" s="133">
        <v>0.6</v>
      </c>
      <c r="E73" s="49">
        <v>2024</v>
      </c>
      <c r="F73" s="1172" t="str">
        <f t="shared" si="16"/>
        <v>£m 20/21</v>
      </c>
      <c r="G73" s="1190" t="s">
        <v>51</v>
      </c>
      <c r="H73" s="1181"/>
      <c r="I73" s="81"/>
      <c r="J73" s="1174">
        <f t="shared" si="17"/>
        <v>3.04E-2</v>
      </c>
      <c r="K73" s="1174">
        <f t="shared" si="17"/>
        <v>3.1099999999999999E-2</v>
      </c>
      <c r="L73" s="1174">
        <f t="shared" si="17"/>
        <v>3.1699999999999999E-2</v>
      </c>
      <c r="M73" s="1174">
        <f t="shared" si="17"/>
        <v>3.1800000000000002E-2</v>
      </c>
      <c r="N73" s="1180">
        <f t="shared" si="17"/>
        <v>3.2000000000000001E-2</v>
      </c>
      <c r="O73" s="1181"/>
      <c r="P73" s="81"/>
      <c r="Q73" s="1174">
        <f t="shared" si="18"/>
        <v>5.2833944000000001E-2</v>
      </c>
      <c r="R73" s="1174">
        <f t="shared" si="18"/>
        <v>5.5875458000000003E-2</v>
      </c>
      <c r="S73" s="1174">
        <f t="shared" si="18"/>
        <v>5.5175427000000006E-2</v>
      </c>
      <c r="T73" s="1174">
        <f t="shared" si="18"/>
        <v>5.5320261000000003E-2</v>
      </c>
      <c r="U73" s="1180">
        <f t="shared" si="18"/>
        <v>5.5489234000000012E-2</v>
      </c>
    </row>
    <row r="74" spans="1:21">
      <c r="A74" s="12" t="s">
        <v>19</v>
      </c>
      <c r="B74" s="193" t="s">
        <v>78</v>
      </c>
      <c r="C74" s="133">
        <v>0.5</v>
      </c>
      <c r="D74" s="133">
        <v>0.6</v>
      </c>
      <c r="E74" s="49">
        <v>2024</v>
      </c>
      <c r="F74" s="1172" t="str">
        <f t="shared" si="16"/>
        <v>£m 20/21</v>
      </c>
      <c r="G74" s="1190" t="s">
        <v>53</v>
      </c>
      <c r="H74" s="1181"/>
      <c r="I74" s="81"/>
      <c r="J74" s="1174">
        <f t="shared" si="17"/>
        <v>3.1E-2</v>
      </c>
      <c r="K74" s="1174">
        <f t="shared" si="17"/>
        <v>3.1699999999999999E-2</v>
      </c>
      <c r="L74" s="1174">
        <f t="shared" si="17"/>
        <v>3.2300000000000002E-2</v>
      </c>
      <c r="M74" s="1174">
        <f t="shared" si="17"/>
        <v>3.2399999999999998E-2</v>
      </c>
      <c r="N74" s="1180">
        <f t="shared" si="17"/>
        <v>3.2599999999999997E-2</v>
      </c>
      <c r="O74" s="1181"/>
      <c r="P74" s="81"/>
      <c r="Q74" s="1174">
        <f t="shared" si="18"/>
        <v>5.2833944000000001E-2</v>
      </c>
      <c r="R74" s="1174">
        <f t="shared" si="18"/>
        <v>5.5875458000000003E-2</v>
      </c>
      <c r="S74" s="1174">
        <f t="shared" si="18"/>
        <v>5.5175427000000006E-2</v>
      </c>
      <c r="T74" s="1174">
        <f t="shared" si="18"/>
        <v>5.5320261000000003E-2</v>
      </c>
      <c r="U74" s="1180">
        <f t="shared" si="18"/>
        <v>5.5489234000000012E-2</v>
      </c>
    </row>
    <row r="75" spans="1:21">
      <c r="A75" s="12" t="s">
        <v>19</v>
      </c>
      <c r="B75" s="193" t="s">
        <v>79</v>
      </c>
      <c r="C75" s="133">
        <v>0.5</v>
      </c>
      <c r="D75" s="133">
        <v>0.6</v>
      </c>
      <c r="E75" s="49">
        <v>2024</v>
      </c>
      <c r="F75" s="1172" t="str">
        <f t="shared" si="16"/>
        <v>£m 20/21</v>
      </c>
      <c r="G75" s="1190" t="s">
        <v>53</v>
      </c>
      <c r="H75" s="1181"/>
      <c r="I75" s="81"/>
      <c r="J75" s="1174">
        <f t="shared" si="17"/>
        <v>3.1E-2</v>
      </c>
      <c r="K75" s="1174">
        <f t="shared" si="17"/>
        <v>3.1699999999999999E-2</v>
      </c>
      <c r="L75" s="1174">
        <f t="shared" si="17"/>
        <v>3.2300000000000002E-2</v>
      </c>
      <c r="M75" s="1174">
        <f t="shared" si="17"/>
        <v>3.2399999999999998E-2</v>
      </c>
      <c r="N75" s="1180">
        <f t="shared" si="17"/>
        <v>3.2599999999999997E-2</v>
      </c>
      <c r="O75" s="1181"/>
      <c r="P75" s="81"/>
      <c r="Q75" s="1174">
        <f t="shared" si="18"/>
        <v>5.2833944000000001E-2</v>
      </c>
      <c r="R75" s="1174">
        <f t="shared" si="18"/>
        <v>5.5875458000000003E-2</v>
      </c>
      <c r="S75" s="1174">
        <f t="shared" si="18"/>
        <v>5.5175427000000006E-2</v>
      </c>
      <c r="T75" s="1174">
        <f t="shared" si="18"/>
        <v>5.5320261000000003E-2</v>
      </c>
      <c r="U75" s="1180">
        <f t="shared" si="18"/>
        <v>5.5489234000000012E-2</v>
      </c>
    </row>
    <row r="76" spans="1:21">
      <c r="A76" s="12" t="s">
        <v>19</v>
      </c>
      <c r="B76" s="193" t="s">
        <v>80</v>
      </c>
      <c r="C76" s="133">
        <v>0.5</v>
      </c>
      <c r="D76" s="133">
        <v>0.6</v>
      </c>
      <c r="E76" s="49">
        <v>2024</v>
      </c>
      <c r="F76" s="1172" t="str">
        <f t="shared" si="16"/>
        <v>£m 20/21</v>
      </c>
      <c r="G76" s="1190" t="s">
        <v>53</v>
      </c>
      <c r="H76" s="1181"/>
      <c r="I76" s="81"/>
      <c r="J76" s="1174">
        <f t="shared" si="17"/>
        <v>3.1E-2</v>
      </c>
      <c r="K76" s="1174">
        <f t="shared" si="17"/>
        <v>3.1699999999999999E-2</v>
      </c>
      <c r="L76" s="1174">
        <f t="shared" si="17"/>
        <v>3.2300000000000002E-2</v>
      </c>
      <c r="M76" s="1174">
        <f t="shared" si="17"/>
        <v>3.2399999999999998E-2</v>
      </c>
      <c r="N76" s="1180">
        <f t="shared" si="17"/>
        <v>3.2599999999999997E-2</v>
      </c>
      <c r="O76" s="1181"/>
      <c r="P76" s="81"/>
      <c r="Q76" s="1174">
        <f t="shared" si="18"/>
        <v>5.2833944000000001E-2</v>
      </c>
      <c r="R76" s="1174">
        <f t="shared" si="18"/>
        <v>5.5875458000000003E-2</v>
      </c>
      <c r="S76" s="1174">
        <f t="shared" si="18"/>
        <v>5.5175427000000006E-2</v>
      </c>
      <c r="T76" s="1174">
        <f t="shared" si="18"/>
        <v>5.5320261000000003E-2</v>
      </c>
      <c r="U76" s="1180">
        <f t="shared" si="18"/>
        <v>5.5489234000000012E-2</v>
      </c>
    </row>
    <row r="77" spans="1:21">
      <c r="A77" s="12" t="s">
        <v>25</v>
      </c>
      <c r="B77" s="193" t="s">
        <v>81</v>
      </c>
      <c r="C77" s="133">
        <v>0.5</v>
      </c>
      <c r="D77" s="133">
        <v>0.6</v>
      </c>
      <c r="E77" s="49">
        <v>2022</v>
      </c>
      <c r="F77" s="1172" t="str">
        <f t="shared" si="16"/>
        <v>£m 18/19</v>
      </c>
      <c r="G77" s="1190" t="s">
        <v>25</v>
      </c>
      <c r="H77" s="1182">
        <f t="shared" ref="H77:L91" si="19">INDEX($C$42:$I$51,MATCH($G77,$B$42:$B$51,0),MATCH(H$62,$C$41:$I$41))</f>
        <v>2.0500000000000001E-2</v>
      </c>
      <c r="I77" s="1174">
        <f t="shared" si="19"/>
        <v>1.9E-2</v>
      </c>
      <c r="J77" s="1174">
        <f t="shared" si="19"/>
        <v>1.9199999999999998E-2</v>
      </c>
      <c r="K77" s="1174">
        <f t="shared" si="19"/>
        <v>2.1100000000000001E-2</v>
      </c>
      <c r="L77" s="1174">
        <f t="shared" si="19"/>
        <v>2.29E-2</v>
      </c>
      <c r="M77" s="81"/>
      <c r="N77" s="1183"/>
      <c r="O77" s="1182">
        <f t="shared" ref="O77:S91" si="20">INDEX($C$55:$I$59,MATCH($A77,$B$55:$B$59,0),MATCH(O$62,$C$54:$I$54))</f>
        <v>4.5181881000000007E-2</v>
      </c>
      <c r="P77" s="1174">
        <f t="shared" si="20"/>
        <v>4.5568104999999998E-2</v>
      </c>
      <c r="Q77" s="1174">
        <f t="shared" si="20"/>
        <v>5.2833943999999994E-2</v>
      </c>
      <c r="R77" s="1174">
        <f t="shared" si="20"/>
        <v>5.5875458000000003E-2</v>
      </c>
      <c r="S77" s="1174">
        <f t="shared" si="20"/>
        <v>5.5175426999999992E-2</v>
      </c>
      <c r="T77" s="81"/>
      <c r="U77" s="1183"/>
    </row>
    <row r="78" spans="1:21">
      <c r="A78" s="12" t="s">
        <v>25</v>
      </c>
      <c r="B78" s="193" t="s">
        <v>4</v>
      </c>
      <c r="C78" s="133">
        <v>0.5</v>
      </c>
      <c r="D78" s="133">
        <v>0.6</v>
      </c>
      <c r="E78" s="49">
        <v>2022</v>
      </c>
      <c r="F78" s="1172" t="str">
        <f t="shared" si="16"/>
        <v>£m 18/19</v>
      </c>
      <c r="G78" s="1190" t="s">
        <v>25</v>
      </c>
      <c r="H78" s="1182">
        <f t="shared" si="19"/>
        <v>2.0500000000000001E-2</v>
      </c>
      <c r="I78" s="1174">
        <f t="shared" si="19"/>
        <v>1.9E-2</v>
      </c>
      <c r="J78" s="1174">
        <f t="shared" si="19"/>
        <v>1.9199999999999998E-2</v>
      </c>
      <c r="K78" s="1174">
        <f t="shared" si="19"/>
        <v>2.1100000000000001E-2</v>
      </c>
      <c r="L78" s="1174">
        <f t="shared" si="19"/>
        <v>2.29E-2</v>
      </c>
      <c r="M78" s="81"/>
      <c r="N78" s="1183"/>
      <c r="O78" s="1182">
        <f t="shared" si="20"/>
        <v>4.5181881000000007E-2</v>
      </c>
      <c r="P78" s="1174">
        <f t="shared" si="20"/>
        <v>4.5568104999999998E-2</v>
      </c>
      <c r="Q78" s="1174">
        <f t="shared" si="20"/>
        <v>5.2833943999999994E-2</v>
      </c>
      <c r="R78" s="1174">
        <f t="shared" si="20"/>
        <v>5.5875458000000003E-2</v>
      </c>
      <c r="S78" s="1174">
        <f t="shared" si="20"/>
        <v>5.5175426999999992E-2</v>
      </c>
      <c r="T78" s="81"/>
      <c r="U78" s="1183"/>
    </row>
    <row r="79" spans="1:21">
      <c r="A79" s="12" t="s">
        <v>25</v>
      </c>
      <c r="B79" s="193" t="s">
        <v>82</v>
      </c>
      <c r="C79" s="133">
        <v>0.5</v>
      </c>
      <c r="D79" s="133">
        <v>0.6</v>
      </c>
      <c r="E79" s="49">
        <v>2022</v>
      </c>
      <c r="F79" s="1172" t="str">
        <f t="shared" si="16"/>
        <v>£m 18/19</v>
      </c>
      <c r="G79" s="1190" t="s">
        <v>25</v>
      </c>
      <c r="H79" s="1182">
        <f t="shared" si="19"/>
        <v>2.0500000000000001E-2</v>
      </c>
      <c r="I79" s="1174">
        <f t="shared" si="19"/>
        <v>1.9E-2</v>
      </c>
      <c r="J79" s="1174">
        <f t="shared" si="19"/>
        <v>1.9199999999999998E-2</v>
      </c>
      <c r="K79" s="1174">
        <f t="shared" si="19"/>
        <v>2.1100000000000001E-2</v>
      </c>
      <c r="L79" s="1174">
        <f t="shared" si="19"/>
        <v>2.29E-2</v>
      </c>
      <c r="M79" s="81"/>
      <c r="N79" s="1183"/>
      <c r="O79" s="1182">
        <f t="shared" si="20"/>
        <v>4.5181881000000007E-2</v>
      </c>
      <c r="P79" s="1174">
        <f t="shared" si="20"/>
        <v>4.5568104999999998E-2</v>
      </c>
      <c r="Q79" s="1174">
        <f t="shared" si="20"/>
        <v>5.2833943999999994E-2</v>
      </c>
      <c r="R79" s="1174">
        <f t="shared" si="20"/>
        <v>5.5875458000000003E-2</v>
      </c>
      <c r="S79" s="1174">
        <f t="shared" si="20"/>
        <v>5.5175426999999992E-2</v>
      </c>
      <c r="T79" s="81"/>
      <c r="U79" s="1183"/>
    </row>
    <row r="80" spans="1:21">
      <c r="A80" s="12" t="s">
        <v>25</v>
      </c>
      <c r="B80" s="193" t="s">
        <v>83</v>
      </c>
      <c r="C80" s="133">
        <v>0.5</v>
      </c>
      <c r="D80" s="133">
        <v>0.6</v>
      </c>
      <c r="E80" s="49">
        <v>2022</v>
      </c>
      <c r="F80" s="1172" t="str">
        <f t="shared" si="16"/>
        <v>£m 18/19</v>
      </c>
      <c r="G80" s="1190" t="s">
        <v>25</v>
      </c>
      <c r="H80" s="1182">
        <f t="shared" si="19"/>
        <v>2.0500000000000001E-2</v>
      </c>
      <c r="I80" s="1174">
        <f t="shared" si="19"/>
        <v>1.9E-2</v>
      </c>
      <c r="J80" s="1174">
        <f t="shared" si="19"/>
        <v>1.9199999999999998E-2</v>
      </c>
      <c r="K80" s="1174">
        <f t="shared" si="19"/>
        <v>2.1100000000000001E-2</v>
      </c>
      <c r="L80" s="1174">
        <f t="shared" si="19"/>
        <v>2.29E-2</v>
      </c>
      <c r="M80" s="81"/>
      <c r="N80" s="1183"/>
      <c r="O80" s="1182">
        <f t="shared" si="20"/>
        <v>4.5181881000000007E-2</v>
      </c>
      <c r="P80" s="1174">
        <f t="shared" si="20"/>
        <v>4.5568104999999998E-2</v>
      </c>
      <c r="Q80" s="1174">
        <f t="shared" si="20"/>
        <v>5.2833943999999994E-2</v>
      </c>
      <c r="R80" s="1174">
        <f t="shared" si="20"/>
        <v>5.5875458000000003E-2</v>
      </c>
      <c r="S80" s="1174">
        <f t="shared" si="20"/>
        <v>5.5175426999999992E-2</v>
      </c>
      <c r="T80" s="81"/>
      <c r="U80" s="1183"/>
    </row>
    <row r="81" spans="1:21">
      <c r="A81" s="12" t="s">
        <v>25</v>
      </c>
      <c r="B81" s="193" t="s">
        <v>84</v>
      </c>
      <c r="C81" s="133">
        <v>0.51</v>
      </c>
      <c r="D81" s="133">
        <v>0.6</v>
      </c>
      <c r="E81" s="49">
        <v>2022</v>
      </c>
      <c r="F81" s="1172" t="str">
        <f t="shared" si="16"/>
        <v>£m 18/19</v>
      </c>
      <c r="G81" s="1190" t="s">
        <v>56</v>
      </c>
      <c r="H81" s="1182">
        <f t="shared" si="19"/>
        <v>2.1100000000000001E-2</v>
      </c>
      <c r="I81" s="1174">
        <f t="shared" si="19"/>
        <v>1.9599999999999999E-2</v>
      </c>
      <c r="J81" s="1174">
        <f t="shared" si="19"/>
        <v>1.9799999999999998E-2</v>
      </c>
      <c r="K81" s="1174">
        <f t="shared" si="19"/>
        <v>2.1700000000000001E-2</v>
      </c>
      <c r="L81" s="1174">
        <f t="shared" si="19"/>
        <v>2.35E-2</v>
      </c>
      <c r="M81" s="81"/>
      <c r="N81" s="1183"/>
      <c r="O81" s="1182">
        <f t="shared" si="20"/>
        <v>4.5181881000000007E-2</v>
      </c>
      <c r="P81" s="1174">
        <f t="shared" si="20"/>
        <v>4.5568104999999998E-2</v>
      </c>
      <c r="Q81" s="1174">
        <f t="shared" si="20"/>
        <v>5.2833943999999994E-2</v>
      </c>
      <c r="R81" s="1174">
        <f t="shared" si="20"/>
        <v>5.5875458000000003E-2</v>
      </c>
      <c r="S81" s="1174">
        <f t="shared" si="20"/>
        <v>5.5175426999999992E-2</v>
      </c>
      <c r="T81" s="81"/>
      <c r="U81" s="1183"/>
    </row>
    <row r="82" spans="1:21">
      <c r="A82" s="12" t="s">
        <v>25</v>
      </c>
      <c r="B82" s="193" t="s">
        <v>85</v>
      </c>
      <c r="C82" s="133">
        <v>0.51</v>
      </c>
      <c r="D82" s="133">
        <v>0.6</v>
      </c>
      <c r="E82" s="49">
        <v>2022</v>
      </c>
      <c r="F82" s="1172" t="str">
        <f t="shared" si="16"/>
        <v>£m 18/19</v>
      </c>
      <c r="G82" s="1190" t="s">
        <v>56</v>
      </c>
      <c r="H82" s="1182">
        <f t="shared" si="19"/>
        <v>2.1100000000000001E-2</v>
      </c>
      <c r="I82" s="1174">
        <f t="shared" si="19"/>
        <v>1.9599999999999999E-2</v>
      </c>
      <c r="J82" s="1174">
        <f t="shared" si="19"/>
        <v>1.9799999999999998E-2</v>
      </c>
      <c r="K82" s="1174">
        <f t="shared" si="19"/>
        <v>2.1700000000000001E-2</v>
      </c>
      <c r="L82" s="1174">
        <f t="shared" si="19"/>
        <v>2.35E-2</v>
      </c>
      <c r="M82" s="81"/>
      <c r="N82" s="1183"/>
      <c r="O82" s="1182">
        <f t="shared" si="20"/>
        <v>4.5181881000000007E-2</v>
      </c>
      <c r="P82" s="1174">
        <f t="shared" si="20"/>
        <v>4.5568104999999998E-2</v>
      </c>
      <c r="Q82" s="1174">
        <f t="shared" si="20"/>
        <v>5.2833943999999994E-2</v>
      </c>
      <c r="R82" s="1174">
        <f t="shared" si="20"/>
        <v>5.5875458000000003E-2</v>
      </c>
      <c r="S82" s="1174">
        <f t="shared" si="20"/>
        <v>5.5175426999999992E-2</v>
      </c>
      <c r="T82" s="81"/>
      <c r="U82" s="1183"/>
    </row>
    <row r="83" spans="1:21">
      <c r="A83" s="12" t="s">
        <v>25</v>
      </c>
      <c r="B83" s="193" t="s">
        <v>86</v>
      </c>
      <c r="C83" s="133">
        <v>0.5</v>
      </c>
      <c r="D83" s="133">
        <v>0.6</v>
      </c>
      <c r="E83" s="49">
        <v>2022</v>
      </c>
      <c r="F83" s="1172" t="str">
        <f t="shared" si="16"/>
        <v>£m 18/19</v>
      </c>
      <c r="G83" s="1190" t="s">
        <v>25</v>
      </c>
      <c r="H83" s="1182">
        <f t="shared" si="19"/>
        <v>2.0500000000000001E-2</v>
      </c>
      <c r="I83" s="1174">
        <f t="shared" si="19"/>
        <v>1.9E-2</v>
      </c>
      <c r="J83" s="1174">
        <f t="shared" si="19"/>
        <v>1.9199999999999998E-2</v>
      </c>
      <c r="K83" s="1174">
        <f t="shared" si="19"/>
        <v>2.1100000000000001E-2</v>
      </c>
      <c r="L83" s="1174">
        <f t="shared" si="19"/>
        <v>2.29E-2</v>
      </c>
      <c r="M83" s="81"/>
      <c r="N83" s="1183"/>
      <c r="O83" s="1182">
        <f t="shared" si="20"/>
        <v>4.5181881000000007E-2</v>
      </c>
      <c r="P83" s="1174">
        <f t="shared" si="20"/>
        <v>4.5568104999999998E-2</v>
      </c>
      <c r="Q83" s="1174">
        <f t="shared" si="20"/>
        <v>5.2833943999999994E-2</v>
      </c>
      <c r="R83" s="1174">
        <f t="shared" si="20"/>
        <v>5.5875458000000003E-2</v>
      </c>
      <c r="S83" s="1174">
        <f t="shared" si="20"/>
        <v>5.5175426999999992E-2</v>
      </c>
      <c r="T83" s="81"/>
      <c r="U83" s="1183"/>
    </row>
    <row r="84" spans="1:21">
      <c r="A84" s="12" t="s">
        <v>25</v>
      </c>
      <c r="B84" s="193" t="s">
        <v>87</v>
      </c>
      <c r="C84" s="133">
        <v>0.5</v>
      </c>
      <c r="D84" s="133">
        <v>0.6</v>
      </c>
      <c r="E84" s="49">
        <v>2022</v>
      </c>
      <c r="F84" s="1172" t="str">
        <f t="shared" si="16"/>
        <v>£m 18/19</v>
      </c>
      <c r="G84" s="1190" t="s">
        <v>56</v>
      </c>
      <c r="H84" s="1182">
        <f t="shared" si="19"/>
        <v>2.1100000000000001E-2</v>
      </c>
      <c r="I84" s="1174">
        <f t="shared" si="19"/>
        <v>1.9599999999999999E-2</v>
      </c>
      <c r="J84" s="1174">
        <f t="shared" si="19"/>
        <v>1.9799999999999998E-2</v>
      </c>
      <c r="K84" s="1174">
        <f t="shared" si="19"/>
        <v>2.1700000000000001E-2</v>
      </c>
      <c r="L84" s="1174">
        <f t="shared" si="19"/>
        <v>2.35E-2</v>
      </c>
      <c r="M84" s="81"/>
      <c r="N84" s="1183"/>
      <c r="O84" s="1182">
        <f t="shared" si="20"/>
        <v>4.5181881000000007E-2</v>
      </c>
      <c r="P84" s="1174">
        <f t="shared" si="20"/>
        <v>4.5568104999999998E-2</v>
      </c>
      <c r="Q84" s="1174">
        <f t="shared" si="20"/>
        <v>5.2833943999999994E-2</v>
      </c>
      <c r="R84" s="1174">
        <f t="shared" si="20"/>
        <v>5.5875458000000003E-2</v>
      </c>
      <c r="S84" s="1174">
        <f t="shared" si="20"/>
        <v>5.5175426999999992E-2</v>
      </c>
      <c r="T84" s="81"/>
      <c r="U84" s="1183"/>
    </row>
    <row r="85" spans="1:21">
      <c r="A85" s="12" t="s">
        <v>27</v>
      </c>
      <c r="B85" s="193" t="s">
        <v>88</v>
      </c>
      <c r="C85" s="133">
        <v>0.61</v>
      </c>
      <c r="D85" s="133">
        <v>0.6</v>
      </c>
      <c r="E85" s="49">
        <v>2022</v>
      </c>
      <c r="F85" s="1172" t="str">
        <f t="shared" si="16"/>
        <v>£m 18/19</v>
      </c>
      <c r="G85" s="1190" t="s">
        <v>27</v>
      </c>
      <c r="H85" s="1182">
        <f t="shared" si="19"/>
        <v>2.0500000000000001E-2</v>
      </c>
      <c r="I85" s="1174">
        <f t="shared" si="19"/>
        <v>1.9E-2</v>
      </c>
      <c r="J85" s="1174">
        <f t="shared" si="19"/>
        <v>1.9199999999999998E-2</v>
      </c>
      <c r="K85" s="1174">
        <f t="shared" si="19"/>
        <v>2.1100000000000001E-2</v>
      </c>
      <c r="L85" s="1174">
        <f t="shared" si="19"/>
        <v>2.29E-2</v>
      </c>
      <c r="M85" s="81"/>
      <c r="N85" s="1183"/>
      <c r="O85" s="1182">
        <f t="shared" si="20"/>
        <v>4.5181881000000007E-2</v>
      </c>
      <c r="P85" s="1174">
        <f t="shared" si="20"/>
        <v>4.5568104999999991E-2</v>
      </c>
      <c r="Q85" s="1174">
        <f t="shared" si="20"/>
        <v>5.2833943999999994E-2</v>
      </c>
      <c r="R85" s="1174">
        <f t="shared" si="20"/>
        <v>5.587545800000001E-2</v>
      </c>
      <c r="S85" s="1174">
        <f t="shared" si="20"/>
        <v>5.5175426999999992E-2</v>
      </c>
      <c r="T85" s="81"/>
      <c r="U85" s="1183"/>
    </row>
    <row r="86" spans="1:21">
      <c r="A86" s="12" t="s">
        <v>27</v>
      </c>
      <c r="B86" s="193" t="s">
        <v>89</v>
      </c>
      <c r="C86" s="133">
        <v>0.61</v>
      </c>
      <c r="D86" s="133">
        <v>0.6</v>
      </c>
      <c r="E86" s="49">
        <v>2022</v>
      </c>
      <c r="F86" s="1172" t="str">
        <f t="shared" si="16"/>
        <v>£m 18/19</v>
      </c>
      <c r="G86" s="1190" t="s">
        <v>27</v>
      </c>
      <c r="H86" s="1182">
        <f t="shared" si="19"/>
        <v>2.0500000000000001E-2</v>
      </c>
      <c r="I86" s="1174">
        <f t="shared" si="19"/>
        <v>1.9E-2</v>
      </c>
      <c r="J86" s="1174">
        <f t="shared" si="19"/>
        <v>1.9199999999999998E-2</v>
      </c>
      <c r="K86" s="1174">
        <f t="shared" si="19"/>
        <v>2.1100000000000001E-2</v>
      </c>
      <c r="L86" s="1174">
        <f t="shared" si="19"/>
        <v>2.29E-2</v>
      </c>
      <c r="M86" s="81"/>
      <c r="N86" s="1183"/>
      <c r="O86" s="1182">
        <f t="shared" si="20"/>
        <v>4.5181881000000007E-2</v>
      </c>
      <c r="P86" s="1174">
        <f t="shared" si="20"/>
        <v>4.5568104999999991E-2</v>
      </c>
      <c r="Q86" s="1174">
        <f t="shared" si="20"/>
        <v>5.2833943999999994E-2</v>
      </c>
      <c r="R86" s="1174">
        <f t="shared" si="20"/>
        <v>5.587545800000001E-2</v>
      </c>
      <c r="S86" s="1174">
        <f t="shared" si="20"/>
        <v>5.5175426999999992E-2</v>
      </c>
      <c r="T86" s="81"/>
      <c r="U86" s="1183"/>
    </row>
    <row r="87" spans="1:21">
      <c r="A87" s="12" t="s">
        <v>27</v>
      </c>
      <c r="B87" s="193" t="s">
        <v>90</v>
      </c>
      <c r="C87" s="133">
        <v>0.61</v>
      </c>
      <c r="D87" s="133">
        <v>0.6</v>
      </c>
      <c r="E87" s="49">
        <v>2022</v>
      </c>
      <c r="F87" s="1172" t="str">
        <f t="shared" si="16"/>
        <v>£m 18/19</v>
      </c>
      <c r="G87" s="1190" t="s">
        <v>27</v>
      </c>
      <c r="H87" s="1182">
        <f t="shared" si="19"/>
        <v>2.0500000000000001E-2</v>
      </c>
      <c r="I87" s="1174">
        <f t="shared" si="19"/>
        <v>1.9E-2</v>
      </c>
      <c r="J87" s="1174">
        <f t="shared" si="19"/>
        <v>1.9199999999999998E-2</v>
      </c>
      <c r="K87" s="1174">
        <f t="shared" si="19"/>
        <v>2.1100000000000001E-2</v>
      </c>
      <c r="L87" s="1174">
        <f t="shared" si="19"/>
        <v>2.29E-2</v>
      </c>
      <c r="M87" s="81"/>
      <c r="N87" s="1183"/>
      <c r="O87" s="1182">
        <f t="shared" si="20"/>
        <v>4.5181881000000007E-2</v>
      </c>
      <c r="P87" s="1174">
        <f t="shared" si="20"/>
        <v>4.5568104999999991E-2</v>
      </c>
      <c r="Q87" s="1174">
        <f t="shared" si="20"/>
        <v>5.2833943999999994E-2</v>
      </c>
      <c r="R87" s="1174">
        <f t="shared" si="20"/>
        <v>5.587545800000001E-2</v>
      </c>
      <c r="S87" s="1174">
        <f t="shared" si="20"/>
        <v>5.5175426999999992E-2</v>
      </c>
      <c r="T87" s="81"/>
      <c r="U87" s="1183"/>
    </row>
    <row r="88" spans="1:21">
      <c r="A88" s="12" t="s">
        <v>22</v>
      </c>
      <c r="B88" s="193" t="s">
        <v>91</v>
      </c>
      <c r="C88" s="133">
        <v>0.67</v>
      </c>
      <c r="D88" s="133">
        <v>0.55000000000000004</v>
      </c>
      <c r="E88" s="49">
        <v>2022</v>
      </c>
      <c r="F88" s="1172" t="str">
        <f t="shared" si="16"/>
        <v>£m 18/19</v>
      </c>
      <c r="G88" s="1190" t="s">
        <v>55</v>
      </c>
      <c r="H88" s="1182">
        <f t="shared" si="19"/>
        <v>2.0500000000000001E-2</v>
      </c>
      <c r="I88" s="1174">
        <f t="shared" si="19"/>
        <v>1.9E-2</v>
      </c>
      <c r="J88" s="1174">
        <f t="shared" si="19"/>
        <v>1.9199999999999998E-2</v>
      </c>
      <c r="K88" s="1174">
        <f t="shared" si="19"/>
        <v>2.1100000000000001E-2</v>
      </c>
      <c r="L88" s="1174">
        <f t="shared" si="19"/>
        <v>2.29E-2</v>
      </c>
      <c r="M88" s="81"/>
      <c r="N88" s="1183"/>
      <c r="O88" s="1182">
        <f t="shared" si="20"/>
        <v>4.2439449777777784E-2</v>
      </c>
      <c r="P88" s="1174">
        <f t="shared" si="20"/>
        <v>4.2616093333333334E-2</v>
      </c>
      <c r="Q88" s="1174">
        <f t="shared" si="20"/>
        <v>4.909683911111111E-2</v>
      </c>
      <c r="R88" s="1174">
        <f t="shared" si="20"/>
        <v>5.2011518222222233E-2</v>
      </c>
      <c r="S88" s="1174">
        <f t="shared" si="20"/>
        <v>5.158926844444444E-2</v>
      </c>
      <c r="T88" s="81"/>
      <c r="U88" s="1183"/>
    </row>
    <row r="89" spans="1:21">
      <c r="A89" s="12" t="s">
        <v>29</v>
      </c>
      <c r="B89" s="193" t="s">
        <v>29</v>
      </c>
      <c r="C89" s="133">
        <v>1</v>
      </c>
      <c r="D89" s="133">
        <v>0.55000000000000004</v>
      </c>
      <c r="E89" s="49">
        <v>2022</v>
      </c>
      <c r="F89" s="1172" t="str">
        <f t="shared" si="16"/>
        <v>£m 18/19</v>
      </c>
      <c r="G89" s="1190" t="s">
        <v>29</v>
      </c>
      <c r="H89" s="1182">
        <f>INDEX($C$42:$I$51,MATCH($G89,$B$42:$B$51,0),MATCH(H$62,$C$41:$I$41))</f>
        <v>-5.9999999999999995E-4</v>
      </c>
      <c r="I89" s="1174">
        <f t="shared" si="19"/>
        <v>2.12E-2</v>
      </c>
      <c r="J89" s="1174">
        <f t="shared" si="19"/>
        <v>5.0099999999999999E-2</v>
      </c>
      <c r="K89" s="1174">
        <f t="shared" si="19"/>
        <v>4.7300000000000002E-2</v>
      </c>
      <c r="L89" s="1174">
        <f t="shared" si="19"/>
        <v>4.19E-2</v>
      </c>
      <c r="M89" s="81"/>
      <c r="N89" s="1183"/>
      <c r="O89" s="1182">
        <f t="shared" si="20"/>
        <v>7.5718976000000007E-2</v>
      </c>
      <c r="P89" s="1174">
        <f t="shared" si="20"/>
        <v>7.5510080000000007E-2</v>
      </c>
      <c r="Q89" s="1174">
        <f t="shared" si="20"/>
        <v>7.1580223999999998E-2</v>
      </c>
      <c r="R89" s="1174">
        <f t="shared" si="20"/>
        <v>6.9935168000000006E-2</v>
      </c>
      <c r="S89" s="1174">
        <f t="shared" si="20"/>
        <v>7.0313792E-2</v>
      </c>
      <c r="T89" s="81"/>
      <c r="U89" s="1183"/>
    </row>
    <row r="90" spans="1:21">
      <c r="A90" s="12" t="s">
        <v>22</v>
      </c>
      <c r="B90" s="193" t="s">
        <v>92</v>
      </c>
      <c r="C90" s="133">
        <v>0.51</v>
      </c>
      <c r="D90" s="133">
        <v>0.55000000000000004</v>
      </c>
      <c r="E90" s="49">
        <v>2022</v>
      </c>
      <c r="F90" s="1172" t="str">
        <f t="shared" si="16"/>
        <v>£m 18/19</v>
      </c>
      <c r="G90" s="1190" t="s">
        <v>55</v>
      </c>
      <c r="H90" s="1182">
        <f t="shared" si="19"/>
        <v>2.0500000000000001E-2</v>
      </c>
      <c r="I90" s="1174">
        <f t="shared" si="19"/>
        <v>1.9E-2</v>
      </c>
      <c r="J90" s="1174">
        <f t="shared" si="19"/>
        <v>1.9199999999999998E-2</v>
      </c>
      <c r="K90" s="1174">
        <f t="shared" si="19"/>
        <v>2.1100000000000001E-2</v>
      </c>
      <c r="L90" s="1174">
        <f t="shared" si="19"/>
        <v>2.29E-2</v>
      </c>
      <c r="M90" s="81"/>
      <c r="N90" s="1183"/>
      <c r="O90" s="1182">
        <f t="shared" si="20"/>
        <v>4.2439449777777784E-2</v>
      </c>
      <c r="P90" s="1174">
        <f t="shared" si="20"/>
        <v>4.2616093333333334E-2</v>
      </c>
      <c r="Q90" s="1174">
        <f t="shared" si="20"/>
        <v>4.909683911111111E-2</v>
      </c>
      <c r="R90" s="1174">
        <f t="shared" si="20"/>
        <v>5.2011518222222233E-2</v>
      </c>
      <c r="S90" s="1174">
        <f t="shared" si="20"/>
        <v>5.158926844444444E-2</v>
      </c>
      <c r="T90" s="81"/>
      <c r="U90" s="1183"/>
    </row>
    <row r="91" spans="1:21" ht="14" thickBot="1">
      <c r="A91" s="12" t="s">
        <v>22</v>
      </c>
      <c r="B91" s="194" t="s">
        <v>54</v>
      </c>
      <c r="C91" s="186">
        <v>0.64</v>
      </c>
      <c r="D91" s="186">
        <v>0.55000000000000004</v>
      </c>
      <c r="E91" s="195">
        <v>2022</v>
      </c>
      <c r="F91" s="1173" t="str">
        <f t="shared" si="16"/>
        <v>£m 18/19</v>
      </c>
      <c r="G91" s="1191" t="s">
        <v>54</v>
      </c>
      <c r="H91" s="1184">
        <f t="shared" si="19"/>
        <v>1.8184707641684131E-2</v>
      </c>
      <c r="I91" s="1185">
        <f t="shared" si="19"/>
        <v>1.5809503423148775E-2</v>
      </c>
      <c r="J91" s="1185">
        <f t="shared" si="19"/>
        <v>1.8000565597912722E-2</v>
      </c>
      <c r="K91" s="1185">
        <f t="shared" si="19"/>
        <v>2.3276186478151731E-2</v>
      </c>
      <c r="L91" s="1185">
        <f t="shared" si="19"/>
        <v>2.7418061040625063E-2</v>
      </c>
      <c r="M91" s="1186"/>
      <c r="N91" s="1187"/>
      <c r="O91" s="1184">
        <f t="shared" si="20"/>
        <v>4.2439449777777784E-2</v>
      </c>
      <c r="P91" s="1185">
        <f t="shared" si="20"/>
        <v>4.2616093333333334E-2</v>
      </c>
      <c r="Q91" s="1185">
        <f t="shared" si="20"/>
        <v>4.909683911111111E-2</v>
      </c>
      <c r="R91" s="1185">
        <f t="shared" si="20"/>
        <v>5.2011518222222233E-2</v>
      </c>
      <c r="S91" s="1185">
        <f t="shared" si="20"/>
        <v>5.158926844444444E-2</v>
      </c>
      <c r="T91" s="1186"/>
      <c r="U91" s="1187"/>
    </row>
    <row r="92" spans="1:21">
      <c r="I92" s="14"/>
    </row>
    <row r="93" spans="1:21">
      <c r="I93" s="14"/>
    </row>
    <row r="94" spans="1:21">
      <c r="I94" s="14"/>
    </row>
    <row r="95" spans="1:21">
      <c r="B95" s="1"/>
      <c r="D95" s="127"/>
      <c r="E95" s="127"/>
      <c r="F95" s="127"/>
      <c r="G95" s="127"/>
      <c r="H95" s="127"/>
      <c r="I95" s="127"/>
      <c r="J95" s="127"/>
    </row>
    <row r="97" spans="2:14" ht="15.5">
      <c r="B97" s="115" t="s">
        <v>93</v>
      </c>
      <c r="C97" s="24">
        <v>2022</v>
      </c>
      <c r="D97" s="25">
        <f t="shared" ref="D97:I97" si="21">C97+1</f>
        <v>2023</v>
      </c>
      <c r="E97" s="25">
        <f t="shared" si="21"/>
        <v>2024</v>
      </c>
      <c r="F97" s="25">
        <f t="shared" si="21"/>
        <v>2025</v>
      </c>
      <c r="G97" s="25">
        <f t="shared" si="21"/>
        <v>2026</v>
      </c>
      <c r="H97" s="25">
        <f t="shared" si="21"/>
        <v>2027</v>
      </c>
      <c r="I97" s="25">
        <f t="shared" si="21"/>
        <v>2028</v>
      </c>
    </row>
    <row r="98" spans="2:14">
      <c r="B98" s="116" t="s">
        <v>70</v>
      </c>
      <c r="C98" s="81"/>
      <c r="D98" s="81"/>
      <c r="E98" s="117">
        <v>0</v>
      </c>
      <c r="F98" s="117">
        <v>0</v>
      </c>
      <c r="G98" s="117">
        <v>0</v>
      </c>
      <c r="H98" s="117">
        <v>0</v>
      </c>
      <c r="I98" s="117">
        <v>0</v>
      </c>
      <c r="J98" s="1211"/>
    </row>
    <row r="99" spans="2:14">
      <c r="B99" s="116" t="s">
        <v>71</v>
      </c>
      <c r="C99" s="81"/>
      <c r="D99" s="81"/>
      <c r="E99" s="117">
        <v>0</v>
      </c>
      <c r="F99" s="117">
        <v>0</v>
      </c>
      <c r="G99" s="117">
        <v>0</v>
      </c>
      <c r="H99" s="117">
        <v>0</v>
      </c>
      <c r="I99" s="117">
        <v>0</v>
      </c>
      <c r="J99" s="1211"/>
    </row>
    <row r="100" spans="2:14">
      <c r="B100" s="116" t="s">
        <v>72</v>
      </c>
      <c r="C100" s="81"/>
      <c r="D100" s="81"/>
      <c r="E100" s="117">
        <v>0</v>
      </c>
      <c r="F100" s="117">
        <v>0</v>
      </c>
      <c r="G100" s="117">
        <v>0</v>
      </c>
      <c r="H100" s="117">
        <v>0</v>
      </c>
      <c r="I100" s="117">
        <v>0</v>
      </c>
      <c r="J100" s="1212"/>
      <c r="K100" s="94"/>
      <c r="L100" s="94"/>
      <c r="M100" s="94"/>
      <c r="N100" s="94"/>
    </row>
    <row r="101" spans="2:14">
      <c r="B101" s="116" t="s">
        <v>52</v>
      </c>
      <c r="C101" s="81"/>
      <c r="D101" s="81"/>
      <c r="E101" s="117">
        <v>0</v>
      </c>
      <c r="F101" s="117">
        <v>0</v>
      </c>
      <c r="G101" s="117">
        <v>0</v>
      </c>
      <c r="H101" s="117">
        <v>0</v>
      </c>
      <c r="I101" s="117">
        <v>0</v>
      </c>
      <c r="J101" s="1211"/>
    </row>
    <row r="102" spans="2:14">
      <c r="B102" s="116" t="s">
        <v>73</v>
      </c>
      <c r="C102" s="81"/>
      <c r="D102" s="81"/>
      <c r="E102" s="117">
        <v>0.95193542636815776</v>
      </c>
      <c r="F102" s="117">
        <v>0.95193542636815776</v>
      </c>
      <c r="G102" s="117">
        <v>0.95193542636815776</v>
      </c>
      <c r="H102" s="117">
        <v>0.95193542636815776</v>
      </c>
      <c r="I102" s="117">
        <v>0.95193542636815776</v>
      </c>
      <c r="J102" s="1211"/>
    </row>
    <row r="103" spans="2:14">
      <c r="B103" s="116" t="s">
        <v>74</v>
      </c>
      <c r="C103" s="81"/>
      <c r="D103" s="81"/>
      <c r="E103" s="117">
        <v>4.1422258913848848</v>
      </c>
      <c r="F103" s="117">
        <v>4.1422258913848848</v>
      </c>
      <c r="G103" s="117">
        <v>4.1422258913848848</v>
      </c>
      <c r="H103" s="117">
        <v>4.1422258913848848</v>
      </c>
      <c r="I103" s="117">
        <v>4.1422258913848848</v>
      </c>
      <c r="J103" s="1211"/>
    </row>
    <row r="104" spans="2:14">
      <c r="B104" s="116" t="s">
        <v>75</v>
      </c>
      <c r="C104" s="81"/>
      <c r="D104" s="81"/>
      <c r="E104" s="117">
        <v>0</v>
      </c>
      <c r="F104" s="117">
        <v>0</v>
      </c>
      <c r="G104" s="117">
        <v>0</v>
      </c>
      <c r="H104" s="117">
        <v>0</v>
      </c>
      <c r="I104" s="117">
        <v>0</v>
      </c>
      <c r="J104" s="1211"/>
    </row>
    <row r="105" spans="2:14">
      <c r="B105" s="116" t="s">
        <v>76</v>
      </c>
      <c r="C105" s="81"/>
      <c r="D105" s="81"/>
      <c r="E105" s="117">
        <v>0</v>
      </c>
      <c r="F105" s="117">
        <v>0</v>
      </c>
      <c r="G105" s="117">
        <v>0</v>
      </c>
      <c r="H105" s="117">
        <v>0</v>
      </c>
      <c r="I105" s="117">
        <v>0</v>
      </c>
      <c r="J105" s="1211"/>
    </row>
    <row r="106" spans="2:14">
      <c r="B106" s="116" t="s">
        <v>77</v>
      </c>
      <c r="C106" s="81"/>
      <c r="D106" s="81"/>
      <c r="E106" s="117">
        <v>1.2350000000000001</v>
      </c>
      <c r="F106" s="117">
        <v>0</v>
      </c>
      <c r="G106" s="117">
        <v>0</v>
      </c>
      <c r="H106" s="117">
        <v>0</v>
      </c>
      <c r="I106" s="117">
        <v>0</v>
      </c>
      <c r="J106" s="1211"/>
    </row>
    <row r="107" spans="2:14">
      <c r="B107" s="116" t="s">
        <v>50</v>
      </c>
      <c r="C107" s="81"/>
      <c r="D107" s="81"/>
      <c r="E107" s="117">
        <v>2.3050000000000002</v>
      </c>
      <c r="F107" s="117">
        <v>0</v>
      </c>
      <c r="G107" s="117">
        <v>0</v>
      </c>
      <c r="H107" s="117">
        <v>0</v>
      </c>
      <c r="I107" s="117">
        <v>0</v>
      </c>
      <c r="J107" s="1211"/>
    </row>
    <row r="108" spans="2:14">
      <c r="B108" s="116" t="s">
        <v>51</v>
      </c>
      <c r="C108" s="81"/>
      <c r="D108" s="81"/>
      <c r="E108" s="117">
        <v>1.38</v>
      </c>
      <c r="F108" s="117">
        <v>0</v>
      </c>
      <c r="G108" s="117">
        <v>0</v>
      </c>
      <c r="H108" s="117">
        <v>0</v>
      </c>
      <c r="I108" s="117">
        <v>0</v>
      </c>
      <c r="J108" s="1211"/>
    </row>
    <row r="109" spans="2:14">
      <c r="B109" s="116" t="s">
        <v>78</v>
      </c>
      <c r="C109" s="81"/>
      <c r="D109" s="81"/>
      <c r="E109" s="117">
        <v>1.38</v>
      </c>
      <c r="F109" s="117">
        <v>0</v>
      </c>
      <c r="G109" s="117">
        <v>0</v>
      </c>
      <c r="H109" s="117">
        <v>0</v>
      </c>
      <c r="I109" s="117">
        <v>0</v>
      </c>
      <c r="J109" s="1211"/>
    </row>
    <row r="110" spans="2:14">
      <c r="B110" s="116" t="s">
        <v>79</v>
      </c>
      <c r="C110" s="81"/>
      <c r="D110" s="81"/>
      <c r="E110" s="117">
        <v>0.69</v>
      </c>
      <c r="F110" s="117">
        <v>0</v>
      </c>
      <c r="G110" s="117">
        <v>0</v>
      </c>
      <c r="H110" s="117">
        <v>0</v>
      </c>
      <c r="I110" s="117">
        <v>0</v>
      </c>
      <c r="J110" s="1211"/>
    </row>
    <row r="111" spans="2:14">
      <c r="B111" s="116" t="s">
        <v>80</v>
      </c>
      <c r="C111" s="81"/>
      <c r="D111" s="81"/>
      <c r="E111" s="117">
        <v>1.1499999999999999</v>
      </c>
      <c r="F111" s="117">
        <v>0</v>
      </c>
      <c r="G111" s="117">
        <v>0</v>
      </c>
      <c r="H111" s="117">
        <v>0</v>
      </c>
      <c r="I111" s="117">
        <v>0</v>
      </c>
      <c r="J111" s="1211"/>
    </row>
    <row r="112" spans="2:14">
      <c r="B112" s="116" t="s">
        <v>81</v>
      </c>
      <c r="C112" s="1204">
        <v>0.23941679646380071</v>
      </c>
      <c r="D112" s="1204">
        <v>0.23941679646380071</v>
      </c>
      <c r="E112" s="1204">
        <v>0.23941679646380071</v>
      </c>
      <c r="F112" s="1204">
        <v>0.23941679646380071</v>
      </c>
      <c r="G112" s="1204">
        <v>0.23941679646380071</v>
      </c>
      <c r="H112" s="81"/>
      <c r="I112" s="81"/>
      <c r="J112" s="1211"/>
    </row>
    <row r="113" spans="2:12">
      <c r="B113" s="116" t="s">
        <v>4</v>
      </c>
      <c r="C113" s="1204">
        <v>-1.1368683772161603E-15</v>
      </c>
      <c r="D113" s="1204">
        <v>-1.1368683772161603E-15</v>
      </c>
      <c r="E113" s="1204">
        <v>-1.1368683772161603E-15</v>
      </c>
      <c r="F113" s="1204">
        <v>-1.1368683772161603E-15</v>
      </c>
      <c r="G113" s="1204">
        <v>-1.1368683772161603E-15</v>
      </c>
      <c r="H113" s="81"/>
      <c r="I113" s="81"/>
      <c r="J113" s="1211"/>
    </row>
    <row r="114" spans="2:12">
      <c r="B114" s="116" t="s">
        <v>82</v>
      </c>
      <c r="C114" s="1204">
        <v>-7.0993072540795777E-3</v>
      </c>
      <c r="D114" s="1204">
        <v>-7.0993072540795777E-3</v>
      </c>
      <c r="E114" s="1204">
        <v>-7.0993072540795777E-3</v>
      </c>
      <c r="F114" s="1204">
        <v>-7.0993072540795777E-3</v>
      </c>
      <c r="G114" s="1204">
        <v>-7.0993072540795777E-3</v>
      </c>
      <c r="H114" s="81"/>
      <c r="I114" s="81"/>
      <c r="J114" s="1211"/>
    </row>
    <row r="115" spans="2:12">
      <c r="B115" s="116" t="s">
        <v>83</v>
      </c>
      <c r="C115" s="1204">
        <v>-7.2862331602607357E-3</v>
      </c>
      <c r="D115" s="1204">
        <v>-7.2862331602607357E-3</v>
      </c>
      <c r="E115" s="1204">
        <v>-7.2862331602607357E-3</v>
      </c>
      <c r="F115" s="1204">
        <v>-7.2862331602607357E-3</v>
      </c>
      <c r="G115" s="1204">
        <v>-7.2862331602607357E-3</v>
      </c>
      <c r="H115" s="81"/>
      <c r="I115" s="81"/>
      <c r="J115" s="1211"/>
    </row>
    <row r="116" spans="2:12">
      <c r="B116" s="116" t="s">
        <v>84</v>
      </c>
      <c r="C116" s="1205">
        <v>1.149006</v>
      </c>
      <c r="D116" s="1205">
        <v>1.149006</v>
      </c>
      <c r="E116" s="1204">
        <v>1.149006</v>
      </c>
      <c r="F116" s="1204">
        <v>1.149006</v>
      </c>
      <c r="G116" s="1205">
        <v>1.149006</v>
      </c>
      <c r="H116" s="81"/>
      <c r="I116" s="81"/>
      <c r="J116" s="1211"/>
    </row>
    <row r="117" spans="2:12">
      <c r="B117" s="116" t="s">
        <v>85</v>
      </c>
      <c r="C117" s="1204">
        <v>0</v>
      </c>
      <c r="D117" s="1204">
        <v>0</v>
      </c>
      <c r="E117" s="1204">
        <v>0</v>
      </c>
      <c r="F117" s="1204">
        <v>0</v>
      </c>
      <c r="G117" s="1204">
        <v>0</v>
      </c>
      <c r="H117" s="81"/>
      <c r="I117" s="81"/>
      <c r="J117" s="1211"/>
    </row>
    <row r="118" spans="2:12">
      <c r="B118" s="116" t="s">
        <v>86</v>
      </c>
      <c r="C118" s="1204">
        <v>0</v>
      </c>
      <c r="D118" s="1204">
        <v>0</v>
      </c>
      <c r="E118" s="1204">
        <v>0</v>
      </c>
      <c r="F118" s="1204">
        <v>0</v>
      </c>
      <c r="G118" s="1204">
        <v>0</v>
      </c>
      <c r="H118" s="81"/>
      <c r="I118" s="81"/>
      <c r="J118" s="1211"/>
    </row>
    <row r="119" spans="2:12">
      <c r="B119" s="116" t="s">
        <v>87</v>
      </c>
      <c r="C119" s="1204">
        <v>0</v>
      </c>
      <c r="D119" s="1204">
        <v>0</v>
      </c>
      <c r="E119" s="1204">
        <v>0</v>
      </c>
      <c r="F119" s="1204">
        <v>0</v>
      </c>
      <c r="G119" s="1204">
        <v>0</v>
      </c>
      <c r="H119" s="81"/>
      <c r="I119" s="81"/>
      <c r="J119" s="1211"/>
    </row>
    <row r="120" spans="2:12">
      <c r="B120" s="116" t="s">
        <v>88</v>
      </c>
      <c r="C120" s="1204">
        <v>-4.3390000000000004</v>
      </c>
      <c r="D120" s="1204">
        <v>-4.3390000000000004</v>
      </c>
      <c r="E120" s="1204">
        <v>-4.3390000000000004</v>
      </c>
      <c r="F120" s="1204">
        <v>-4.3390000000000004</v>
      </c>
      <c r="G120" s="1204">
        <v>-4.3390000000000004</v>
      </c>
      <c r="H120" s="81"/>
      <c r="I120" s="81"/>
      <c r="J120" s="1211"/>
    </row>
    <row r="121" spans="2:12">
      <c r="B121" s="116" t="s">
        <v>89</v>
      </c>
      <c r="C121" s="1204">
        <v>0</v>
      </c>
      <c r="D121" s="1204">
        <v>0</v>
      </c>
      <c r="E121" s="1204">
        <v>0</v>
      </c>
      <c r="F121" s="1204">
        <v>0</v>
      </c>
      <c r="G121" s="1204">
        <v>0</v>
      </c>
      <c r="H121" s="81"/>
      <c r="I121" s="81"/>
      <c r="J121" s="1211"/>
    </row>
    <row r="122" spans="2:12">
      <c r="B122" s="116" t="s">
        <v>90</v>
      </c>
      <c r="C122" s="1204">
        <v>-4.3390000000000004</v>
      </c>
      <c r="D122" s="1204">
        <v>-4.3390000000000004</v>
      </c>
      <c r="E122" s="1204">
        <v>-4.3390000000000004</v>
      </c>
      <c r="F122" s="1204">
        <v>-4.3390000000000004</v>
      </c>
      <c r="G122" s="1204">
        <v>-4.3390000000000004</v>
      </c>
      <c r="H122" s="81"/>
      <c r="I122" s="81"/>
      <c r="J122" s="1211"/>
    </row>
    <row r="123" spans="2:12">
      <c r="B123" s="116" t="s">
        <v>91</v>
      </c>
      <c r="C123" s="1204">
        <v>-13</v>
      </c>
      <c r="D123" s="1204">
        <v>-13</v>
      </c>
      <c r="E123" s="1204">
        <v>-13</v>
      </c>
      <c r="F123" s="1204">
        <v>-13</v>
      </c>
      <c r="G123" s="1204">
        <v>-13</v>
      </c>
      <c r="H123" s="81"/>
      <c r="I123" s="81"/>
      <c r="J123" s="1211"/>
    </row>
    <row r="124" spans="2:12">
      <c r="B124" s="116" t="s">
        <v>29</v>
      </c>
      <c r="C124" s="1204">
        <v>0</v>
      </c>
      <c r="D124" s="1204">
        <v>0</v>
      </c>
      <c r="E124" s="1204">
        <v>0</v>
      </c>
      <c r="F124" s="1204">
        <v>0</v>
      </c>
      <c r="G124" s="1204">
        <v>0</v>
      </c>
      <c r="H124" s="81"/>
      <c r="I124" s="81"/>
      <c r="J124" s="1211"/>
    </row>
    <row r="125" spans="2:12">
      <c r="B125" s="116" t="s">
        <v>92</v>
      </c>
      <c r="C125" s="1204">
        <v>1</v>
      </c>
      <c r="D125" s="1204">
        <v>1</v>
      </c>
      <c r="E125" s="1204">
        <v>1</v>
      </c>
      <c r="F125" s="1204">
        <v>1</v>
      </c>
      <c r="G125" s="1204">
        <v>1</v>
      </c>
      <c r="H125" s="81"/>
      <c r="I125" s="81"/>
      <c r="J125" s="1211"/>
    </row>
    <row r="126" spans="2:12">
      <c r="B126" s="118" t="s">
        <v>54</v>
      </c>
      <c r="C126" s="1204">
        <v>4.3620000000000001</v>
      </c>
      <c r="D126" s="1204">
        <v>4.3620000000000001</v>
      </c>
      <c r="E126" s="1206">
        <v>4.3620000000000001</v>
      </c>
      <c r="F126" s="1206">
        <v>4.3620000000000001</v>
      </c>
      <c r="G126" s="1206">
        <v>4.3620000000000001</v>
      </c>
      <c r="H126" s="81"/>
      <c r="I126" s="81"/>
      <c r="J126" s="1211"/>
    </row>
    <row r="127" spans="2:12">
      <c r="B127" s="34"/>
    </row>
    <row r="128" spans="2:12">
      <c r="B128" s="151" t="str">
        <f>LEFT('RFPR cover'!C8,2)</f>
        <v>GD</v>
      </c>
      <c r="C128" s="235"/>
      <c r="D128" s="235"/>
      <c r="E128" s="235"/>
      <c r="F128" s="235"/>
      <c r="G128" s="235"/>
      <c r="H128" s="235"/>
      <c r="I128" s="235"/>
      <c r="J128" s="235"/>
      <c r="K128" s="235"/>
      <c r="L128" s="152"/>
    </row>
    <row r="129" spans="1:14">
      <c r="A129" s="36"/>
      <c r="B129" s="66" t="s">
        <v>94</v>
      </c>
      <c r="C129" s="67"/>
      <c r="D129" s="67"/>
      <c r="E129" s="67"/>
      <c r="F129" s="65"/>
      <c r="G129" s="65"/>
      <c r="H129" s="65"/>
      <c r="I129" s="65"/>
      <c r="J129" s="65"/>
      <c r="K129" s="65"/>
      <c r="L129" s="65"/>
      <c r="M129" s="65"/>
      <c r="N129" s="65"/>
    </row>
    <row r="130" spans="1:14">
      <c r="A130" s="36"/>
      <c r="B130" s="92"/>
      <c r="C130" s="93"/>
      <c r="D130" s="93"/>
      <c r="E130" s="93"/>
      <c r="F130" s="94"/>
      <c r="G130" s="94"/>
      <c r="H130" s="94"/>
      <c r="I130" s="94"/>
    </row>
    <row r="131" spans="1:14">
      <c r="A131" s="35"/>
      <c r="B131" s="236" t="s">
        <v>95</v>
      </c>
      <c r="C131" s="37"/>
      <c r="D131" s="37"/>
      <c r="E131" s="259" t="b">
        <f>OR((LEFT('RFPR cover'!$C$8,2)=Data!G131),'RFPR cover'!$C$7=Data!G131)</f>
        <v>0</v>
      </c>
      <c r="F131" s="322">
        <f t="shared" ref="F131:F133" si="22">IF(E131,1,0)</f>
        <v>0</v>
      </c>
      <c r="G131" s="260" t="str">
        <f>B141</f>
        <v>ED</v>
      </c>
    </row>
    <row r="132" spans="1:14" ht="16.5" customHeight="1">
      <c r="A132" s="35"/>
      <c r="B132" s="96" t="str">
        <f>IF(SUM($F$131:$F$138)=0,"",CHOOSE(MATCH(TRUE,$E$131:$E$138,0),B142,B153,B164,E164,B175,E175,B185,E185)&amp;"")</f>
        <v>Customer Satisfaction Survey ODI - (SpC 4.2)</v>
      </c>
      <c r="C132" s="37"/>
      <c r="D132" s="37"/>
      <c r="E132" s="316" t="b">
        <f>OR((LEFT('RFPR cover'!$C$8,2)=Data!G132),'RFPR cover'!$C$7=Data!G132)</f>
        <v>1</v>
      </c>
      <c r="F132" s="249">
        <f t="shared" si="22"/>
        <v>1</v>
      </c>
      <c r="G132" s="250" t="str">
        <f>B152</f>
        <v>GD</v>
      </c>
    </row>
    <row r="133" spans="1:14">
      <c r="A133" s="35"/>
      <c r="B133" s="96" t="str">
        <f t="shared" ref="B133:B139" si="23">IF(SUM($F$131:$F$138)=0,"",CHOOSE(MATCH(TRUE,$E$131:$E$138,0),B143,B154,B165,E165,B176,E176,B186,E186)&amp;"")</f>
        <v>Complaints metric ODI - (SpC 4.3)</v>
      </c>
      <c r="C133" s="37"/>
      <c r="D133" s="37"/>
      <c r="E133" s="316" t="b">
        <f>OR((LEFT('RFPR cover'!$C$8,2)=Data!G133),'RFPR cover'!$C$7=Data!G133)</f>
        <v>0</v>
      </c>
      <c r="F133" s="249">
        <f t="shared" si="22"/>
        <v>0</v>
      </c>
      <c r="G133" s="251" t="str">
        <f>B163</f>
        <v>NGGT (TO)</v>
      </c>
    </row>
    <row r="134" spans="1:14" ht="27">
      <c r="A134" s="35"/>
      <c r="B134" s="96" t="str">
        <f t="shared" si="23"/>
        <v>Unplanned Interruption Mean Duration ODI [NGN, SGN and WWU] - (SpC 4.5)</v>
      </c>
      <c r="C134" s="37"/>
      <c r="D134" s="37"/>
      <c r="E134" s="316" t="b">
        <f>OR((LEFT('RFPR cover'!$C$8,2)=Data!G134),'RFPR cover'!$C$7=Data!G134)</f>
        <v>0</v>
      </c>
      <c r="F134" s="249">
        <f>IF(E134,1,0)</f>
        <v>0</v>
      </c>
      <c r="G134" s="251" t="str">
        <f>E163</f>
        <v>NGGT (TO+SO)</v>
      </c>
    </row>
    <row r="135" spans="1:14">
      <c r="A135" s="35"/>
      <c r="B135" s="96" t="str">
        <f t="shared" si="23"/>
        <v>Unplanned Interruption Mean Duration ODI [Cadent only]- (SpC 4.6)</v>
      </c>
      <c r="C135" s="37"/>
      <c r="D135" s="37"/>
      <c r="E135" s="316" t="b">
        <f>OR((LEFT('RFPR cover'!$C$8,2)=Data!G135),'RFPR cover'!$C$7=Data!G135)</f>
        <v>0</v>
      </c>
      <c r="F135" s="249">
        <f>IF(E135,1,0)</f>
        <v>0</v>
      </c>
      <c r="G135" s="251" t="str">
        <f>B174</f>
        <v>NGET (TO)</v>
      </c>
    </row>
    <row r="136" spans="1:14">
      <c r="A136" s="35"/>
      <c r="B136" s="96" t="str">
        <f t="shared" si="23"/>
        <v>Shrinkage Management ODI- (SpC 4.4)</v>
      </c>
      <c r="C136" s="37"/>
      <c r="D136" s="37"/>
      <c r="E136" s="316" t="b">
        <f>OR((LEFT('RFPR cover'!$C$8,2)=Data!G136),'RFPR cover'!$C$7=Data!G136)</f>
        <v>0</v>
      </c>
      <c r="F136" s="249">
        <f t="shared" ref="F136" si="24">IF(E136,1,0)</f>
        <v>0</v>
      </c>
      <c r="G136" s="251" t="str">
        <f>E174</f>
        <v>ESO</v>
      </c>
    </row>
    <row r="137" spans="1:14" ht="27">
      <c r="A137" s="35"/>
      <c r="B137" s="96" t="str">
        <f t="shared" si="23"/>
        <v>Collaborative streetworks ODI [Cadent Lon &amp; EoE, SGN So only]- (SpC 4.7)</v>
      </c>
      <c r="C137" s="37"/>
      <c r="D137" s="37"/>
      <c r="E137" s="316" t="b">
        <f>OR((LEFT('RFPR cover'!$C$8,2)=Data!G137),'RFPR cover'!$C$7=Data!G137)</f>
        <v>0</v>
      </c>
      <c r="F137" s="249">
        <f>IF(E137,1,0)</f>
        <v>0</v>
      </c>
      <c r="G137" s="251" t="str">
        <f>B184</f>
        <v>SPT</v>
      </c>
    </row>
    <row r="138" spans="1:14">
      <c r="A138" s="35"/>
      <c r="B138" s="96" t="str">
        <f t="shared" si="23"/>
        <v/>
      </c>
      <c r="C138" s="37"/>
      <c r="D138" s="37"/>
      <c r="E138" s="252" t="b">
        <f>OR((LEFT('RFPR cover'!$C$8,2)=Data!G138),'RFPR cover'!$C$7=Data!G138)</f>
        <v>0</v>
      </c>
      <c r="F138" s="253">
        <f>IF(E138,1,0)</f>
        <v>0</v>
      </c>
      <c r="G138" s="254" t="s">
        <v>54</v>
      </c>
    </row>
    <row r="139" spans="1:14">
      <c r="A139" s="35"/>
      <c r="B139" s="96" t="str">
        <f t="shared" si="23"/>
        <v/>
      </c>
      <c r="C139" s="37"/>
      <c r="D139" s="37"/>
    </row>
    <row r="140" spans="1:14">
      <c r="A140" s="35"/>
      <c r="B140" s="37"/>
      <c r="C140" s="37"/>
      <c r="D140" s="37"/>
      <c r="E140" s="11"/>
      <c r="F140" s="95"/>
    </row>
    <row r="141" spans="1:14">
      <c r="A141" s="35"/>
      <c r="B141" s="1318" t="s">
        <v>19</v>
      </c>
      <c r="C141" s="1319"/>
      <c r="D141" s="37"/>
      <c r="E141" s="37"/>
    </row>
    <row r="142" spans="1:14">
      <c r="A142" s="35"/>
      <c r="B142" s="1337" t="s">
        <v>96</v>
      </c>
      <c r="C142" s="1338"/>
      <c r="D142" s="37"/>
      <c r="E142" s="37"/>
    </row>
    <row r="143" spans="1:14">
      <c r="A143" s="35"/>
      <c r="B143" s="1316" t="s">
        <v>97</v>
      </c>
      <c r="C143" s="1317"/>
      <c r="D143" s="37"/>
      <c r="E143" s="37"/>
    </row>
    <row r="144" spans="1:14">
      <c r="A144" s="35"/>
      <c r="B144" s="1316" t="s">
        <v>98</v>
      </c>
      <c r="C144" s="1317"/>
      <c r="D144" s="37"/>
      <c r="E144" s="37"/>
    </row>
    <row r="145" spans="1:7">
      <c r="A145" s="35"/>
      <c r="B145" s="1316" t="s">
        <v>99</v>
      </c>
      <c r="C145" s="1317"/>
      <c r="D145" s="37"/>
      <c r="E145" s="37"/>
    </row>
    <row r="146" spans="1:7">
      <c r="A146" s="35"/>
      <c r="B146" s="1316" t="s">
        <v>100</v>
      </c>
      <c r="C146" s="1317"/>
      <c r="D146" s="37"/>
      <c r="E146" s="37"/>
    </row>
    <row r="147" spans="1:7">
      <c r="A147" s="35"/>
      <c r="B147" s="1316" t="s">
        <v>101</v>
      </c>
      <c r="C147" s="1317"/>
      <c r="D147" s="37"/>
      <c r="E147" s="37"/>
    </row>
    <row r="148" spans="1:7">
      <c r="A148" s="35"/>
      <c r="B148" s="1316" t="s">
        <v>102</v>
      </c>
      <c r="C148" s="1317"/>
      <c r="D148" s="37"/>
      <c r="E148" s="37"/>
    </row>
    <row r="149" spans="1:7">
      <c r="A149" s="35"/>
      <c r="B149" s="1333" t="s">
        <v>103</v>
      </c>
      <c r="C149" s="1334"/>
      <c r="D149" s="37"/>
      <c r="E149" s="37"/>
    </row>
    <row r="150" spans="1:7">
      <c r="A150" s="35"/>
      <c r="B150" s="37"/>
      <c r="C150" s="37"/>
      <c r="D150" s="37"/>
      <c r="E150" s="37"/>
    </row>
    <row r="151" spans="1:7">
      <c r="A151" s="35"/>
      <c r="B151" s="37"/>
      <c r="C151" s="37"/>
      <c r="D151" s="37"/>
      <c r="E151" s="37"/>
    </row>
    <row r="152" spans="1:7">
      <c r="A152" s="35"/>
      <c r="B152" s="1318" t="s">
        <v>25</v>
      </c>
      <c r="C152" s="1319"/>
      <c r="D152" s="37"/>
      <c r="E152" s="37"/>
    </row>
    <row r="153" spans="1:7">
      <c r="A153" s="35"/>
      <c r="B153" s="1337" t="s">
        <v>104</v>
      </c>
      <c r="C153" s="1338"/>
      <c r="E153" s="37"/>
    </row>
    <row r="154" spans="1:7">
      <c r="A154" s="35"/>
      <c r="B154" s="1316" t="s">
        <v>105</v>
      </c>
      <c r="C154" s="1317"/>
      <c r="D154" s="37"/>
      <c r="E154" s="37"/>
    </row>
    <row r="155" spans="1:7" ht="25.5" customHeight="1">
      <c r="A155" s="35"/>
      <c r="B155" s="1316" t="s">
        <v>106</v>
      </c>
      <c r="C155" s="1317"/>
      <c r="D155" s="37"/>
      <c r="E155" s="37"/>
      <c r="G155" t="s">
        <v>107</v>
      </c>
    </row>
    <row r="156" spans="1:7" ht="25.5" customHeight="1">
      <c r="A156" s="35"/>
      <c r="B156" s="1316" t="s">
        <v>108</v>
      </c>
      <c r="C156" s="1317"/>
      <c r="D156" s="37"/>
      <c r="E156" s="37"/>
    </row>
    <row r="157" spans="1:7" ht="14.25" customHeight="1">
      <c r="A157" s="35"/>
      <c r="B157" s="1316" t="s">
        <v>109</v>
      </c>
      <c r="C157" s="1317"/>
      <c r="D157" s="37"/>
      <c r="E157" s="37"/>
    </row>
    <row r="158" spans="1:7" ht="25.5" customHeight="1">
      <c r="A158" s="35"/>
      <c r="B158" s="1316" t="s">
        <v>110</v>
      </c>
      <c r="C158" s="1317"/>
      <c r="D158" s="37"/>
      <c r="E158" s="37"/>
    </row>
    <row r="159" spans="1:7" ht="12" customHeight="1">
      <c r="A159" s="35"/>
      <c r="B159" s="1316"/>
      <c r="C159" s="1317"/>
      <c r="D159" s="37"/>
      <c r="E159" s="37"/>
    </row>
    <row r="160" spans="1:7">
      <c r="A160" s="35"/>
      <c r="B160" s="1333"/>
      <c r="C160" s="1334"/>
      <c r="D160" s="37"/>
      <c r="E160" s="37"/>
    </row>
    <row r="161" spans="1:9">
      <c r="A161" s="35"/>
      <c r="B161" s="37"/>
      <c r="C161" s="37"/>
      <c r="D161" s="37"/>
      <c r="E161" s="37"/>
    </row>
    <row r="162" spans="1:9">
      <c r="A162" s="35"/>
      <c r="B162" s="37"/>
      <c r="C162" s="37"/>
      <c r="D162" s="37"/>
      <c r="E162" s="37"/>
    </row>
    <row r="163" spans="1:9" ht="12.75" customHeight="1">
      <c r="A163" s="35"/>
      <c r="B163" s="1301" t="s">
        <v>88</v>
      </c>
      <c r="C163" s="1302"/>
      <c r="D163" s="37"/>
      <c r="E163" s="1340" t="s">
        <v>90</v>
      </c>
      <c r="F163" s="1340"/>
      <c r="G163" s="1340"/>
      <c r="H163" s="1341"/>
      <c r="I163" s="13"/>
    </row>
    <row r="164" spans="1:9" ht="12.75" customHeight="1">
      <c r="A164" s="35"/>
      <c r="B164" s="1337" t="s">
        <v>111</v>
      </c>
      <c r="C164" s="1338"/>
      <c r="E164" s="1323"/>
      <c r="F164" s="1324"/>
      <c r="G164" s="1324"/>
      <c r="H164" s="1324"/>
      <c r="I164" s="91"/>
    </row>
    <row r="165" spans="1:9" ht="12.75" customHeight="1">
      <c r="A165" s="35"/>
      <c r="B165" s="1316" t="s">
        <v>112</v>
      </c>
      <c r="C165" s="1317"/>
      <c r="E165" s="1323"/>
      <c r="F165" s="1324"/>
      <c r="G165" s="1324"/>
      <c r="H165" s="1324"/>
      <c r="I165" s="91"/>
    </row>
    <row r="166" spans="1:9" ht="12.75" customHeight="1">
      <c r="A166" s="35"/>
      <c r="B166" s="1316"/>
      <c r="C166" s="1317"/>
      <c r="D166" s="37"/>
      <c r="E166" s="1342" t="s">
        <v>111</v>
      </c>
      <c r="F166" s="1342"/>
      <c r="G166" s="1342"/>
      <c r="H166" s="1342"/>
      <c r="I166" s="91"/>
    </row>
    <row r="167" spans="1:9" ht="12.75" customHeight="1">
      <c r="A167" s="35"/>
      <c r="B167" s="1316"/>
      <c r="C167" s="1317"/>
      <c r="D167" s="37"/>
      <c r="E167" s="1343" t="s">
        <v>112</v>
      </c>
      <c r="F167" s="1343"/>
      <c r="G167" s="1343"/>
      <c r="H167" s="1343"/>
      <c r="I167" s="91"/>
    </row>
    <row r="168" spans="1:9" ht="12.75" customHeight="1">
      <c r="A168" s="35"/>
      <c r="B168" s="1316"/>
      <c r="C168" s="1317"/>
      <c r="D168" s="37"/>
      <c r="E168" s="1339"/>
      <c r="F168" s="1339"/>
      <c r="G168" s="1339"/>
      <c r="H168" s="1339"/>
      <c r="I168" s="91"/>
    </row>
    <row r="169" spans="1:9" ht="12.75" customHeight="1">
      <c r="A169" s="35"/>
      <c r="B169" s="1316"/>
      <c r="C169" s="1317"/>
      <c r="D169" s="37"/>
      <c r="E169" s="1339"/>
      <c r="F169" s="1339"/>
      <c r="G169" s="1339"/>
      <c r="H169" s="1339"/>
      <c r="I169" s="91"/>
    </row>
    <row r="170" spans="1:9" ht="12.75" customHeight="1">
      <c r="A170" s="35"/>
      <c r="B170" s="1316"/>
      <c r="C170" s="1317"/>
      <c r="D170" s="37"/>
      <c r="E170" s="1302"/>
      <c r="F170" s="1302"/>
      <c r="G170" s="1302"/>
      <c r="H170" s="1302"/>
      <c r="I170" s="91"/>
    </row>
    <row r="171" spans="1:9" ht="12" customHeight="1">
      <c r="A171" s="35"/>
      <c r="B171" s="1333"/>
      <c r="C171" s="1334"/>
      <c r="D171" s="37"/>
      <c r="E171" s="1319"/>
      <c r="F171" s="1319"/>
      <c r="G171" s="1319"/>
      <c r="H171" s="1319"/>
      <c r="I171" s="91"/>
    </row>
    <row r="172" spans="1:9">
      <c r="A172" s="35"/>
      <c r="B172" s="37"/>
      <c r="C172" s="37"/>
      <c r="D172" s="37"/>
      <c r="E172" s="37"/>
    </row>
    <row r="173" spans="1:9">
      <c r="A173" s="35"/>
      <c r="B173" s="37"/>
      <c r="C173" s="37"/>
      <c r="D173" s="37"/>
      <c r="E173" s="37"/>
    </row>
    <row r="174" spans="1:9">
      <c r="A174" s="35"/>
      <c r="B174" s="1335" t="s">
        <v>91</v>
      </c>
      <c r="C174" s="1336"/>
      <c r="D174" s="37"/>
      <c r="E174" s="1301" t="s">
        <v>29</v>
      </c>
      <c r="F174" s="1301"/>
      <c r="G174" s="1301"/>
      <c r="H174" s="1302"/>
      <c r="I174" s="13"/>
    </row>
    <row r="175" spans="1:9" ht="13.5" customHeight="1">
      <c r="A175" s="35"/>
      <c r="B175" s="1337" t="s">
        <v>113</v>
      </c>
      <c r="C175" s="1338"/>
      <c r="E175" s="1318" t="s">
        <v>114</v>
      </c>
      <c r="F175" s="1346"/>
      <c r="G175" s="1346"/>
      <c r="H175" s="1347"/>
      <c r="I175" s="91"/>
    </row>
    <row r="176" spans="1:9" ht="12.75" customHeight="1">
      <c r="A176" s="35"/>
      <c r="B176" s="1316" t="s">
        <v>115</v>
      </c>
      <c r="C176" s="1317"/>
      <c r="E176" s="1348"/>
      <c r="F176" s="1348"/>
      <c r="G176" s="1348"/>
      <c r="H176" s="1349"/>
      <c r="I176" s="91"/>
    </row>
    <row r="177" spans="1:9" ht="13.5" customHeight="1">
      <c r="A177" s="35"/>
      <c r="B177" s="1316" t="s">
        <v>116</v>
      </c>
      <c r="C177" s="1317"/>
      <c r="E177" s="1299"/>
      <c r="F177" s="1299"/>
      <c r="G177" s="1299"/>
      <c r="H177" s="1300"/>
      <c r="I177" s="91"/>
    </row>
    <row r="178" spans="1:9" ht="12.75" customHeight="1">
      <c r="A178" s="35"/>
      <c r="B178" s="1316" t="s">
        <v>117</v>
      </c>
      <c r="C178" s="1317"/>
      <c r="E178" s="1299"/>
      <c r="F178" s="1299"/>
      <c r="G178" s="1299"/>
      <c r="H178" s="1300"/>
      <c r="I178" s="91"/>
    </row>
    <row r="179" spans="1:9" ht="13.5" customHeight="1">
      <c r="A179" s="35"/>
      <c r="B179" s="1316" t="s">
        <v>118</v>
      </c>
      <c r="C179" s="1317"/>
      <c r="E179" s="1299"/>
      <c r="F179" s="1299"/>
      <c r="G179" s="1299"/>
      <c r="H179" s="1300"/>
      <c r="I179" s="91"/>
    </row>
    <row r="180" spans="1:9" ht="13.5" customHeight="1">
      <c r="A180" s="35"/>
      <c r="B180" s="1316" t="s">
        <v>119</v>
      </c>
      <c r="C180" s="1317"/>
      <c r="E180" s="1299"/>
      <c r="F180" s="1299"/>
      <c r="G180" s="1299"/>
      <c r="H180" s="1300"/>
      <c r="I180" s="91"/>
    </row>
    <row r="181" spans="1:9">
      <c r="A181" s="35"/>
      <c r="B181" s="1333"/>
      <c r="C181" s="1334"/>
      <c r="D181" s="37"/>
      <c r="E181" s="1344"/>
      <c r="F181" s="1344"/>
      <c r="G181" s="91"/>
      <c r="H181" s="91"/>
      <c r="I181" s="91"/>
    </row>
    <row r="182" spans="1:9" ht="12.75" customHeight="1">
      <c r="A182" s="35"/>
      <c r="B182" s="35"/>
      <c r="C182" s="35"/>
      <c r="D182" s="37"/>
      <c r="E182" s="91"/>
      <c r="F182" s="91"/>
      <c r="G182" s="91"/>
      <c r="H182" s="91"/>
      <c r="I182" s="91"/>
    </row>
    <row r="183" spans="1:9" ht="12.75" customHeight="1">
      <c r="A183" s="35"/>
      <c r="B183" s="35"/>
      <c r="C183" s="35"/>
      <c r="D183" s="37"/>
      <c r="E183" s="91"/>
      <c r="F183" s="91"/>
      <c r="G183" s="91"/>
      <c r="H183" s="91"/>
      <c r="I183" s="91"/>
    </row>
    <row r="184" spans="1:9" ht="12.75" customHeight="1">
      <c r="A184" s="35"/>
      <c r="B184" s="1301" t="s">
        <v>92</v>
      </c>
      <c r="C184" s="1302"/>
      <c r="D184" s="37"/>
      <c r="E184" s="1301" t="s">
        <v>54</v>
      </c>
      <c r="F184" s="1301"/>
      <c r="G184" s="1301"/>
      <c r="H184" s="1302"/>
      <c r="I184" s="130"/>
    </row>
    <row r="185" spans="1:9" ht="12.75" customHeight="1">
      <c r="A185" s="35"/>
      <c r="B185" s="1337" t="s">
        <v>113</v>
      </c>
      <c r="C185" s="1345"/>
      <c r="E185" s="1320" t="s">
        <v>113</v>
      </c>
      <c r="F185" s="1321"/>
      <c r="G185" s="1321"/>
      <c r="H185" s="1322"/>
      <c r="I185" s="91"/>
    </row>
    <row r="186" spans="1:9" ht="12.75" customHeight="1">
      <c r="A186" s="35"/>
      <c r="B186" s="1316" t="s">
        <v>115</v>
      </c>
      <c r="C186" s="1327"/>
      <c r="E186" s="1320" t="s">
        <v>115</v>
      </c>
      <c r="F186" s="1321"/>
      <c r="G186" s="1321"/>
      <c r="H186" s="1322"/>
      <c r="I186" s="91"/>
    </row>
    <row r="187" spans="1:9" ht="12.75" customHeight="1">
      <c r="A187" s="35"/>
      <c r="B187" s="1316" t="s">
        <v>116</v>
      </c>
      <c r="C187" s="1327"/>
      <c r="E187" s="1320" t="s">
        <v>116</v>
      </c>
      <c r="F187" s="1321"/>
      <c r="G187" s="1321"/>
      <c r="H187" s="1322"/>
      <c r="I187" s="91"/>
    </row>
    <row r="188" spans="1:9" ht="12.75" customHeight="1">
      <c r="A188" s="35"/>
      <c r="B188" s="1316" t="s">
        <v>117</v>
      </c>
      <c r="C188" s="1327"/>
      <c r="E188" s="1320" t="s">
        <v>117</v>
      </c>
      <c r="F188" s="1321"/>
      <c r="G188" s="1321"/>
      <c r="H188" s="1322"/>
      <c r="I188" s="91"/>
    </row>
    <row r="189" spans="1:9" ht="12.75" customHeight="1">
      <c r="A189" s="35"/>
      <c r="B189" s="1316" t="s">
        <v>118</v>
      </c>
      <c r="C189" s="1327"/>
      <c r="E189" s="1320" t="s">
        <v>118</v>
      </c>
      <c r="F189" s="1321"/>
      <c r="G189" s="1321"/>
      <c r="H189" s="1322"/>
      <c r="I189" s="91"/>
    </row>
    <row r="190" spans="1:9" ht="12.75" customHeight="1">
      <c r="A190" s="35"/>
      <c r="B190" s="1316" t="s">
        <v>119</v>
      </c>
      <c r="C190" s="1327"/>
      <c r="E190" s="1320" t="s">
        <v>119</v>
      </c>
      <c r="F190" s="1321"/>
      <c r="G190" s="1321"/>
      <c r="H190" s="1322"/>
      <c r="I190" s="91"/>
    </row>
    <row r="191" spans="1:9">
      <c r="A191" s="35"/>
      <c r="B191" s="1303"/>
      <c r="C191" s="1304"/>
      <c r="D191" s="37"/>
      <c r="E191" s="1303"/>
      <c r="F191" s="1303"/>
      <c r="G191" s="1303"/>
      <c r="H191" s="1304"/>
      <c r="I191" s="91"/>
    </row>
    <row r="192" spans="1:9" ht="12.65" customHeight="1">
      <c r="A192" s="35"/>
      <c r="D192" s="37"/>
      <c r="E192" s="37"/>
    </row>
    <row r="193" spans="1:13" ht="12.65" customHeight="1">
      <c r="A193" s="35"/>
      <c r="B193" s="66" t="s">
        <v>120</v>
      </c>
      <c r="C193" s="67"/>
      <c r="D193" s="67"/>
      <c r="E193" s="67"/>
      <c r="F193" s="65"/>
      <c r="G193" s="65"/>
      <c r="H193" s="65"/>
      <c r="I193" s="65"/>
      <c r="J193" s="65"/>
      <c r="K193" s="65"/>
      <c r="L193" s="65"/>
      <c r="M193" s="65"/>
    </row>
    <row r="194" spans="1:13" ht="12.65" customHeight="1">
      <c r="A194" s="35"/>
      <c r="B194" s="92"/>
      <c r="C194" s="93"/>
      <c r="D194" s="93"/>
      <c r="E194" s="93"/>
      <c r="F194" s="94"/>
      <c r="G194" s="94"/>
      <c r="H194" s="94"/>
      <c r="I194" s="94"/>
    </row>
    <row r="195" spans="1:13" ht="12.65" customHeight="1">
      <c r="A195" s="35"/>
      <c r="B195" s="236" t="s">
        <v>121</v>
      </c>
      <c r="C195" s="37"/>
      <c r="D195" s="37"/>
      <c r="E195" s="259" t="b">
        <f>OR((LEFT('RFPR cover'!$C$8,2)=Data!F195),'RFPR cover'!$C$7=Data!F195)</f>
        <v>0</v>
      </c>
      <c r="F195" s="260" t="str">
        <f>B206</f>
        <v>ED</v>
      </c>
    </row>
    <row r="196" spans="1:13" ht="19.5" customHeight="1">
      <c r="A196" s="35"/>
      <c r="B196" s="96" t="str">
        <f>CHOOSE(MATCH(TRUE,$E$195:$E$203,0),B207,B218,B229,E229,B240,E240,B251,E251,B262)&amp;""</f>
        <v>RIIO-2 network innovation allowance  - (SpC 5.2)</v>
      </c>
      <c r="C196" s="37"/>
      <c r="D196" s="37"/>
      <c r="E196" s="316" t="b">
        <f>OR((LEFT('RFPR cover'!$C$8,2)=Data!F196),'RFPR cover'!$C$7=Data!F196)</f>
        <v>1</v>
      </c>
      <c r="F196" s="250" t="str">
        <f>B217</f>
        <v>GD</v>
      </c>
    </row>
    <row r="197" spans="1:13" ht="22.5" customHeight="1">
      <c r="A197" s="35"/>
      <c r="B197" s="96" t="str">
        <f t="shared" ref="B197:B203" si="25">CHOOSE(MATCH(TRUE,$E$195:$E$203,0),B208,B219,B230,E230,B241,E241,B252,E252,B263)&amp;""</f>
        <v>Carry-over Network Innovation Allowance - (SpC 5.3)</v>
      </c>
      <c r="C197" s="37"/>
      <c r="D197" s="37"/>
      <c r="E197" s="316" t="b">
        <f>OR((LEFT('RFPR cover'!$C$8,2)=Data!F197),'RFPR cover'!$C$7=Data!F197)</f>
        <v>0</v>
      </c>
      <c r="F197" s="251" t="str">
        <f>B228</f>
        <v>NGGT (TO)</v>
      </c>
    </row>
    <row r="198" spans="1:13" ht="19.5" customHeight="1">
      <c r="A198" s="35"/>
      <c r="B198" s="96" t="str">
        <f t="shared" si="25"/>
        <v/>
      </c>
      <c r="C198" s="37"/>
      <c r="D198" s="37"/>
      <c r="E198" s="316" t="b">
        <f>OR((LEFT('RFPR cover'!$C$8,2)=Data!F198),'RFPR cover'!$C$7=Data!F198)</f>
        <v>0</v>
      </c>
      <c r="F198" s="251" t="str">
        <f>E228</f>
        <v>NGGT (SO)</v>
      </c>
    </row>
    <row r="199" spans="1:13" ht="19.5" customHeight="1">
      <c r="A199" s="35"/>
      <c r="B199" s="96" t="str">
        <f t="shared" si="25"/>
        <v/>
      </c>
      <c r="C199" s="37"/>
      <c r="D199" s="37"/>
      <c r="E199" s="316" t="b">
        <f>OR((LEFT('RFPR cover'!$C$8,2)=Data!F199),'RFPR cover'!$C$7=Data!F199)</f>
        <v>0</v>
      </c>
      <c r="F199" s="251" t="str">
        <f>B239</f>
        <v>NGGT (TO+SO)</v>
      </c>
      <c r="G199" s="1211"/>
    </row>
    <row r="200" spans="1:13" ht="19.5" customHeight="1">
      <c r="A200" s="35"/>
      <c r="B200" s="96" t="str">
        <f t="shared" si="25"/>
        <v/>
      </c>
      <c r="C200" s="37"/>
      <c r="D200" s="37"/>
      <c r="E200" s="316" t="b">
        <f>OR((LEFT('RFPR cover'!$C$8,2)=Data!F200),'RFPR cover'!$C$7=Data!F200)</f>
        <v>0</v>
      </c>
      <c r="F200" s="251" t="str">
        <f>E239</f>
        <v>NGET (TO)</v>
      </c>
    </row>
    <row r="201" spans="1:13" ht="19.5" customHeight="1">
      <c r="A201" s="35"/>
      <c r="B201" s="96" t="str">
        <f t="shared" si="25"/>
        <v/>
      </c>
      <c r="C201" s="37"/>
      <c r="D201" s="37"/>
      <c r="E201" s="316" t="b">
        <f>OR((LEFT('RFPR cover'!$C$8,2)=Data!F201),'RFPR cover'!$C$7=Data!F201)</f>
        <v>0</v>
      </c>
      <c r="F201" s="251" t="str">
        <f>B250</f>
        <v>ESO</v>
      </c>
    </row>
    <row r="202" spans="1:13" ht="19.5" customHeight="1">
      <c r="A202" s="35"/>
      <c r="B202" s="96" t="str">
        <f t="shared" si="25"/>
        <v/>
      </c>
      <c r="C202" s="37"/>
      <c r="D202" s="37"/>
      <c r="E202" s="316" t="b">
        <f>OR((LEFT('RFPR cover'!$C$8,2)=Data!F202),'RFPR cover'!$C$7=Data!F202)</f>
        <v>0</v>
      </c>
      <c r="F202" s="251" t="str">
        <f>E250</f>
        <v>SPT</v>
      </c>
    </row>
    <row r="203" spans="1:13" ht="19.5" customHeight="1">
      <c r="A203" s="35"/>
      <c r="B203" s="96" t="str">
        <f t="shared" si="25"/>
        <v/>
      </c>
      <c r="C203" s="37"/>
      <c r="D203" s="37"/>
      <c r="E203" s="252" t="b">
        <f>OR((LEFT('RFPR cover'!$C$8,2)=Data!F203),'RFPR cover'!$C$7=Data!F203)</f>
        <v>0</v>
      </c>
      <c r="F203" s="254" t="str">
        <f>B261</f>
        <v>SHET</v>
      </c>
      <c r="G203" s="37"/>
      <c r="H203" s="37"/>
      <c r="I203" s="37"/>
    </row>
    <row r="204" spans="1:13" ht="12.75" customHeight="1">
      <c r="A204" s="35"/>
      <c r="B204" s="37"/>
      <c r="C204" s="37"/>
      <c r="D204" s="37"/>
      <c r="E204" s="11"/>
      <c r="F204" s="95"/>
    </row>
    <row r="205" spans="1:13" ht="12.75" customHeight="1">
      <c r="A205" s="35"/>
      <c r="B205" s="128"/>
      <c r="C205" s="128"/>
      <c r="D205" s="37"/>
      <c r="E205" s="11"/>
      <c r="F205" s="95"/>
    </row>
    <row r="206" spans="1:13" ht="12.75" customHeight="1">
      <c r="A206" s="35"/>
      <c r="B206" s="1351" t="s">
        <v>19</v>
      </c>
      <c r="C206" s="1352"/>
      <c r="D206" s="37"/>
      <c r="E206" s="37"/>
    </row>
    <row r="207" spans="1:13" ht="12.75" customHeight="1">
      <c r="A207" s="35"/>
      <c r="B207" s="1314" t="s">
        <v>122</v>
      </c>
      <c r="C207" s="1315"/>
      <c r="D207" s="37"/>
      <c r="E207" s="37"/>
    </row>
    <row r="208" spans="1:13" ht="12.75" customHeight="1">
      <c r="A208" s="35"/>
      <c r="B208" s="1299" t="s">
        <v>123</v>
      </c>
      <c r="C208" s="1300"/>
      <c r="D208" s="37"/>
      <c r="E208" s="37"/>
    </row>
    <row r="209" spans="1:5" ht="12.75" customHeight="1">
      <c r="A209" s="35"/>
      <c r="B209" s="1299"/>
      <c r="C209" s="1300"/>
      <c r="D209" s="37"/>
      <c r="E209" s="37"/>
    </row>
    <row r="210" spans="1:5" ht="12.75" customHeight="1">
      <c r="A210" s="35"/>
      <c r="B210" s="1299"/>
      <c r="C210" s="1300"/>
      <c r="D210" s="37"/>
      <c r="E210" s="37"/>
    </row>
    <row r="211" spans="1:5" ht="12.75" customHeight="1">
      <c r="A211" s="35"/>
      <c r="B211" s="1299"/>
      <c r="C211" s="1300"/>
      <c r="D211" s="37"/>
      <c r="E211" s="37"/>
    </row>
    <row r="212" spans="1:5" ht="12.75" customHeight="1">
      <c r="A212" s="35"/>
      <c r="B212" s="1299"/>
      <c r="C212" s="1300"/>
      <c r="D212" s="37"/>
      <c r="E212" s="37"/>
    </row>
    <row r="213" spans="1:5">
      <c r="A213" s="35"/>
      <c r="B213" s="1299"/>
      <c r="C213" s="1300"/>
      <c r="D213" s="37"/>
      <c r="E213" s="37"/>
    </row>
    <row r="214" spans="1:5" ht="12.75" customHeight="1">
      <c r="A214" s="35"/>
      <c r="B214" s="1303"/>
      <c r="C214" s="1304"/>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1318" t="s">
        <v>25</v>
      </c>
      <c r="C217" s="1319"/>
      <c r="D217" s="37"/>
      <c r="E217" s="37"/>
    </row>
    <row r="218" spans="1:5" ht="12.75" customHeight="1">
      <c r="A218" s="35"/>
      <c r="B218" s="1314" t="s">
        <v>124</v>
      </c>
      <c r="C218" s="1315"/>
      <c r="E218" s="37"/>
    </row>
    <row r="219" spans="1:5" ht="12.75" customHeight="1">
      <c r="A219" s="35"/>
      <c r="B219" s="1299" t="s">
        <v>125</v>
      </c>
      <c r="C219" s="1300"/>
      <c r="D219" s="37"/>
      <c r="E219" s="37"/>
    </row>
    <row r="220" spans="1:5" ht="12.75" customHeight="1">
      <c r="A220" s="35"/>
      <c r="B220" s="1299"/>
      <c r="C220" s="1300"/>
      <c r="D220" s="37"/>
      <c r="E220" s="37"/>
    </row>
    <row r="221" spans="1:5" ht="12.75" customHeight="1">
      <c r="A221" s="35"/>
      <c r="B221" s="1299"/>
      <c r="C221" s="1300"/>
      <c r="D221" s="37"/>
      <c r="E221" s="37"/>
    </row>
    <row r="222" spans="1:5">
      <c r="A222" s="35"/>
      <c r="B222" s="1299"/>
      <c r="C222" s="1300"/>
      <c r="D222" s="37"/>
      <c r="E222" s="37"/>
    </row>
    <row r="223" spans="1:5">
      <c r="A223" s="35"/>
      <c r="B223" s="1299"/>
      <c r="C223" s="1300"/>
      <c r="D223" s="37"/>
      <c r="E223" s="37"/>
    </row>
    <row r="224" spans="1:5" ht="12.75" customHeight="1">
      <c r="A224" s="35"/>
      <c r="B224" s="1299"/>
      <c r="C224" s="1300"/>
      <c r="D224" s="37"/>
      <c r="E224" s="37"/>
    </row>
    <row r="225" spans="1:9">
      <c r="A225" s="35"/>
      <c r="B225" s="1303"/>
      <c r="C225" s="1304"/>
      <c r="D225" s="37"/>
      <c r="E225" s="37"/>
    </row>
    <row r="226" spans="1:9">
      <c r="A226" s="35"/>
      <c r="B226" s="37"/>
      <c r="C226" s="37"/>
      <c r="D226" s="37"/>
      <c r="E226" s="37"/>
    </row>
    <row r="227" spans="1:9">
      <c r="A227" s="35"/>
      <c r="B227" s="37"/>
      <c r="C227" s="37"/>
      <c r="D227" s="37"/>
      <c r="E227" s="37"/>
    </row>
    <row r="228" spans="1:9">
      <c r="A228" s="35"/>
      <c r="B228" s="180" t="str">
        <f>B85</f>
        <v>NGGT (TO)</v>
      </c>
      <c r="C228" s="156"/>
      <c r="D228" s="37"/>
      <c r="E228" s="1301" t="str">
        <f>B86</f>
        <v>NGGT (SO)</v>
      </c>
      <c r="F228" s="1301"/>
      <c r="G228" s="1301"/>
      <c r="H228" s="1301"/>
      <c r="I228" s="1302"/>
    </row>
    <row r="229" spans="1:9">
      <c r="A229" s="35"/>
      <c r="B229" s="1314" t="s">
        <v>126</v>
      </c>
      <c r="C229" s="1315"/>
      <c r="E229" s="1323"/>
      <c r="F229" s="1324"/>
      <c r="G229" s="1324"/>
      <c r="H229" s="1324"/>
      <c r="I229" s="1325"/>
    </row>
    <row r="230" spans="1:9" ht="25.5" customHeight="1">
      <c r="A230" s="35"/>
      <c r="B230" s="1299" t="s">
        <v>127</v>
      </c>
      <c r="C230" s="1300"/>
      <c r="E230" s="1323"/>
      <c r="F230" s="1324"/>
      <c r="G230" s="1324"/>
      <c r="H230" s="1324"/>
      <c r="I230" s="1325"/>
    </row>
    <row r="231" spans="1:9" ht="13.5" customHeight="1">
      <c r="A231" s="35"/>
      <c r="B231" s="1299" t="s">
        <v>128</v>
      </c>
      <c r="C231" s="1300"/>
      <c r="D231" s="37"/>
      <c r="E231" s="1323"/>
      <c r="F231" s="1324"/>
      <c r="G231" s="1324"/>
      <c r="H231" s="1324"/>
      <c r="I231" s="1325"/>
    </row>
    <row r="232" spans="1:9" ht="13.5" customHeight="1">
      <c r="A232" s="35"/>
      <c r="B232" s="1299"/>
      <c r="C232" s="1300"/>
      <c r="D232" s="37"/>
      <c r="E232" s="1305" t="s">
        <v>129</v>
      </c>
      <c r="F232" s="1306"/>
      <c r="G232" s="1306"/>
      <c r="H232" s="1306"/>
      <c r="I232" s="1307"/>
    </row>
    <row r="233" spans="1:9" ht="13.5" customHeight="1">
      <c r="A233" s="35"/>
      <c r="B233" s="181"/>
      <c r="C233" s="157"/>
      <c r="D233" s="37"/>
      <c r="E233" s="1305" t="s">
        <v>130</v>
      </c>
      <c r="F233" s="1306"/>
      <c r="G233" s="1306"/>
      <c r="H233" s="1306"/>
      <c r="I233" s="1307"/>
    </row>
    <row r="234" spans="1:9" ht="13.5" customHeight="1">
      <c r="A234" s="35"/>
      <c r="B234" s="1299"/>
      <c r="C234" s="1300"/>
      <c r="D234" s="37"/>
      <c r="E234" s="1305" t="s">
        <v>131</v>
      </c>
      <c r="F234" s="1306"/>
      <c r="G234" s="1306"/>
      <c r="H234" s="1306"/>
      <c r="I234" s="1307"/>
    </row>
    <row r="235" spans="1:9" ht="13.5" customHeight="1">
      <c r="A235" s="35"/>
      <c r="B235" s="1299"/>
      <c r="C235" s="1300"/>
      <c r="D235" s="37"/>
      <c r="E235" s="1308" t="s">
        <v>132</v>
      </c>
      <c r="F235" s="1309"/>
      <c r="G235" s="1309"/>
      <c r="H235" s="1309"/>
      <c r="I235" s="1310"/>
    </row>
    <row r="236" spans="1:9" ht="12.75" customHeight="1">
      <c r="A236" s="35"/>
      <c r="B236" s="1303"/>
      <c r="C236" s="1304"/>
      <c r="D236" s="37"/>
      <c r="E236" s="1311" t="s">
        <v>133</v>
      </c>
      <c r="F236" s="1312"/>
      <c r="G236" s="1312"/>
      <c r="H236" s="1312"/>
      <c r="I236" s="1313"/>
    </row>
    <row r="237" spans="1:9">
      <c r="A237" s="35"/>
      <c r="B237" s="37"/>
      <c r="C237" s="37"/>
      <c r="D237" s="37"/>
      <c r="E237" s="37"/>
    </row>
    <row r="238" spans="1:9" ht="12.75" customHeight="1">
      <c r="A238" s="35"/>
      <c r="B238" s="37"/>
      <c r="C238" s="37"/>
      <c r="D238" s="37"/>
      <c r="E238" s="37"/>
    </row>
    <row r="239" spans="1:9">
      <c r="A239" s="35"/>
      <c r="B239" s="1301" t="s">
        <v>90</v>
      </c>
      <c r="C239" s="1302"/>
      <c r="D239" s="1231"/>
      <c r="E239" s="1301" t="s">
        <v>91</v>
      </c>
      <c r="F239" s="1301"/>
      <c r="G239" s="1301"/>
      <c r="H239" s="1301"/>
      <c r="I239" s="1302"/>
    </row>
    <row r="240" spans="1:9" ht="12.75" customHeight="1">
      <c r="A240" s="35"/>
      <c r="B240" s="1314" t="s">
        <v>126</v>
      </c>
      <c r="C240" s="1315"/>
      <c r="D240" s="1211"/>
      <c r="E240" s="1314" t="s">
        <v>126</v>
      </c>
      <c r="F240" s="1314"/>
      <c r="G240" s="1314"/>
      <c r="H240" s="1314"/>
      <c r="I240" s="1315"/>
    </row>
    <row r="241" spans="1:9" ht="12.75" customHeight="1">
      <c r="A241" s="35"/>
      <c r="B241" s="1299" t="s">
        <v>127</v>
      </c>
      <c r="C241" s="1300"/>
      <c r="D241" s="1211"/>
      <c r="E241" s="1299" t="s">
        <v>134</v>
      </c>
      <c r="F241" s="1299"/>
      <c r="G241" s="1299"/>
      <c r="H241" s="1299"/>
      <c r="I241" s="1300"/>
    </row>
    <row r="242" spans="1:9" ht="12.75" customHeight="1">
      <c r="A242" s="35"/>
      <c r="B242" s="1299" t="s">
        <v>128</v>
      </c>
      <c r="C242" s="1300"/>
      <c r="D242" s="1211"/>
      <c r="E242" s="1299"/>
      <c r="F242" s="1299"/>
      <c r="G242" s="1299"/>
      <c r="H242" s="1299"/>
      <c r="I242" s="1300"/>
    </row>
    <row r="243" spans="1:9" ht="24" customHeight="1">
      <c r="A243" s="35"/>
      <c r="B243" s="1299" t="s">
        <v>135</v>
      </c>
      <c r="C243" s="1300"/>
      <c r="D243" s="1211"/>
      <c r="E243" s="1299"/>
      <c r="F243" s="1299"/>
      <c r="G243" s="1299"/>
      <c r="H243" s="1299"/>
      <c r="I243" s="1300"/>
    </row>
    <row r="244" spans="1:9">
      <c r="A244" s="35"/>
      <c r="B244" s="1299" t="s">
        <v>130</v>
      </c>
      <c r="C244" s="1300"/>
      <c r="D244" s="1211"/>
      <c r="E244" s="1299"/>
      <c r="F244" s="1299"/>
      <c r="G244" s="1299"/>
      <c r="H244" s="1299"/>
      <c r="I244" s="1300"/>
    </row>
    <row r="245" spans="1:9">
      <c r="A245" s="35"/>
      <c r="B245" s="1299" t="s">
        <v>131</v>
      </c>
      <c r="C245" s="1300"/>
      <c r="D245" s="1211"/>
      <c r="E245" s="1299"/>
      <c r="F245" s="1299"/>
      <c r="G245" s="1299"/>
      <c r="H245" s="1299"/>
      <c r="I245" s="1300"/>
    </row>
    <row r="246" spans="1:9" ht="12.75" customHeight="1">
      <c r="A246" s="35"/>
      <c r="B246" s="1299" t="s">
        <v>136</v>
      </c>
      <c r="C246" s="1300"/>
      <c r="D246" s="1211"/>
      <c r="E246" s="1299"/>
      <c r="F246" s="1299"/>
      <c r="G246" s="1299"/>
      <c r="H246" s="1299"/>
      <c r="I246" s="1300"/>
    </row>
    <row r="247" spans="1:9" ht="12.75" customHeight="1">
      <c r="A247" s="35"/>
      <c r="B247" s="1303" t="s">
        <v>133</v>
      </c>
      <c r="C247" s="1304"/>
      <c r="D247" s="1231"/>
      <c r="E247" s="1303"/>
      <c r="F247" s="1303"/>
      <c r="G247" s="1303"/>
      <c r="H247" s="1303"/>
      <c r="I247" s="1304"/>
    </row>
    <row r="248" spans="1:9" ht="12.75" customHeight="1">
      <c r="A248" s="35"/>
      <c r="B248" s="35"/>
      <c r="C248" s="35"/>
      <c r="D248" s="37"/>
      <c r="E248" s="91"/>
      <c r="F248" s="91"/>
      <c r="G248" s="91"/>
      <c r="H248" s="91"/>
      <c r="I248" s="91"/>
    </row>
    <row r="249" spans="1:9" ht="12.75" customHeight="1">
      <c r="A249" s="35"/>
      <c r="B249" s="35"/>
      <c r="C249" s="35"/>
      <c r="D249" s="37"/>
      <c r="E249" s="91"/>
      <c r="F249" s="91"/>
      <c r="G249" s="91"/>
      <c r="H249" s="91"/>
      <c r="I249" s="91"/>
    </row>
    <row r="250" spans="1:9" ht="12.75" customHeight="1">
      <c r="A250" s="35"/>
      <c r="B250" s="1301" t="s">
        <v>29</v>
      </c>
      <c r="C250" s="1302"/>
      <c r="D250" s="37"/>
      <c r="E250" s="1301" t="s">
        <v>92</v>
      </c>
      <c r="F250" s="1301"/>
      <c r="G250" s="1301"/>
      <c r="H250" s="1301"/>
      <c r="I250" s="1302"/>
    </row>
    <row r="251" spans="1:9" ht="12.75" customHeight="1">
      <c r="A251" s="35"/>
      <c r="B251" s="1314" t="s">
        <v>137</v>
      </c>
      <c r="C251" s="1315"/>
      <c r="E251" s="1314" t="s">
        <v>138</v>
      </c>
      <c r="F251" s="1314"/>
      <c r="G251" s="1314"/>
      <c r="H251" s="1314"/>
      <c r="I251" s="1315"/>
    </row>
    <row r="252" spans="1:9" ht="25.5" customHeight="1">
      <c r="A252" s="35"/>
      <c r="B252" s="1299" t="s">
        <v>139</v>
      </c>
      <c r="C252" s="1300"/>
      <c r="E252" s="1299" t="s">
        <v>125</v>
      </c>
      <c r="F252" s="1299"/>
      <c r="G252" s="1299"/>
      <c r="H252" s="1299"/>
      <c r="I252" s="1300"/>
    </row>
    <row r="253" spans="1:9" ht="25.5" customHeight="1">
      <c r="A253" s="35"/>
      <c r="B253" s="1299"/>
      <c r="C253" s="1300"/>
      <c r="E253" s="1299"/>
      <c r="F253" s="1299"/>
      <c r="G253" s="1299"/>
      <c r="H253" s="1299"/>
      <c r="I253" s="1300"/>
    </row>
    <row r="254" spans="1:9" ht="25.5" customHeight="1">
      <c r="A254" s="35"/>
      <c r="B254" s="1299"/>
      <c r="C254" s="1300"/>
      <c r="E254" s="1299"/>
      <c r="F254" s="1299"/>
      <c r="G254" s="1299"/>
      <c r="H254" s="1299"/>
      <c r="I254" s="1300"/>
    </row>
    <row r="255" spans="1:9" ht="25.5" customHeight="1">
      <c r="A255" s="35"/>
      <c r="B255" s="1299"/>
      <c r="C255" s="1300"/>
      <c r="E255" s="1299"/>
      <c r="F255" s="1299"/>
      <c r="G255" s="1299"/>
      <c r="H255" s="1299"/>
      <c r="I255" s="1300"/>
    </row>
    <row r="256" spans="1:9" ht="25.5" customHeight="1">
      <c r="A256" s="35"/>
      <c r="B256" s="1299"/>
      <c r="C256" s="1300"/>
      <c r="E256" s="1299"/>
      <c r="F256" s="1299"/>
      <c r="G256" s="1299"/>
      <c r="H256" s="1299"/>
      <c r="I256" s="1300"/>
    </row>
    <row r="257" spans="1:9">
      <c r="A257" s="35"/>
      <c r="B257" s="1299"/>
      <c r="C257" s="1300"/>
      <c r="E257" s="1299"/>
      <c r="F257" s="1299"/>
      <c r="G257" s="1299"/>
      <c r="H257" s="1299"/>
      <c r="I257" s="1300"/>
    </row>
    <row r="258" spans="1:9">
      <c r="A258" s="35"/>
      <c r="B258" s="1303"/>
      <c r="C258" s="1304"/>
      <c r="D258" s="37"/>
      <c r="E258" s="1303"/>
      <c r="F258" s="1303"/>
      <c r="G258" s="1303"/>
      <c r="H258" s="1303"/>
      <c r="I258" s="1304"/>
    </row>
    <row r="259" spans="1:9">
      <c r="A259" s="35"/>
      <c r="D259" s="37"/>
      <c r="E259" s="37"/>
    </row>
    <row r="260" spans="1:9">
      <c r="A260" s="35"/>
      <c r="D260" s="37"/>
      <c r="E260" s="37"/>
    </row>
    <row r="261" spans="1:9">
      <c r="A261" s="35"/>
      <c r="B261" s="1301" t="s">
        <v>54</v>
      </c>
      <c r="C261" s="1302"/>
      <c r="D261" s="37"/>
      <c r="E261" s="37"/>
    </row>
    <row r="262" spans="1:9">
      <c r="A262" s="35"/>
      <c r="B262" s="1299" t="s">
        <v>138</v>
      </c>
      <c r="C262" s="1300"/>
      <c r="D262" s="1326"/>
      <c r="E262" s="1326"/>
    </row>
    <row r="263" spans="1:9">
      <c r="A263" s="35"/>
      <c r="B263" s="1299" t="s">
        <v>125</v>
      </c>
      <c r="C263" s="1300"/>
      <c r="D263" s="1326"/>
      <c r="E263" s="1326"/>
    </row>
    <row r="264" spans="1:9">
      <c r="A264" s="35"/>
      <c r="B264" s="1299"/>
      <c r="C264" s="1300"/>
      <c r="D264" s="37"/>
      <c r="E264" s="37"/>
    </row>
    <row r="265" spans="1:9">
      <c r="A265" s="35"/>
      <c r="B265" s="1299"/>
      <c r="C265" s="1300"/>
      <c r="D265" s="37"/>
      <c r="E265" s="37"/>
    </row>
    <row r="266" spans="1:9">
      <c r="A266" s="35"/>
      <c r="B266" s="1299"/>
      <c r="C266" s="1300"/>
      <c r="D266" s="37"/>
      <c r="E266" s="37"/>
    </row>
    <row r="267" spans="1:9">
      <c r="A267" s="35"/>
      <c r="B267" s="1299"/>
      <c r="C267" s="1300"/>
      <c r="D267" s="37"/>
      <c r="E267" s="37"/>
    </row>
    <row r="268" spans="1:9">
      <c r="A268" s="35"/>
      <c r="B268" s="1299"/>
      <c r="C268" s="1300"/>
      <c r="D268" s="37"/>
      <c r="E268" s="37"/>
    </row>
    <row r="269" spans="1:9">
      <c r="A269" s="35"/>
      <c r="B269" s="1303"/>
      <c r="C269" s="1304"/>
      <c r="D269" s="37"/>
      <c r="E269" s="37"/>
    </row>
    <row r="270" spans="1:9">
      <c r="A270" s="35"/>
      <c r="D270" s="37"/>
      <c r="E270" s="37"/>
    </row>
    <row r="271" spans="1:9">
      <c r="A271" s="35"/>
      <c r="D271" s="37"/>
      <c r="E271" s="37"/>
    </row>
    <row r="272" spans="1:9">
      <c r="A272" s="35"/>
      <c r="D272" s="37"/>
      <c r="E272" s="37"/>
    </row>
    <row r="273" spans="2:36">
      <c r="B273" s="66" t="s">
        <v>140</v>
      </c>
      <c r="C273" s="67"/>
      <c r="D273" s="67"/>
      <c r="E273" s="67"/>
      <c r="F273" s="65"/>
      <c r="G273" s="65"/>
      <c r="H273" s="65"/>
      <c r="I273" s="65"/>
      <c r="J273" s="65"/>
      <c r="K273" s="65"/>
      <c r="L273" s="65"/>
      <c r="M273" s="65"/>
      <c r="N273" s="65"/>
    </row>
    <row r="275" spans="2:36" ht="108">
      <c r="B275" s="279" t="s">
        <v>141</v>
      </c>
      <c r="C275" s="279" t="s">
        <v>142</v>
      </c>
      <c r="D275" s="279" t="s">
        <v>143</v>
      </c>
      <c r="E275" s="280" t="s">
        <v>144</v>
      </c>
      <c r="F275" s="280" t="s">
        <v>145</v>
      </c>
      <c r="G275" s="280" t="s">
        <v>146</v>
      </c>
      <c r="H275" s="280" t="s">
        <v>147</v>
      </c>
      <c r="I275" s="279" t="s">
        <v>148</v>
      </c>
      <c r="J275" s="279" t="s">
        <v>149</v>
      </c>
      <c r="K275" s="281" t="s">
        <v>150</v>
      </c>
      <c r="L275" s="281" t="s">
        <v>151</v>
      </c>
      <c r="M275" s="281" t="s">
        <v>152</v>
      </c>
      <c r="N275" s="281" t="s">
        <v>153</v>
      </c>
      <c r="O275" s="281" t="s">
        <v>154</v>
      </c>
      <c r="P275" s="281" t="s">
        <v>155</v>
      </c>
      <c r="Q275" s="281" t="s">
        <v>156</v>
      </c>
      <c r="R275" s="281" t="s">
        <v>157</v>
      </c>
      <c r="S275" s="281" t="s">
        <v>158</v>
      </c>
      <c r="T275" s="279" t="s">
        <v>159</v>
      </c>
      <c r="U275" s="279" t="s">
        <v>160</v>
      </c>
      <c r="V275" s="279" t="s">
        <v>161</v>
      </c>
      <c r="W275" s="279" t="s">
        <v>162</v>
      </c>
      <c r="X275" s="282" t="s">
        <v>163</v>
      </c>
      <c r="Y275" s="279" t="s">
        <v>164</v>
      </c>
      <c r="Z275" s="279" t="s">
        <v>165</v>
      </c>
      <c r="AA275" s="279" t="s">
        <v>166</v>
      </c>
      <c r="AB275" s="279" t="s">
        <v>167</v>
      </c>
      <c r="AC275" s="279" t="s">
        <v>168</v>
      </c>
      <c r="AD275" s="279" t="s">
        <v>169</v>
      </c>
      <c r="AE275" s="279" t="s">
        <v>170</v>
      </c>
      <c r="AF275" s="279" t="s">
        <v>171</v>
      </c>
      <c r="AG275" s="279" t="s">
        <v>172</v>
      </c>
      <c r="AH275" s="279" t="s">
        <v>173</v>
      </c>
      <c r="AI275" s="279" t="s">
        <v>174</v>
      </c>
      <c r="AJ275" s="283" t="s">
        <v>175</v>
      </c>
    </row>
    <row r="276" spans="2:36">
      <c r="B276" s="268" t="s">
        <v>19</v>
      </c>
      <c r="C276" t="s">
        <v>84</v>
      </c>
      <c r="D276" t="s">
        <v>176</v>
      </c>
      <c r="E276" t="s">
        <v>177</v>
      </c>
      <c r="F276" t="s">
        <v>178</v>
      </c>
      <c r="G276" t="s">
        <v>179</v>
      </c>
      <c r="H276" t="s">
        <v>180</v>
      </c>
      <c r="O276" t="s">
        <v>181</v>
      </c>
      <c r="Y276" t="s">
        <v>182</v>
      </c>
      <c r="Z276" t="s">
        <v>183</v>
      </c>
      <c r="AA276">
        <v>1</v>
      </c>
      <c r="AI276" t="s">
        <v>184</v>
      </c>
      <c r="AJ276" s="134" t="s">
        <v>184</v>
      </c>
    </row>
    <row r="277" spans="2:36">
      <c r="B277" s="268" t="s">
        <v>22</v>
      </c>
      <c r="C277" t="s">
        <v>185</v>
      </c>
      <c r="D277" t="s">
        <v>186</v>
      </c>
      <c r="E277" t="s">
        <v>187</v>
      </c>
      <c r="F277" t="s">
        <v>188</v>
      </c>
      <c r="G277" t="s">
        <v>189</v>
      </c>
      <c r="H277" t="s">
        <v>190</v>
      </c>
      <c r="O277" t="s">
        <v>191</v>
      </c>
      <c r="Y277" t="s">
        <v>192</v>
      </c>
      <c r="Z277" t="s">
        <v>193</v>
      </c>
      <c r="AA277">
        <v>2</v>
      </c>
      <c r="AI277" t="s">
        <v>194</v>
      </c>
      <c r="AJ277" s="134" t="s">
        <v>194</v>
      </c>
    </row>
    <row r="278" spans="2:36">
      <c r="B278" s="268" t="s">
        <v>25</v>
      </c>
      <c r="C278" t="s">
        <v>195</v>
      </c>
      <c r="D278" t="s">
        <v>196</v>
      </c>
      <c r="E278" t="s">
        <v>197</v>
      </c>
      <c r="F278" t="s">
        <v>198</v>
      </c>
      <c r="G278" t="s">
        <v>199</v>
      </c>
      <c r="O278" t="s">
        <v>200</v>
      </c>
      <c r="Y278" t="s">
        <v>201</v>
      </c>
      <c r="Z278" t="s">
        <v>202</v>
      </c>
      <c r="AA278">
        <v>3</v>
      </c>
      <c r="AI278" t="s">
        <v>203</v>
      </c>
      <c r="AJ278" s="134" t="s">
        <v>203</v>
      </c>
    </row>
    <row r="279" spans="2:36">
      <c r="B279" s="268" t="s">
        <v>27</v>
      </c>
      <c r="C279" t="s">
        <v>204</v>
      </c>
      <c r="D279" t="s">
        <v>205</v>
      </c>
      <c r="E279" t="s">
        <v>206</v>
      </c>
      <c r="G279" t="s">
        <v>207</v>
      </c>
      <c r="O279" t="s">
        <v>208</v>
      </c>
      <c r="Y279" t="s">
        <v>209</v>
      </c>
      <c r="Z279" t="s">
        <v>203</v>
      </c>
      <c r="AA279">
        <v>4</v>
      </c>
      <c r="AJ279" s="134"/>
    </row>
    <row r="280" spans="2:36">
      <c r="B280" s="268" t="s">
        <v>29</v>
      </c>
      <c r="C280" t="s">
        <v>87</v>
      </c>
      <c r="D280" t="s">
        <v>210</v>
      </c>
      <c r="E280" t="s">
        <v>211</v>
      </c>
      <c r="G280" t="s">
        <v>212</v>
      </c>
      <c r="O280" t="s">
        <v>213</v>
      </c>
      <c r="Y280" t="s">
        <v>214</v>
      </c>
      <c r="AA280">
        <v>5</v>
      </c>
      <c r="AJ280" s="134"/>
    </row>
    <row r="281" spans="2:36">
      <c r="B281" s="268"/>
      <c r="C281" t="s">
        <v>54</v>
      </c>
      <c r="D281" t="s">
        <v>215</v>
      </c>
      <c r="E281" t="s">
        <v>216</v>
      </c>
      <c r="O281" t="s">
        <v>217</v>
      </c>
      <c r="Y281" s="278" t="s">
        <v>218</v>
      </c>
      <c r="AA281">
        <v>6</v>
      </c>
      <c r="AJ281" s="134"/>
    </row>
    <row r="282" spans="2:36">
      <c r="B282" s="268"/>
      <c r="C282" t="s">
        <v>92</v>
      </c>
      <c r="D282" t="s">
        <v>219</v>
      </c>
      <c r="O282" t="s">
        <v>220</v>
      </c>
      <c r="Y282" t="s">
        <v>203</v>
      </c>
      <c r="AA282">
        <v>7</v>
      </c>
      <c r="AJ282" s="134"/>
    </row>
    <row r="283" spans="2:36">
      <c r="B283" s="268"/>
      <c r="C283" t="s">
        <v>221</v>
      </c>
      <c r="D283" t="s">
        <v>222</v>
      </c>
      <c r="O283" t="s">
        <v>223</v>
      </c>
      <c r="AA283">
        <v>8</v>
      </c>
      <c r="AJ283" s="134"/>
    </row>
    <row r="284" spans="2:36">
      <c r="B284" s="268"/>
      <c r="C284" t="s">
        <v>224</v>
      </c>
      <c r="D284" t="s">
        <v>225</v>
      </c>
      <c r="AA284">
        <v>9</v>
      </c>
      <c r="AJ284" s="134"/>
    </row>
    <row r="285" spans="2:36">
      <c r="B285" s="268"/>
      <c r="C285" t="s">
        <v>29</v>
      </c>
      <c r="D285" t="s">
        <v>226</v>
      </c>
      <c r="AA285">
        <v>10</v>
      </c>
      <c r="AJ285" s="134"/>
    </row>
    <row r="286" spans="2:36">
      <c r="B286" s="268"/>
      <c r="C286" t="s">
        <v>70</v>
      </c>
      <c r="D286" t="s">
        <v>216</v>
      </c>
      <c r="AA286">
        <v>11</v>
      </c>
      <c r="AJ286" s="134"/>
    </row>
    <row r="287" spans="2:36">
      <c r="B287" s="268"/>
      <c r="C287" t="s">
        <v>71</v>
      </c>
      <c r="AA287">
        <v>12</v>
      </c>
      <c r="AJ287" s="134"/>
    </row>
    <row r="288" spans="2:36">
      <c r="B288" s="268"/>
      <c r="C288" t="s">
        <v>72</v>
      </c>
      <c r="AA288" t="s">
        <v>203</v>
      </c>
      <c r="AJ288" s="134"/>
    </row>
    <row r="289" spans="2:36">
      <c r="B289" s="268"/>
      <c r="C289" t="s">
        <v>75</v>
      </c>
      <c r="AJ289" s="134"/>
    </row>
    <row r="290" spans="2:36">
      <c r="B290" s="268"/>
      <c r="C290" t="s">
        <v>76</v>
      </c>
      <c r="AJ290" s="134"/>
    </row>
    <row r="291" spans="2:36">
      <c r="B291" s="268"/>
      <c r="C291" t="s">
        <v>77</v>
      </c>
      <c r="AJ291" s="134"/>
    </row>
    <row r="292" spans="2:36">
      <c r="B292" s="268"/>
      <c r="C292" t="s">
        <v>50</v>
      </c>
      <c r="AJ292" s="134"/>
    </row>
    <row r="293" spans="2:36">
      <c r="B293" s="268"/>
      <c r="C293" t="s">
        <v>227</v>
      </c>
      <c r="AJ293" s="134"/>
    </row>
    <row r="294" spans="2:36">
      <c r="B294" s="268"/>
      <c r="C294" t="s">
        <v>228</v>
      </c>
      <c r="AJ294" s="134"/>
    </row>
    <row r="295" spans="2:36">
      <c r="B295" s="268"/>
      <c r="C295" t="s">
        <v>229</v>
      </c>
      <c r="AJ295" s="134"/>
    </row>
    <row r="296" spans="2:36">
      <c r="B296" s="268"/>
      <c r="C296" t="s">
        <v>230</v>
      </c>
      <c r="AJ296" s="134"/>
    </row>
    <row r="297" spans="2:36">
      <c r="B297" s="268"/>
      <c r="C297" t="s">
        <v>231</v>
      </c>
      <c r="AJ297" s="134"/>
    </row>
    <row r="298" spans="2:36">
      <c r="B298" s="268"/>
      <c r="C298" t="s">
        <v>232</v>
      </c>
      <c r="AJ298" s="134"/>
    </row>
    <row r="299" spans="2:36">
      <c r="B299" s="268"/>
      <c r="C299" t="s">
        <v>233</v>
      </c>
      <c r="AJ299" s="134"/>
    </row>
    <row r="300" spans="2:36">
      <c r="B300" s="268"/>
      <c r="C300" t="s">
        <v>234</v>
      </c>
      <c r="AJ300" s="134"/>
    </row>
    <row r="301" spans="2:36">
      <c r="B301" s="268"/>
      <c r="AJ301" s="134"/>
    </row>
    <row r="302" spans="2:36">
      <c r="B302" s="268"/>
      <c r="AJ302" s="134"/>
    </row>
    <row r="303" spans="2:36">
      <c r="B303" s="268"/>
      <c r="AJ303" s="134"/>
    </row>
    <row r="304" spans="2:36">
      <c r="B304" s="268"/>
      <c r="AJ304" s="134"/>
    </row>
    <row r="305" spans="1:36">
      <c r="B305" s="268"/>
      <c r="AJ305" s="134"/>
    </row>
    <row r="306" spans="1:36">
      <c r="B306" s="269"/>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c r="AA306" s="165"/>
      <c r="AB306" s="165"/>
      <c r="AC306" s="165"/>
      <c r="AD306" s="165"/>
      <c r="AE306" s="165"/>
      <c r="AF306" s="165"/>
      <c r="AG306" s="165"/>
      <c r="AH306" s="165"/>
      <c r="AI306" s="165"/>
      <c r="AJ306" s="270"/>
    </row>
    <row r="307" spans="1:36">
      <c r="B307" s="271" t="s">
        <v>235</v>
      </c>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c r="AA307" s="271"/>
      <c r="AB307" s="271"/>
      <c r="AC307" s="271"/>
      <c r="AD307" s="271"/>
      <c r="AE307" s="271"/>
      <c r="AF307" s="271"/>
      <c r="AG307" s="271"/>
      <c r="AH307" s="271"/>
      <c r="AI307" s="271"/>
      <c r="AJ307" s="271"/>
    </row>
    <row r="310" spans="1:36">
      <c r="A310" s="35"/>
      <c r="B310" s="66" t="s">
        <v>236</v>
      </c>
      <c r="C310" s="67"/>
      <c r="D310" s="67"/>
      <c r="E310" s="67"/>
      <c r="F310" s="65"/>
      <c r="G310" s="65"/>
      <c r="H310" s="65"/>
      <c r="I310" s="65"/>
      <c r="J310" s="65"/>
      <c r="K310" s="65"/>
      <c r="L310" s="65"/>
      <c r="M310" s="65"/>
      <c r="N310" s="65"/>
      <c r="O310" s="65"/>
      <c r="P310" s="65"/>
      <c r="Q310" s="65"/>
      <c r="R310" s="65"/>
      <c r="S310" s="65"/>
    </row>
    <row r="311" spans="1:36">
      <c r="B311" s="92"/>
      <c r="C311" s="93"/>
      <c r="D311" s="93"/>
      <c r="E311" s="93"/>
      <c r="F311" s="94"/>
      <c r="G311" s="94"/>
      <c r="H311" s="94"/>
      <c r="I311" s="94"/>
      <c r="J311" s="94"/>
      <c r="K311" s="94"/>
      <c r="L311" s="307"/>
      <c r="M311" s="94"/>
      <c r="N311" s="94"/>
    </row>
    <row r="312" spans="1:36">
      <c r="A312" s="89" t="s">
        <v>237</v>
      </c>
      <c r="B312" s="89" t="s">
        <v>238</v>
      </c>
      <c r="C312" s="37"/>
      <c r="D312" s="37"/>
      <c r="E312" s="37"/>
      <c r="K312" s="89" t="s">
        <v>239</v>
      </c>
      <c r="L312" s="89" t="s">
        <v>240</v>
      </c>
      <c r="M312" s="94"/>
      <c r="N312" s="94"/>
    </row>
    <row r="313" spans="1:36">
      <c r="B313" s="308"/>
      <c r="C313" s="93"/>
      <c r="D313" s="93"/>
      <c r="E313" s="93"/>
      <c r="F313" s="94"/>
      <c r="G313" s="94"/>
      <c r="H313" s="94"/>
      <c r="I313" s="94"/>
      <c r="J313" s="94"/>
      <c r="K313" s="94"/>
      <c r="L313" s="308"/>
      <c r="M313" s="94"/>
      <c r="N313" s="94"/>
    </row>
    <row r="314" spans="1:36">
      <c r="A314" s="48" t="s">
        <v>6</v>
      </c>
      <c r="B314" s="301" t="s">
        <v>3</v>
      </c>
      <c r="C314" s="149">
        <v>2022</v>
      </c>
      <c r="D314" s="150">
        <f>C314+1</f>
        <v>2023</v>
      </c>
      <c r="E314" s="150">
        <f>D314+1</f>
        <v>2024</v>
      </c>
      <c r="F314" s="150">
        <f t="shared" ref="F314" si="26">E314+1</f>
        <v>2025</v>
      </c>
      <c r="G314" s="150">
        <f t="shared" ref="G314" si="27">F314+1</f>
        <v>2026</v>
      </c>
      <c r="H314" s="150">
        <f t="shared" ref="H314" si="28">G314+1</f>
        <v>2027</v>
      </c>
      <c r="I314" s="150">
        <f t="shared" ref="I314" si="29">H314+1</f>
        <v>2028</v>
      </c>
      <c r="K314" s="48" t="s">
        <v>6</v>
      </c>
      <c r="L314" s="301" t="s">
        <v>3</v>
      </c>
      <c r="M314" s="149">
        <v>2022</v>
      </c>
      <c r="N314" s="150">
        <f t="shared" ref="N314" si="30">M314+1</f>
        <v>2023</v>
      </c>
      <c r="O314" s="150">
        <f t="shared" ref="O314" si="31">N314+1</f>
        <v>2024</v>
      </c>
      <c r="P314" s="150">
        <f t="shared" ref="P314" si="32">O314+1</f>
        <v>2025</v>
      </c>
      <c r="Q314" s="150">
        <f t="shared" ref="Q314" si="33">P314+1</f>
        <v>2026</v>
      </c>
      <c r="R314" s="150">
        <f t="shared" ref="R314" si="34">Q314+1</f>
        <v>2027</v>
      </c>
      <c r="S314" s="150">
        <f t="shared" ref="S314" si="35">R314+1</f>
        <v>2028</v>
      </c>
    </row>
    <row r="315" spans="1:36">
      <c r="A315" s="12" t="s">
        <v>19</v>
      </c>
      <c r="B315" s="300" t="s">
        <v>70</v>
      </c>
      <c r="C315" s="303"/>
      <c r="D315" s="303"/>
      <c r="E315" s="305">
        <v>1.4366690915062783</v>
      </c>
      <c r="F315" s="305">
        <v>1.3797759532786635</v>
      </c>
      <c r="G315" s="305">
        <v>1.2994160329983981</v>
      </c>
      <c r="H315" s="305">
        <v>1.2615281568238033</v>
      </c>
      <c r="I315" s="305">
        <v>1.2611798067947679</v>
      </c>
      <c r="J315" t="b">
        <f>B315=L315</f>
        <v>1</v>
      </c>
      <c r="K315" s="12" t="s">
        <v>19</v>
      </c>
      <c r="L315" s="300" t="s">
        <v>70</v>
      </c>
      <c r="M315" s="303"/>
      <c r="N315" s="303"/>
      <c r="O315" s="443">
        <f t="shared" ref="O315:O328" si="36">((E315*H$34)/H$13)*(1-H$13)</f>
        <v>5.3677487655720171</v>
      </c>
      <c r="P315" s="443">
        <f t="shared" ref="P315:P328" si="37">((F315*I$34)/I$13)*(1-I$13)</f>
        <v>5.2741262756423222</v>
      </c>
      <c r="Q315" s="443">
        <f t="shared" ref="Q315:Q328" si="38">((G315*J$34)/J$13)*(1-J$13)</f>
        <v>5.0433239534325187</v>
      </c>
      <c r="R315" s="443">
        <f t="shared" ref="R315:R328" si="39">((H315*K$34)/K$13)*(1-K$13)</f>
        <v>4.9941980934999313</v>
      </c>
      <c r="S315" s="443">
        <f t="shared" ref="S315:S328" si="40">((I315*L$34)/L$13)*(1-L$13)</f>
        <v>5.0926754092936628</v>
      </c>
    </row>
    <row r="316" spans="1:36">
      <c r="A316" s="12" t="s">
        <v>19</v>
      </c>
      <c r="B316" s="300" t="s">
        <v>71</v>
      </c>
      <c r="C316" s="303"/>
      <c r="D316" s="303"/>
      <c r="E316" s="305">
        <v>1.368578491828039</v>
      </c>
      <c r="F316" s="305">
        <v>1.4008338175049104</v>
      </c>
      <c r="G316" s="305">
        <v>1.2944169556388054</v>
      </c>
      <c r="H316" s="305">
        <v>1.1615288221705597</v>
      </c>
      <c r="I316" s="305">
        <v>1.0171476978779488</v>
      </c>
      <c r="J316" t="b">
        <f t="shared" ref="J316:J343" si="41">B316=L316</f>
        <v>1</v>
      </c>
      <c r="K316" s="12" t="s">
        <v>19</v>
      </c>
      <c r="L316" s="300" t="s">
        <v>71</v>
      </c>
      <c r="M316" s="303"/>
      <c r="N316" s="303"/>
      <c r="O316" s="443">
        <f t="shared" si="36"/>
        <v>5.1133455529388812</v>
      </c>
      <c r="P316" s="443">
        <f t="shared" si="37"/>
        <v>5.3546189344400421</v>
      </c>
      <c r="Q316" s="443">
        <f t="shared" si="38"/>
        <v>5.0239214172528479</v>
      </c>
      <c r="R316" s="443">
        <f t="shared" si="39"/>
        <v>4.5983159375804865</v>
      </c>
      <c r="S316" s="443">
        <f t="shared" si="40"/>
        <v>4.1072676875214453</v>
      </c>
    </row>
    <row r="317" spans="1:36">
      <c r="A317" s="12" t="s">
        <v>19</v>
      </c>
      <c r="B317" s="300" t="s">
        <v>72</v>
      </c>
      <c r="C317" s="303"/>
      <c r="D317" s="303"/>
      <c r="E317" s="305">
        <v>1.8517886877112844</v>
      </c>
      <c r="F317" s="305">
        <v>1.8549995484009258</v>
      </c>
      <c r="G317" s="305">
        <v>1.5955311955633462</v>
      </c>
      <c r="H317" s="305">
        <v>1.4243694121247401</v>
      </c>
      <c r="I317" s="305">
        <v>1.2090605175362352</v>
      </c>
      <c r="J317" t="b">
        <f t="shared" si="41"/>
        <v>1</v>
      </c>
      <c r="K317" s="12" t="s">
        <v>19</v>
      </c>
      <c r="L317" s="300" t="s">
        <v>72</v>
      </c>
      <c r="M317" s="303"/>
      <c r="N317" s="303"/>
      <c r="O317" s="443">
        <f t="shared" si="36"/>
        <v>6.9187375863574321</v>
      </c>
      <c r="P317" s="443">
        <f t="shared" si="37"/>
        <v>7.0906452864888134</v>
      </c>
      <c r="Q317" s="443">
        <f t="shared" si="38"/>
        <v>6.1926130605496139</v>
      </c>
      <c r="R317" s="443">
        <f t="shared" si="39"/>
        <v>5.638861854960993</v>
      </c>
      <c r="S317" s="443">
        <f t="shared" si="40"/>
        <v>4.8822164237257262</v>
      </c>
    </row>
    <row r="318" spans="1:36">
      <c r="A318" s="12" t="s">
        <v>19</v>
      </c>
      <c r="B318" s="300" t="s">
        <v>52</v>
      </c>
      <c r="C318" s="303"/>
      <c r="D318" s="303"/>
      <c r="E318" s="305">
        <v>1.9633660656588319</v>
      </c>
      <c r="F318" s="305">
        <v>2.1083575561921606</v>
      </c>
      <c r="G318" s="305">
        <v>2.5083164621053555</v>
      </c>
      <c r="H318" s="305">
        <v>2.4606563837546958</v>
      </c>
      <c r="I318" s="305">
        <v>2.3736687667861531</v>
      </c>
      <c r="J318" t="b">
        <f t="shared" si="41"/>
        <v>1</v>
      </c>
      <c r="K318" s="12" t="s">
        <v>19</v>
      </c>
      <c r="L318" s="300" t="s">
        <v>52</v>
      </c>
      <c r="M318" s="303"/>
      <c r="N318" s="303"/>
      <c r="O318" s="443">
        <f t="shared" si="36"/>
        <v>7.3356180888228764</v>
      </c>
      <c r="P318" s="443">
        <f t="shared" si="37"/>
        <v>8.059093912413136</v>
      </c>
      <c r="Q318" s="443">
        <f t="shared" si="38"/>
        <v>9.7353366242023629</v>
      </c>
      <c r="R318" s="443">
        <f t="shared" si="39"/>
        <v>9.7413643556293081</v>
      </c>
      <c r="S318" s="443">
        <f t="shared" si="40"/>
        <v>9.5849334831503477</v>
      </c>
    </row>
    <row r="319" spans="1:36">
      <c r="A319" s="12" t="s">
        <v>19</v>
      </c>
      <c r="B319" s="300" t="s">
        <v>73</v>
      </c>
      <c r="C319" s="303"/>
      <c r="D319" s="303"/>
      <c r="E319" s="305">
        <v>1.3074390315981681</v>
      </c>
      <c r="F319" s="305">
        <v>1.3001216768501926</v>
      </c>
      <c r="G319" s="305">
        <v>1.5417405565806881</v>
      </c>
      <c r="H319" s="305">
        <v>1.5753974334268079</v>
      </c>
      <c r="I319" s="305">
        <v>1.5749617313468214</v>
      </c>
      <c r="J319" t="b">
        <f t="shared" si="41"/>
        <v>1</v>
      </c>
      <c r="K319" s="12" t="s">
        <v>19</v>
      </c>
      <c r="L319" s="300" t="s">
        <v>73</v>
      </c>
      <c r="M319" s="303"/>
      <c r="N319" s="303"/>
      <c r="O319" s="443">
        <f t="shared" si="36"/>
        <v>4.8849135054222552</v>
      </c>
      <c r="P319" s="443">
        <f t="shared" si="37"/>
        <v>4.9696516895470904</v>
      </c>
      <c r="Q319" s="443">
        <f t="shared" si="38"/>
        <v>5.9838395721806164</v>
      </c>
      <c r="R319" s="443">
        <f t="shared" si="39"/>
        <v>6.2367588198221595</v>
      </c>
      <c r="S319" s="443">
        <f t="shared" si="40"/>
        <v>6.3597346203892648</v>
      </c>
    </row>
    <row r="320" spans="1:36">
      <c r="A320" s="12" t="s">
        <v>19</v>
      </c>
      <c r="B320" s="300" t="s">
        <v>74</v>
      </c>
      <c r="C320" s="303"/>
      <c r="D320" s="303"/>
      <c r="E320" s="305">
        <v>2.0191738224902593</v>
      </c>
      <c r="F320" s="305">
        <v>1.5784133044437496</v>
      </c>
      <c r="G320" s="305">
        <v>1.7691618048462701</v>
      </c>
      <c r="H320" s="305">
        <v>1.741401016001106</v>
      </c>
      <c r="I320" s="305">
        <v>1.6345343485877493</v>
      </c>
      <c r="J320" t="b">
        <f t="shared" si="41"/>
        <v>1</v>
      </c>
      <c r="K320" s="12" t="s">
        <v>19</v>
      </c>
      <c r="L320" s="300" t="s">
        <v>74</v>
      </c>
      <c r="M320" s="303"/>
      <c r="N320" s="303"/>
      <c r="O320" s="443">
        <f t="shared" si="36"/>
        <v>7.5441295822574297</v>
      </c>
      <c r="P320" s="443">
        <f t="shared" si="37"/>
        <v>6.033407860898496</v>
      </c>
      <c r="Q320" s="443">
        <f t="shared" si="38"/>
        <v>6.8665122495761146</v>
      </c>
      <c r="R320" s="443">
        <f t="shared" si="39"/>
        <v>6.8939417539661427</v>
      </c>
      <c r="S320" s="443">
        <f t="shared" si="40"/>
        <v>6.6002903296193178</v>
      </c>
    </row>
    <row r="321" spans="1:19">
      <c r="A321" s="12" t="s">
        <v>19</v>
      </c>
      <c r="B321" s="300" t="s">
        <v>75</v>
      </c>
      <c r="C321" s="303"/>
      <c r="D321" s="303"/>
      <c r="E321" s="305">
        <v>1.5418188657920666</v>
      </c>
      <c r="F321" s="305">
        <v>1.5421689490890813</v>
      </c>
      <c r="G321" s="305">
        <v>1.1986919632990878</v>
      </c>
      <c r="H321" s="305">
        <v>1.2051150219812068</v>
      </c>
      <c r="I321" s="305">
        <v>1.2030871425295599</v>
      </c>
      <c r="J321" t="b">
        <f t="shared" si="41"/>
        <v>1</v>
      </c>
      <c r="K321" s="12" t="s">
        <v>19</v>
      </c>
      <c r="L321" s="300" t="s">
        <v>75</v>
      </c>
      <c r="M321" s="303"/>
      <c r="N321" s="303"/>
      <c r="O321" s="443">
        <f t="shared" si="36"/>
        <v>5.7606141612707242</v>
      </c>
      <c r="P321" s="443">
        <f t="shared" si="37"/>
        <v>5.8948655805626631</v>
      </c>
      <c r="Q321" s="443">
        <f t="shared" si="38"/>
        <v>4.6523913340853751</v>
      </c>
      <c r="R321" s="443">
        <f t="shared" si="39"/>
        <v>4.7708670731376159</v>
      </c>
      <c r="S321" s="443">
        <f t="shared" si="40"/>
        <v>4.8580957869671213</v>
      </c>
    </row>
    <row r="322" spans="1:19">
      <c r="A322" s="12" t="s">
        <v>19</v>
      </c>
      <c r="B322" s="300" t="s">
        <v>76</v>
      </c>
      <c r="C322" s="303"/>
      <c r="D322" s="303"/>
      <c r="E322" s="305">
        <v>1.3630193716187557</v>
      </c>
      <c r="F322" s="305">
        <v>1.3768904698776971</v>
      </c>
      <c r="G322" s="305">
        <v>1.3602523162213354</v>
      </c>
      <c r="H322" s="305">
        <v>1.3398436564847218</v>
      </c>
      <c r="I322" s="305">
        <v>1.3157905788825448</v>
      </c>
      <c r="J322" t="b">
        <f t="shared" si="41"/>
        <v>1</v>
      </c>
      <c r="K322" s="12" t="s">
        <v>19</v>
      </c>
      <c r="L322" s="300" t="s">
        <v>76</v>
      </c>
      <c r="M322" s="303"/>
      <c r="N322" s="303"/>
      <c r="O322" s="443">
        <f t="shared" si="36"/>
        <v>5.0925753137672691</v>
      </c>
      <c r="P322" s="443">
        <f t="shared" si="37"/>
        <v>5.2630966560966241</v>
      </c>
      <c r="Q322" s="443">
        <f t="shared" si="38"/>
        <v>5.2794431613108959</v>
      </c>
      <c r="R322" s="443">
        <f t="shared" si="39"/>
        <v>5.3042372448120974</v>
      </c>
      <c r="S322" s="443">
        <f t="shared" si="40"/>
        <v>5.3131950644574886</v>
      </c>
    </row>
    <row r="323" spans="1:19">
      <c r="A323" s="12" t="s">
        <v>19</v>
      </c>
      <c r="B323" s="300" t="s">
        <v>77</v>
      </c>
      <c r="C323" s="303"/>
      <c r="D323" s="303"/>
      <c r="E323" s="305">
        <v>0.88691188538891907</v>
      </c>
      <c r="F323" s="305">
        <v>0.97956684032180519</v>
      </c>
      <c r="G323" s="305">
        <v>0.7570821246417444</v>
      </c>
      <c r="H323" s="305">
        <v>0.71183271144208338</v>
      </c>
      <c r="I323" s="305">
        <v>0.66972194319581801</v>
      </c>
      <c r="J323" t="b">
        <f t="shared" si="41"/>
        <v>1</v>
      </c>
      <c r="K323" s="12" t="s">
        <v>19</v>
      </c>
      <c r="L323" s="300" t="s">
        <v>77</v>
      </c>
      <c r="M323" s="303"/>
      <c r="N323" s="303"/>
      <c r="O323" s="443">
        <f t="shared" si="36"/>
        <v>3.3137207489973459</v>
      </c>
      <c r="P323" s="443">
        <f t="shared" si="37"/>
        <v>3.7443464636506443</v>
      </c>
      <c r="Q323" s="443">
        <f t="shared" si="38"/>
        <v>2.938404881083994</v>
      </c>
      <c r="R323" s="443">
        <f t="shared" si="39"/>
        <v>2.8180374343174237</v>
      </c>
      <c r="S323" s="443">
        <f t="shared" si="40"/>
        <v>2.7043538540676382</v>
      </c>
    </row>
    <row r="324" spans="1:19">
      <c r="A324" s="12" t="s">
        <v>19</v>
      </c>
      <c r="B324" s="300" t="s">
        <v>50</v>
      </c>
      <c r="C324" s="303"/>
      <c r="D324" s="303"/>
      <c r="E324" s="305">
        <v>2.5538076548384012</v>
      </c>
      <c r="F324" s="305">
        <v>2.7027627943750261</v>
      </c>
      <c r="G324" s="305">
        <v>2.4755882180772915</v>
      </c>
      <c r="H324" s="305">
        <v>2.1518380701030111</v>
      </c>
      <c r="I324" s="305">
        <v>1.7678169461084547</v>
      </c>
      <c r="J324" t="b">
        <f t="shared" si="41"/>
        <v>1</v>
      </c>
      <c r="K324" s="12" t="s">
        <v>19</v>
      </c>
      <c r="L324" s="300" t="s">
        <v>50</v>
      </c>
      <c r="M324" s="303"/>
      <c r="N324" s="303"/>
      <c r="O324" s="443">
        <f t="shared" si="36"/>
        <v>9.541652958089891</v>
      </c>
      <c r="P324" s="443">
        <f t="shared" si="37"/>
        <v>10.331178940152807</v>
      </c>
      <c r="Q324" s="443">
        <f t="shared" si="38"/>
        <v>9.6083109966366891</v>
      </c>
      <c r="R324" s="443">
        <f t="shared" si="39"/>
        <v>8.5187996233761538</v>
      </c>
      <c r="S324" s="443">
        <f t="shared" si="40"/>
        <v>7.1384887714462071</v>
      </c>
    </row>
    <row r="325" spans="1:19">
      <c r="A325" s="12" t="s">
        <v>19</v>
      </c>
      <c r="B325" s="1213" t="s">
        <v>51</v>
      </c>
      <c r="C325" s="303"/>
      <c r="D325" s="303"/>
      <c r="E325" s="305">
        <v>2.1594507853983487</v>
      </c>
      <c r="F325" s="305">
        <v>2.108783385973247</v>
      </c>
      <c r="G325" s="305">
        <v>1.9571099436141921</v>
      </c>
      <c r="H325" s="305">
        <v>1.6739883971269975</v>
      </c>
      <c r="I325" s="305">
        <v>1.4057277322201749</v>
      </c>
      <c r="J325" t="b">
        <f t="shared" si="41"/>
        <v>1</v>
      </c>
      <c r="K325" s="12" t="s">
        <v>19</v>
      </c>
      <c r="L325" s="1213" t="s">
        <v>51</v>
      </c>
      <c r="M325" s="303"/>
      <c r="N325" s="303"/>
      <c r="O325" s="443">
        <f t="shared" si="36"/>
        <v>8.0682387866244802</v>
      </c>
      <c r="P325" s="443">
        <f t="shared" si="37"/>
        <v>8.0607216259792711</v>
      </c>
      <c r="Q325" s="443">
        <f t="shared" si="38"/>
        <v>7.5959809695087772</v>
      </c>
      <c r="R325" s="443">
        <f t="shared" si="39"/>
        <v>6.6270654493527275</v>
      </c>
      <c r="S325" s="443">
        <f t="shared" si="40"/>
        <v>5.6763635252247608</v>
      </c>
    </row>
    <row r="326" spans="1:19">
      <c r="A326" s="12" t="s">
        <v>19</v>
      </c>
      <c r="B326" s="1213" t="s">
        <v>78</v>
      </c>
      <c r="C326" s="303"/>
      <c r="D326" s="303"/>
      <c r="E326" s="305">
        <v>2.3320557909214585</v>
      </c>
      <c r="F326" s="305">
        <v>2.3253369118631113</v>
      </c>
      <c r="G326" s="305">
        <v>2.1691122806593768</v>
      </c>
      <c r="H326" s="305">
        <v>1.831433598356611</v>
      </c>
      <c r="I326" s="305">
        <v>1.6964022421334342</v>
      </c>
      <c r="J326" t="b">
        <f t="shared" si="41"/>
        <v>1</v>
      </c>
      <c r="K326" s="12" t="s">
        <v>19</v>
      </c>
      <c r="L326" s="1213" t="s">
        <v>78</v>
      </c>
      <c r="M326" s="303"/>
      <c r="N326" s="303"/>
      <c r="O326" s="443">
        <f t="shared" si="36"/>
        <v>8.7131335023288692</v>
      </c>
      <c r="P326" s="443">
        <f t="shared" si="37"/>
        <v>8.8884869151660837</v>
      </c>
      <c r="Q326" s="443">
        <f t="shared" si="38"/>
        <v>8.4188094074005946</v>
      </c>
      <c r="R326" s="443">
        <f t="shared" si="39"/>
        <v>7.2503670534892359</v>
      </c>
      <c r="S326" s="443">
        <f t="shared" si="40"/>
        <v>6.8501144216222274</v>
      </c>
    </row>
    <row r="327" spans="1:19">
      <c r="A327" s="12" t="s">
        <v>19</v>
      </c>
      <c r="B327" s="1213" t="s">
        <v>79</v>
      </c>
      <c r="C327" s="303"/>
      <c r="D327" s="303"/>
      <c r="E327" s="305">
        <v>0.94083766340920505</v>
      </c>
      <c r="F327" s="305">
        <v>0.89327362005723643</v>
      </c>
      <c r="G327" s="305">
        <v>0.85016201774887534</v>
      </c>
      <c r="H327" s="305">
        <v>0.70172058348408528</v>
      </c>
      <c r="I327" s="305">
        <v>0.70273163357435342</v>
      </c>
      <c r="J327" t="b">
        <f t="shared" si="41"/>
        <v>1</v>
      </c>
      <c r="K327" s="12" t="s">
        <v>19</v>
      </c>
      <c r="L327" s="1213" t="s">
        <v>79</v>
      </c>
      <c r="M327" s="303"/>
      <c r="N327" s="303"/>
      <c r="O327" s="443">
        <f t="shared" si="36"/>
        <v>3.5152007071256408</v>
      </c>
      <c r="P327" s="443">
        <f t="shared" si="37"/>
        <v>3.4144948385910245</v>
      </c>
      <c r="Q327" s="443">
        <f t="shared" si="38"/>
        <v>3.2996687431335641</v>
      </c>
      <c r="R327" s="443">
        <f t="shared" si="39"/>
        <v>2.7780050577938491</v>
      </c>
      <c r="S327" s="443">
        <f t="shared" si="40"/>
        <v>2.8376478043461497</v>
      </c>
    </row>
    <row r="328" spans="1:19">
      <c r="A328" s="12" t="s">
        <v>19</v>
      </c>
      <c r="B328" s="1213" t="s">
        <v>80</v>
      </c>
      <c r="C328" s="303"/>
      <c r="D328" s="303"/>
      <c r="E328" s="305">
        <v>1.3538563803454693</v>
      </c>
      <c r="F328" s="305">
        <v>1.399085447927888</v>
      </c>
      <c r="G328" s="305">
        <v>1.3245039630700681</v>
      </c>
      <c r="H328" s="305">
        <v>1.0767587664923539</v>
      </c>
      <c r="I328" s="305">
        <v>1.0135822369351568</v>
      </c>
      <c r="J328" t="b">
        <f t="shared" si="41"/>
        <v>1</v>
      </c>
      <c r="K328" s="12" t="s">
        <v>19</v>
      </c>
      <c r="L328" s="1213" t="s">
        <v>80</v>
      </c>
      <c r="M328" s="303"/>
      <c r="N328" s="303"/>
      <c r="O328" s="443">
        <f t="shared" si="36"/>
        <v>5.0583401267037242</v>
      </c>
      <c r="P328" s="443">
        <f t="shared" si="37"/>
        <v>5.347935877017715</v>
      </c>
      <c r="Q328" s="443">
        <f t="shared" si="38"/>
        <v>5.1406958154531335</v>
      </c>
      <c r="R328" s="443">
        <f t="shared" si="39"/>
        <v>4.2627241807386227</v>
      </c>
      <c r="S328" s="443">
        <f t="shared" si="40"/>
        <v>4.0928702676069122</v>
      </c>
    </row>
    <row r="329" spans="1:19">
      <c r="A329" s="12" t="s">
        <v>25</v>
      </c>
      <c r="B329" s="300" t="s">
        <v>81</v>
      </c>
      <c r="C329" s="305">
        <v>1.8560134718227432</v>
      </c>
      <c r="D329" s="305">
        <v>1.8152215314521964</v>
      </c>
      <c r="E329" s="305">
        <v>1.7979279925217375</v>
      </c>
      <c r="F329" s="305">
        <v>1.7736992270475671</v>
      </c>
      <c r="G329" s="305">
        <v>1.7484964755788579</v>
      </c>
      <c r="H329" s="303"/>
      <c r="I329" s="303"/>
      <c r="J329" t="b">
        <f t="shared" si="41"/>
        <v>1</v>
      </c>
      <c r="K329" s="12" t="s">
        <v>25</v>
      </c>
      <c r="L329" s="300" t="s">
        <v>81</v>
      </c>
      <c r="M329" s="443">
        <f t="shared" ref="M329:M343" si="42">((C329*F$34)/F$13)*(1-F$13)</f>
        <v>8.5833263439657195</v>
      </c>
      <c r="N329" s="443">
        <f t="shared" ref="N329:N343" si="43">((D329*G$34)/G$13)*(1-G$13)</f>
        <v>9.1312396620225407</v>
      </c>
      <c r="O329" s="443">
        <f t="shared" ref="O329:O343" si="44">((E329*H$34)/H$13)*(1-H$13)</f>
        <v>6.7175007936778997</v>
      </c>
      <c r="P329" s="443">
        <f t="shared" ref="P329:P343" si="45">((F329*I$34)/I$13)*(1-I$13)</f>
        <v>6.7798787739626203</v>
      </c>
      <c r="Q329" s="443">
        <f t="shared" ref="Q329:Q343" si="46">((G329*J$34)/J$13)*(1-J$13)</f>
        <v>6.7863054894213874</v>
      </c>
      <c r="R329" s="303"/>
      <c r="S329" s="303"/>
    </row>
    <row r="330" spans="1:19">
      <c r="A330" s="12" t="s">
        <v>25</v>
      </c>
      <c r="B330" s="300" t="s">
        <v>4</v>
      </c>
      <c r="C330" s="305">
        <v>1.338141135548405</v>
      </c>
      <c r="D330" s="305">
        <v>1.3118504623849501</v>
      </c>
      <c r="E330" s="305">
        <v>1.305225167423345</v>
      </c>
      <c r="F330" s="305">
        <v>1.2886796623765773</v>
      </c>
      <c r="G330" s="305">
        <v>1.2709115989265294</v>
      </c>
      <c r="H330" s="303"/>
      <c r="I330" s="303"/>
      <c r="J330" t="b">
        <f t="shared" si="41"/>
        <v>1</v>
      </c>
      <c r="K330" s="12" t="s">
        <v>25</v>
      </c>
      <c r="L330" s="300" t="s">
        <v>4</v>
      </c>
      <c r="M330" s="443">
        <f t="shared" si="42"/>
        <v>6.1883721401100686</v>
      </c>
      <c r="N330" s="443">
        <f t="shared" si="43"/>
        <v>6.5990959038420405</v>
      </c>
      <c r="O330" s="443">
        <f t="shared" si="44"/>
        <v>4.8766419648414718</v>
      </c>
      <c r="P330" s="443">
        <f t="shared" si="45"/>
        <v>4.9259151473656031</v>
      </c>
      <c r="Q330" s="443">
        <f t="shared" si="46"/>
        <v>4.9326918760354328</v>
      </c>
      <c r="R330" s="303"/>
      <c r="S330" s="303"/>
    </row>
    <row r="331" spans="1:19">
      <c r="A331" s="12" t="s">
        <v>25</v>
      </c>
      <c r="B331" s="300" t="s">
        <v>82</v>
      </c>
      <c r="C331" s="305">
        <v>0.99104421987024149</v>
      </c>
      <c r="D331" s="305">
        <v>0.97030415837322381</v>
      </c>
      <c r="E331" s="305">
        <v>0.96243789501775268</v>
      </c>
      <c r="F331" s="305">
        <v>0.94766848511264923</v>
      </c>
      <c r="G331" s="305">
        <v>0.93824870565692475</v>
      </c>
      <c r="H331" s="303"/>
      <c r="I331" s="303"/>
      <c r="J331" t="b">
        <f t="shared" si="41"/>
        <v>1</v>
      </c>
      <c r="K331" s="12" t="s">
        <v>25</v>
      </c>
      <c r="L331" s="300" t="s">
        <v>82</v>
      </c>
      <c r="M331" s="443">
        <f t="shared" si="42"/>
        <v>4.5831865391005095</v>
      </c>
      <c r="N331" s="443">
        <f t="shared" si="43"/>
        <v>4.8809909212980873</v>
      </c>
      <c r="O331" s="443">
        <f t="shared" si="44"/>
        <v>3.5959044803454638</v>
      </c>
      <c r="P331" s="443">
        <f t="shared" si="45"/>
        <v>3.622416556872218</v>
      </c>
      <c r="Q331" s="443">
        <f t="shared" si="46"/>
        <v>3.6415528601704263</v>
      </c>
      <c r="R331" s="303"/>
      <c r="S331" s="303"/>
    </row>
    <row r="332" spans="1:19">
      <c r="A332" s="12" t="s">
        <v>25</v>
      </c>
      <c r="B332" s="300" t="s">
        <v>83</v>
      </c>
      <c r="C332" s="305">
        <v>1.2910496821028619</v>
      </c>
      <c r="D332" s="305">
        <v>1.2750295337136959</v>
      </c>
      <c r="E332" s="305">
        <v>1.2614754781555608</v>
      </c>
      <c r="F332" s="305">
        <v>1.2360763844788194</v>
      </c>
      <c r="G332" s="305">
        <v>1.2156373101435318</v>
      </c>
      <c r="H332" s="303"/>
      <c r="I332" s="303"/>
      <c r="J332" t="b">
        <f t="shared" si="41"/>
        <v>1</v>
      </c>
      <c r="K332" s="12" t="s">
        <v>25</v>
      </c>
      <c r="L332" s="300" t="s">
        <v>83</v>
      </c>
      <c r="M332" s="443">
        <f t="shared" si="42"/>
        <v>5.9705928410526052</v>
      </c>
      <c r="N332" s="443">
        <f t="shared" si="43"/>
        <v>6.4138729332845683</v>
      </c>
      <c r="O332" s="443">
        <f t="shared" si="44"/>
        <v>4.7131823749124564</v>
      </c>
      <c r="P332" s="443">
        <f t="shared" si="45"/>
        <v>4.724841683600542</v>
      </c>
      <c r="Q332" s="443">
        <f t="shared" si="46"/>
        <v>4.7181600112984814</v>
      </c>
      <c r="R332" s="303"/>
      <c r="S332" s="303"/>
    </row>
    <row r="333" spans="1:19">
      <c r="A333" s="12" t="s">
        <v>25</v>
      </c>
      <c r="B333" s="300" t="s">
        <v>84</v>
      </c>
      <c r="C333" s="305">
        <v>1.2693796122665177</v>
      </c>
      <c r="D333" s="305">
        <v>1.2456515312513812</v>
      </c>
      <c r="E333" s="305">
        <v>1.2761225755818488</v>
      </c>
      <c r="F333" s="305">
        <v>1.2778726893812531</v>
      </c>
      <c r="G333" s="305">
        <v>1.2727838897081032</v>
      </c>
      <c r="H333" s="303"/>
      <c r="I333" s="303"/>
      <c r="J333" t="b">
        <f t="shared" si="41"/>
        <v>1</v>
      </c>
      <c r="K333" s="12" t="s">
        <v>25</v>
      </c>
      <c r="L333" s="300" t="s">
        <v>84</v>
      </c>
      <c r="M333" s="443">
        <f t="shared" si="42"/>
        <v>5.8703773608712018</v>
      </c>
      <c r="N333" s="443">
        <f t="shared" si="43"/>
        <v>6.2660906507219138</v>
      </c>
      <c r="O333" s="443">
        <f t="shared" si="44"/>
        <v>4.767907530199774</v>
      </c>
      <c r="P333" s="443">
        <f t="shared" si="45"/>
        <v>4.8846060202574249</v>
      </c>
      <c r="Q333" s="443">
        <f t="shared" si="46"/>
        <v>4.9399586548858627</v>
      </c>
      <c r="R333" s="303"/>
      <c r="S333" s="303"/>
    </row>
    <row r="334" spans="1:19">
      <c r="A334" s="12" t="s">
        <v>25</v>
      </c>
      <c r="B334" s="300" t="s">
        <v>85</v>
      </c>
      <c r="C334" s="305">
        <v>0.9684370522563619</v>
      </c>
      <c r="D334" s="305">
        <v>0.97408615926807074</v>
      </c>
      <c r="E334" s="305">
        <v>0.97438656582868766</v>
      </c>
      <c r="F334" s="305">
        <v>0.96522259273076072</v>
      </c>
      <c r="G334" s="305">
        <v>0.95735847603512469</v>
      </c>
      <c r="H334" s="303"/>
      <c r="I334" s="303"/>
      <c r="J334" t="b">
        <f t="shared" si="41"/>
        <v>1</v>
      </c>
      <c r="K334" s="12" t="s">
        <v>25</v>
      </c>
      <c r="L334" s="300" t="s">
        <v>85</v>
      </c>
      <c r="M334" s="443">
        <f t="shared" si="42"/>
        <v>4.4786373532844728</v>
      </c>
      <c r="N334" s="443">
        <f t="shared" si="43"/>
        <v>4.9000157929043668</v>
      </c>
      <c r="O334" s="443">
        <f t="shared" si="44"/>
        <v>3.6405476507002854</v>
      </c>
      <c r="P334" s="443">
        <f t="shared" si="45"/>
        <v>3.6895162769493344</v>
      </c>
      <c r="Q334" s="443">
        <f t="shared" si="46"/>
        <v>3.7157221487165915</v>
      </c>
      <c r="R334" s="303"/>
      <c r="S334" s="303"/>
    </row>
    <row r="335" spans="1:19">
      <c r="A335" s="12" t="s">
        <v>25</v>
      </c>
      <c r="B335" s="300" t="s">
        <v>86</v>
      </c>
      <c r="C335" s="305">
        <v>2.0413918945479947</v>
      </c>
      <c r="D335" s="305">
        <v>2.002834526545016</v>
      </c>
      <c r="E335" s="305">
        <v>2.0176858680119603</v>
      </c>
      <c r="F335" s="305">
        <v>2.010800066369304</v>
      </c>
      <c r="G335" s="305">
        <v>2.012461933717149</v>
      </c>
      <c r="H335" s="303"/>
      <c r="I335" s="303"/>
      <c r="J335" t="b">
        <f t="shared" si="41"/>
        <v>1</v>
      </c>
      <c r="K335" s="12" t="s">
        <v>25</v>
      </c>
      <c r="L335" s="300" t="s">
        <v>86</v>
      </c>
      <c r="M335" s="443">
        <f t="shared" si="42"/>
        <v>9.4406280411445778</v>
      </c>
      <c r="N335" s="443">
        <f t="shared" si="43"/>
        <v>10.075002829337917</v>
      </c>
      <c r="O335" s="443">
        <f t="shared" si="44"/>
        <v>7.5385702186841916</v>
      </c>
      <c r="P335" s="443">
        <f t="shared" si="45"/>
        <v>7.686185166440433</v>
      </c>
      <c r="Q335" s="443">
        <f t="shared" si="46"/>
        <v>7.810814410429348</v>
      </c>
      <c r="R335" s="303"/>
      <c r="S335" s="303"/>
    </row>
    <row r="336" spans="1:19">
      <c r="A336" s="12" t="s">
        <v>25</v>
      </c>
      <c r="B336" s="300" t="s">
        <v>87</v>
      </c>
      <c r="C336" s="305">
        <v>1.30814382516961</v>
      </c>
      <c r="D336" s="305">
        <v>1.2655629156032961</v>
      </c>
      <c r="E336" s="305">
        <v>1.253112719644278</v>
      </c>
      <c r="F336" s="305">
        <v>1.2591017686030721</v>
      </c>
      <c r="G336" s="305">
        <v>1.2643657265074015</v>
      </c>
      <c r="H336" s="304"/>
      <c r="I336" s="304"/>
      <c r="J336" t="b">
        <f t="shared" si="41"/>
        <v>1</v>
      </c>
      <c r="K336" s="12" t="s">
        <v>25</v>
      </c>
      <c r="L336" s="300" t="s">
        <v>87</v>
      </c>
      <c r="M336" s="443">
        <f t="shared" si="42"/>
        <v>6.0496464744124134</v>
      </c>
      <c r="N336" s="443">
        <f t="shared" si="43"/>
        <v>6.3662523221045397</v>
      </c>
      <c r="O336" s="443">
        <f t="shared" si="44"/>
        <v>4.6819370540928578</v>
      </c>
      <c r="P336" s="443">
        <f t="shared" si="45"/>
        <v>4.8128550912323487</v>
      </c>
      <c r="Q336" s="443">
        <f t="shared" si="46"/>
        <v>4.9072858826282841</v>
      </c>
      <c r="R336" s="304"/>
      <c r="S336" s="304"/>
    </row>
    <row r="337" spans="1:19">
      <c r="A337" s="12" t="s">
        <v>27</v>
      </c>
      <c r="B337" s="300" t="s">
        <v>88</v>
      </c>
      <c r="C337" s="305">
        <v>2.4079045095034153</v>
      </c>
      <c r="D337" s="305">
        <v>2.4996671737090232</v>
      </c>
      <c r="E337" s="305">
        <v>2.5160510965805876</v>
      </c>
      <c r="F337" s="305">
        <v>2.3238778201799244</v>
      </c>
      <c r="G337" s="305">
        <v>2.2881683619967679</v>
      </c>
      <c r="H337" s="303"/>
      <c r="I337" s="303"/>
      <c r="J337" t="b">
        <f t="shared" si="41"/>
        <v>1</v>
      </c>
      <c r="K337" s="12" t="s">
        <v>27</v>
      </c>
      <c r="L337" s="300" t="s">
        <v>88</v>
      </c>
      <c r="M337" s="443">
        <f t="shared" si="42"/>
        <v>11.135603552423126</v>
      </c>
      <c r="N337" s="443">
        <f t="shared" si="43"/>
        <v>12.574255892704915</v>
      </c>
      <c r="O337" s="443">
        <f t="shared" si="44"/>
        <v>9.4005851783354455</v>
      </c>
      <c r="P337" s="443">
        <f t="shared" si="45"/>
        <v>8.8829096083819064</v>
      </c>
      <c r="Q337" s="443">
        <f t="shared" si="46"/>
        <v>8.880892659848362</v>
      </c>
      <c r="R337" s="303"/>
      <c r="S337" s="303"/>
    </row>
    <row r="338" spans="1:19">
      <c r="A338" s="12" t="s">
        <v>27</v>
      </c>
      <c r="B338" s="300" t="s">
        <v>89</v>
      </c>
      <c r="C338" s="305">
        <v>0.35535269898445798</v>
      </c>
      <c r="D338" s="305">
        <v>0.33811521212748413</v>
      </c>
      <c r="E338" s="305">
        <v>0.35287450221706412</v>
      </c>
      <c r="F338" s="305">
        <v>0.33060618568728362</v>
      </c>
      <c r="G338" s="305">
        <v>0.30228187223292602</v>
      </c>
      <c r="H338" s="303"/>
      <c r="I338" s="303"/>
      <c r="J338" t="b">
        <f t="shared" si="41"/>
        <v>1</v>
      </c>
      <c r="K338" s="12" t="s">
        <v>27</v>
      </c>
      <c r="L338" s="300" t="s">
        <v>89</v>
      </c>
      <c r="M338" s="443">
        <f t="shared" si="42"/>
        <v>1.6433653251434568</v>
      </c>
      <c r="N338" s="443">
        <f t="shared" si="43"/>
        <v>1.700845313817805</v>
      </c>
      <c r="O338" s="443">
        <f t="shared" si="44"/>
        <v>1.3184258538558589</v>
      </c>
      <c r="P338" s="443">
        <f t="shared" si="45"/>
        <v>1.2637260177493705</v>
      </c>
      <c r="Q338" s="443">
        <f t="shared" si="46"/>
        <v>1.1732234851704522</v>
      </c>
      <c r="R338" s="303"/>
      <c r="S338" s="303"/>
    </row>
    <row r="339" spans="1:19">
      <c r="A339" s="12" t="s">
        <v>27</v>
      </c>
      <c r="B339" s="300" t="s">
        <v>90</v>
      </c>
      <c r="C339" s="305">
        <f>C337+C338</f>
        <v>2.7632572084878735</v>
      </c>
      <c r="D339" s="305">
        <f t="shared" ref="D339:G339" si="47">D337+D338</f>
        <v>2.8377823858365074</v>
      </c>
      <c r="E339" s="305">
        <f t="shared" si="47"/>
        <v>2.8689255987976519</v>
      </c>
      <c r="F339" s="305">
        <f t="shared" si="47"/>
        <v>2.6544840058672081</v>
      </c>
      <c r="G339" s="305">
        <f t="shared" si="47"/>
        <v>2.590450234229694</v>
      </c>
      <c r="H339" s="303"/>
      <c r="I339" s="303"/>
      <c r="J339" t="b">
        <f t="shared" si="41"/>
        <v>1</v>
      </c>
      <c r="K339" s="12" t="s">
        <v>27</v>
      </c>
      <c r="L339" s="300" t="s">
        <v>90</v>
      </c>
      <c r="M339" s="443">
        <f t="shared" si="42"/>
        <v>12.778968877566582</v>
      </c>
      <c r="N339" s="443">
        <f t="shared" si="43"/>
        <v>14.275101206522718</v>
      </c>
      <c r="O339" s="443">
        <f t="shared" si="44"/>
        <v>10.719011032191304</v>
      </c>
      <c r="P339" s="443">
        <f t="shared" si="45"/>
        <v>10.146635626131278</v>
      </c>
      <c r="Q339" s="443">
        <f t="shared" si="46"/>
        <v>10.054116145018813</v>
      </c>
      <c r="R339" s="303"/>
      <c r="S339" s="303"/>
    </row>
    <row r="340" spans="1:19">
      <c r="A340" s="12" t="s">
        <v>22</v>
      </c>
      <c r="B340" s="300" t="s">
        <v>91</v>
      </c>
      <c r="C340" s="305">
        <v>5.794647515116063</v>
      </c>
      <c r="D340" s="305">
        <v>5.6654995528096048</v>
      </c>
      <c r="E340" s="305">
        <v>5.4459801653220365</v>
      </c>
      <c r="F340" s="305">
        <v>5.2315625946540782</v>
      </c>
      <c r="G340" s="305">
        <v>5.0709512798558656</v>
      </c>
      <c r="H340" s="303"/>
      <c r="I340" s="303"/>
      <c r="J340" t="b">
        <f t="shared" si="41"/>
        <v>1</v>
      </c>
      <c r="K340" s="12" t="s">
        <v>22</v>
      </c>
      <c r="L340" s="300" t="s">
        <v>91</v>
      </c>
      <c r="M340" s="443">
        <f t="shared" si="42"/>
        <v>26.797947011475848</v>
      </c>
      <c r="N340" s="443">
        <f t="shared" si="43"/>
        <v>28.499570617366494</v>
      </c>
      <c r="O340" s="443">
        <f t="shared" si="44"/>
        <v>20.347520164917047</v>
      </c>
      <c r="P340" s="443">
        <f t="shared" si="45"/>
        <v>19.997392821325722</v>
      </c>
      <c r="Q340" s="443">
        <f t="shared" si="46"/>
        <v>19.681494923048948</v>
      </c>
      <c r="R340" s="303"/>
      <c r="S340" s="303"/>
    </row>
    <row r="341" spans="1:19">
      <c r="A341" s="12" t="s">
        <v>29</v>
      </c>
      <c r="B341" s="300" t="s">
        <v>29</v>
      </c>
      <c r="C341" s="305">
        <v>0.79565936041617891</v>
      </c>
      <c r="D341" s="305">
        <v>0.81379329751844121</v>
      </c>
      <c r="E341" s="305">
        <v>0.83527031824680331</v>
      </c>
      <c r="F341" s="305">
        <v>0.86914049425217754</v>
      </c>
      <c r="G341" s="305">
        <v>0.88933875020036712</v>
      </c>
      <c r="H341" s="303"/>
      <c r="I341" s="303"/>
      <c r="J341" t="b">
        <f t="shared" si="41"/>
        <v>1</v>
      </c>
      <c r="K341" s="12" t="s">
        <v>29</v>
      </c>
      <c r="L341" s="300" t="s">
        <v>29</v>
      </c>
      <c r="M341" s="443">
        <f t="shared" si="42"/>
        <v>3.6796090398935095</v>
      </c>
      <c r="N341" s="443">
        <f t="shared" si="43"/>
        <v>4.0936830608458399</v>
      </c>
      <c r="O341" s="443">
        <f t="shared" si="44"/>
        <v>3.1207751640201771</v>
      </c>
      <c r="P341" s="443">
        <f t="shared" si="45"/>
        <v>3.3222471424202125</v>
      </c>
      <c r="Q341" s="443">
        <f t="shared" si="46"/>
        <v>3.4517223950605049</v>
      </c>
      <c r="R341" s="303"/>
      <c r="S341" s="303"/>
    </row>
    <row r="342" spans="1:19">
      <c r="A342" s="12" t="s">
        <v>22</v>
      </c>
      <c r="B342" s="300" t="s">
        <v>92</v>
      </c>
      <c r="C342" s="305">
        <v>1.067077173491312</v>
      </c>
      <c r="D342" s="305">
        <v>1.1377699704587949</v>
      </c>
      <c r="E342" s="305">
        <v>1.1288688837653649</v>
      </c>
      <c r="F342" s="305">
        <v>1.0874595680858687</v>
      </c>
      <c r="G342" s="305">
        <v>1.0132559350168759</v>
      </c>
      <c r="H342" s="303"/>
      <c r="I342" s="303"/>
      <c r="J342" t="b">
        <f t="shared" si="41"/>
        <v>1</v>
      </c>
      <c r="K342" s="12" t="s">
        <v>22</v>
      </c>
      <c r="L342" s="300" t="s">
        <v>92</v>
      </c>
      <c r="M342" s="443">
        <f t="shared" si="42"/>
        <v>4.9348088003249071</v>
      </c>
      <c r="N342" s="443">
        <f t="shared" si="43"/>
        <v>5.7234062622648887</v>
      </c>
      <c r="O342" s="443">
        <f t="shared" si="44"/>
        <v>4.2177315522053318</v>
      </c>
      <c r="P342" s="443">
        <f t="shared" si="45"/>
        <v>4.1567611524984986</v>
      </c>
      <c r="Q342" s="443">
        <f t="shared" si="46"/>
        <v>3.9326726762302266</v>
      </c>
      <c r="R342" s="303"/>
      <c r="S342" s="303"/>
    </row>
    <row r="343" spans="1:19">
      <c r="A343" s="12" t="s">
        <v>22</v>
      </c>
      <c r="B343" s="300" t="s">
        <v>54</v>
      </c>
      <c r="C343" s="305">
        <v>1.4458842789006556</v>
      </c>
      <c r="D343" s="305">
        <v>1.7460048691359407</v>
      </c>
      <c r="E343" s="305">
        <v>1.7400275177290305</v>
      </c>
      <c r="F343" s="305">
        <v>1.7353254561791309</v>
      </c>
      <c r="G343" s="305">
        <v>1.6416771715292762</v>
      </c>
      <c r="H343" s="303"/>
      <c r="I343" s="303"/>
      <c r="J343" t="b">
        <f t="shared" si="41"/>
        <v>1</v>
      </c>
      <c r="K343" s="12" t="s">
        <v>22</v>
      </c>
      <c r="L343" s="300" t="s">
        <v>54</v>
      </c>
      <c r="M343" s="443">
        <f t="shared" si="42"/>
        <v>6.6866414548305206</v>
      </c>
      <c r="N343" s="443">
        <f t="shared" si="43"/>
        <v>8.7830540982972245</v>
      </c>
      <c r="O343" s="443">
        <f t="shared" si="44"/>
        <v>6.5011703916862125</v>
      </c>
      <c r="P343" s="443">
        <f t="shared" si="45"/>
        <v>6.6331969066987533</v>
      </c>
      <c r="Q343" s="443">
        <f t="shared" si="46"/>
        <v>6.3717159036986821</v>
      </c>
      <c r="R343" s="303"/>
      <c r="S343" s="303"/>
    </row>
    <row r="344" spans="1:19">
      <c r="K344" s="94"/>
      <c r="L344" s="94"/>
      <c r="M344" s="94"/>
    </row>
    <row r="345" spans="1:19">
      <c r="K345" s="94"/>
      <c r="L345" s="94"/>
      <c r="M345" s="317"/>
    </row>
    <row r="346" spans="1:19">
      <c r="K346" s="94"/>
      <c r="M346" s="94"/>
    </row>
    <row r="347" spans="1:19">
      <c r="K347" s="89" t="s">
        <v>241</v>
      </c>
      <c r="L347" s="89" t="s">
        <v>242</v>
      </c>
      <c r="M347" s="94"/>
      <c r="N347" s="94"/>
    </row>
    <row r="348" spans="1:19">
      <c r="C348" s="1202"/>
      <c r="D348" s="1202"/>
      <c r="E348" s="1202"/>
      <c r="F348" s="1202"/>
      <c r="G348" s="1202"/>
      <c r="J348" s="306"/>
      <c r="K348" s="94"/>
      <c r="L348" s="308"/>
      <c r="M348" s="94"/>
      <c r="N348" s="94"/>
    </row>
    <row r="349" spans="1:19">
      <c r="C349" s="1210"/>
      <c r="D349" s="1210"/>
      <c r="E349" s="1210"/>
      <c r="F349" s="1210"/>
      <c r="G349" s="1210"/>
      <c r="J349" s="306"/>
      <c r="K349" s="48" t="s">
        <v>6</v>
      </c>
      <c r="L349" s="301" t="s">
        <v>3</v>
      </c>
      <c r="M349" s="149">
        <v>2022</v>
      </c>
      <c r="N349" s="150">
        <f t="shared" ref="N349:S349" si="48">M349+1</f>
        <v>2023</v>
      </c>
      <c r="O349" s="150">
        <f t="shared" si="48"/>
        <v>2024</v>
      </c>
      <c r="P349" s="150">
        <f t="shared" si="48"/>
        <v>2025</v>
      </c>
      <c r="Q349" s="150">
        <f t="shared" si="48"/>
        <v>2026</v>
      </c>
      <c r="R349" s="150">
        <f t="shared" si="48"/>
        <v>2027</v>
      </c>
      <c r="S349" s="150">
        <f t="shared" si="48"/>
        <v>2028</v>
      </c>
    </row>
    <row r="350" spans="1:19">
      <c r="J350" s="306"/>
      <c r="K350" s="12" t="s">
        <v>19</v>
      </c>
      <c r="L350" s="300" t="s">
        <v>70</v>
      </c>
      <c r="M350" s="303"/>
      <c r="N350" s="303"/>
      <c r="O350" s="443">
        <f t="shared" ref="O350:O363" si="49">E315*H$34</f>
        <v>1.7892495885240058</v>
      </c>
      <c r="P350" s="443">
        <f t="shared" ref="P350:P363" si="50">F315*I$34</f>
        <v>1.7580420918807742</v>
      </c>
      <c r="Q350" s="443">
        <f t="shared" ref="Q350:Q363" si="51">G315*J$34</f>
        <v>1.6811079844775063</v>
      </c>
      <c r="R350" s="443">
        <f t="shared" ref="R350:R363" si="52">H315*K$34</f>
        <v>1.6647326978333103</v>
      </c>
      <c r="S350" s="443">
        <f t="shared" ref="S350:S363" si="53">I315*L$34</f>
        <v>1.6975584697645543</v>
      </c>
    </row>
    <row r="351" spans="1:19">
      <c r="J351" s="306"/>
      <c r="K351" s="12" t="s">
        <v>19</v>
      </c>
      <c r="L351" s="300" t="s">
        <v>71</v>
      </c>
      <c r="M351" s="303"/>
      <c r="N351" s="303"/>
      <c r="O351" s="443">
        <f t="shared" si="49"/>
        <v>1.7044485176462936</v>
      </c>
      <c r="P351" s="443">
        <f t="shared" si="50"/>
        <v>1.7848729781466806</v>
      </c>
      <c r="Q351" s="443">
        <f t="shared" si="51"/>
        <v>1.674640472417616</v>
      </c>
      <c r="R351" s="443">
        <f t="shared" si="52"/>
        <v>1.5327719791934955</v>
      </c>
      <c r="S351" s="443">
        <f t="shared" si="53"/>
        <v>1.369089229173815</v>
      </c>
    </row>
    <row r="352" spans="1:19">
      <c r="J352" s="306"/>
      <c r="K352" s="12" t="s">
        <v>19</v>
      </c>
      <c r="L352" s="300" t="s">
        <v>72</v>
      </c>
      <c r="M352" s="303"/>
      <c r="N352" s="303"/>
      <c r="O352" s="443">
        <f t="shared" si="49"/>
        <v>2.3062458621191442</v>
      </c>
      <c r="P352" s="443">
        <f t="shared" si="50"/>
        <v>2.3635484288296045</v>
      </c>
      <c r="Q352" s="443">
        <f t="shared" si="51"/>
        <v>2.064204353516538</v>
      </c>
      <c r="R352" s="443">
        <f t="shared" si="52"/>
        <v>1.879620618320331</v>
      </c>
      <c r="S352" s="443">
        <f t="shared" si="53"/>
        <v>1.6274054745752422</v>
      </c>
    </row>
    <row r="353" spans="10:19">
      <c r="J353" s="306"/>
      <c r="K353" s="12" t="s">
        <v>19</v>
      </c>
      <c r="L353" s="300" t="s">
        <v>52</v>
      </c>
      <c r="M353" s="303"/>
      <c r="N353" s="303"/>
      <c r="O353" s="443">
        <f t="shared" si="49"/>
        <v>2.4452060296076255</v>
      </c>
      <c r="P353" s="443">
        <f t="shared" si="50"/>
        <v>2.6863646374710455</v>
      </c>
      <c r="Q353" s="443">
        <f t="shared" si="51"/>
        <v>3.2451122080674542</v>
      </c>
      <c r="R353" s="443">
        <f t="shared" si="52"/>
        <v>3.2471214518764357</v>
      </c>
      <c r="S353" s="443">
        <f t="shared" si="53"/>
        <v>3.1949778277167824</v>
      </c>
    </row>
    <row r="354" spans="10:19">
      <c r="J354" s="306"/>
      <c r="K354" s="12" t="s">
        <v>19</v>
      </c>
      <c r="L354" s="300" t="s">
        <v>73</v>
      </c>
      <c r="M354" s="303"/>
      <c r="N354" s="303"/>
      <c r="O354" s="443">
        <f t="shared" si="49"/>
        <v>1.6283045018074185</v>
      </c>
      <c r="P354" s="443">
        <f t="shared" si="50"/>
        <v>1.6565505631823636</v>
      </c>
      <c r="Q354" s="443">
        <f t="shared" si="51"/>
        <v>1.994613190726872</v>
      </c>
      <c r="R354" s="443">
        <f t="shared" si="52"/>
        <v>2.0789196066073865</v>
      </c>
      <c r="S354" s="443">
        <f t="shared" si="53"/>
        <v>2.1199115401297548</v>
      </c>
    </row>
    <row r="355" spans="10:19">
      <c r="J355" s="306"/>
      <c r="K355" s="12" t="s">
        <v>19</v>
      </c>
      <c r="L355" s="300" t="s">
        <v>74</v>
      </c>
      <c r="M355" s="303"/>
      <c r="N355" s="303"/>
      <c r="O355" s="443">
        <f t="shared" si="49"/>
        <v>2.5147098607524767</v>
      </c>
      <c r="P355" s="443">
        <f t="shared" si="50"/>
        <v>2.0111359536328322</v>
      </c>
      <c r="Q355" s="443">
        <f t="shared" si="51"/>
        <v>2.2888374165253715</v>
      </c>
      <c r="R355" s="443">
        <f t="shared" si="52"/>
        <v>2.2979805846553809</v>
      </c>
      <c r="S355" s="443">
        <f t="shared" si="53"/>
        <v>2.2000967765397728</v>
      </c>
    </row>
    <row r="356" spans="10:19">
      <c r="J356" s="306"/>
      <c r="K356" s="12" t="s">
        <v>19</v>
      </c>
      <c r="L356" s="300" t="s">
        <v>75</v>
      </c>
      <c r="M356" s="303"/>
      <c r="N356" s="303"/>
      <c r="O356" s="443">
        <f t="shared" si="49"/>
        <v>1.9202047204235748</v>
      </c>
      <c r="P356" s="443">
        <f t="shared" si="50"/>
        <v>1.9649551935208878</v>
      </c>
      <c r="Q356" s="443">
        <f t="shared" si="51"/>
        <v>1.5507971113617918</v>
      </c>
      <c r="R356" s="443">
        <f t="shared" si="52"/>
        <v>1.5902890243792054</v>
      </c>
      <c r="S356" s="443">
        <f t="shared" si="53"/>
        <v>1.6193652623223738</v>
      </c>
    </row>
    <row r="357" spans="10:19">
      <c r="J357" s="306"/>
      <c r="K357" s="12" t="s">
        <v>19</v>
      </c>
      <c r="L357" s="300" t="s">
        <v>76</v>
      </c>
      <c r="M357" s="303"/>
      <c r="N357" s="303"/>
      <c r="O357" s="443">
        <f t="shared" si="49"/>
        <v>1.6975251045890898</v>
      </c>
      <c r="P357" s="443">
        <f t="shared" si="50"/>
        <v>1.7543655520322081</v>
      </c>
      <c r="Q357" s="443">
        <f t="shared" si="51"/>
        <v>1.759814387103632</v>
      </c>
      <c r="R357" s="443">
        <f t="shared" si="52"/>
        <v>1.7680790816040324</v>
      </c>
      <c r="S357" s="443">
        <f t="shared" si="53"/>
        <v>1.7710650214858294</v>
      </c>
    </row>
    <row r="358" spans="10:19">
      <c r="J358" s="306"/>
      <c r="K358" s="12" t="s">
        <v>19</v>
      </c>
      <c r="L358" s="300" t="s">
        <v>77</v>
      </c>
      <c r="M358" s="303"/>
      <c r="N358" s="303"/>
      <c r="O358" s="443">
        <f t="shared" si="49"/>
        <v>1.1045735829991152</v>
      </c>
      <c r="P358" s="443">
        <f t="shared" si="50"/>
        <v>1.2481154878835481</v>
      </c>
      <c r="Q358" s="443">
        <f t="shared" si="51"/>
        <v>0.9794682936946647</v>
      </c>
      <c r="R358" s="443">
        <f t="shared" si="52"/>
        <v>0.9393458114391412</v>
      </c>
      <c r="S358" s="443">
        <f t="shared" si="53"/>
        <v>0.90145128468921265</v>
      </c>
    </row>
    <row r="359" spans="10:19">
      <c r="J359" s="306"/>
      <c r="K359" s="12" t="s">
        <v>19</v>
      </c>
      <c r="L359" s="300" t="s">
        <v>50</v>
      </c>
      <c r="M359" s="303"/>
      <c r="N359" s="303"/>
      <c r="O359" s="443">
        <f t="shared" si="49"/>
        <v>3.1805509860299637</v>
      </c>
      <c r="P359" s="443">
        <f t="shared" si="50"/>
        <v>3.443726313384269</v>
      </c>
      <c r="Q359" s="443">
        <f t="shared" si="51"/>
        <v>3.2027703322122294</v>
      </c>
      <c r="R359" s="443">
        <f t="shared" si="52"/>
        <v>2.8395998744587176</v>
      </c>
      <c r="S359" s="443">
        <f t="shared" si="53"/>
        <v>2.3794962571487357</v>
      </c>
    </row>
    <row r="360" spans="10:19">
      <c r="J360" s="306"/>
      <c r="K360" s="12" t="s">
        <v>19</v>
      </c>
      <c r="L360" s="1213" t="s">
        <v>51</v>
      </c>
      <c r="M360" s="303"/>
      <c r="N360" s="303"/>
      <c r="O360" s="443">
        <f t="shared" si="49"/>
        <v>2.6894129288748267</v>
      </c>
      <c r="P360" s="443">
        <f t="shared" si="50"/>
        <v>2.6869072086597572</v>
      </c>
      <c r="Q360" s="443">
        <f t="shared" si="51"/>
        <v>2.5319936565029257</v>
      </c>
      <c r="R360" s="443">
        <f t="shared" si="52"/>
        <v>2.209021816450909</v>
      </c>
      <c r="S360" s="443">
        <f t="shared" si="53"/>
        <v>1.8921211750749203</v>
      </c>
    </row>
    <row r="361" spans="10:19">
      <c r="J361" s="306"/>
      <c r="K361" s="12" t="s">
        <v>19</v>
      </c>
      <c r="L361" s="1213" t="s">
        <v>78</v>
      </c>
      <c r="M361" s="303"/>
      <c r="N361" s="303"/>
      <c r="O361" s="443">
        <f t="shared" si="49"/>
        <v>2.9043778341096229</v>
      </c>
      <c r="P361" s="443">
        <f t="shared" si="50"/>
        <v>2.9628289717220282</v>
      </c>
      <c r="Q361" s="443">
        <f t="shared" si="51"/>
        <v>2.8062698024668649</v>
      </c>
      <c r="R361" s="443">
        <f t="shared" si="52"/>
        <v>2.4167890178297453</v>
      </c>
      <c r="S361" s="443">
        <f t="shared" si="53"/>
        <v>2.2833714738740758</v>
      </c>
    </row>
    <row r="362" spans="10:19">
      <c r="J362" s="306"/>
      <c r="K362" s="12" t="s">
        <v>19</v>
      </c>
      <c r="L362" s="1213" t="s">
        <v>79</v>
      </c>
      <c r="M362" s="303"/>
      <c r="N362" s="303"/>
      <c r="O362" s="443">
        <f t="shared" si="49"/>
        <v>1.1717335690418802</v>
      </c>
      <c r="P362" s="443">
        <f t="shared" si="50"/>
        <v>1.1381649461970083</v>
      </c>
      <c r="Q362" s="443">
        <f t="shared" si="51"/>
        <v>1.0998895810445213</v>
      </c>
      <c r="R362" s="443">
        <f t="shared" si="52"/>
        <v>0.92600168593128307</v>
      </c>
      <c r="S362" s="443">
        <f t="shared" si="53"/>
        <v>0.94588260144871661</v>
      </c>
    </row>
    <row r="363" spans="10:19">
      <c r="J363" s="306"/>
      <c r="K363" s="12" t="s">
        <v>19</v>
      </c>
      <c r="L363" s="1213" t="s">
        <v>80</v>
      </c>
      <c r="M363" s="303"/>
      <c r="N363" s="303"/>
      <c r="O363" s="443">
        <f t="shared" si="49"/>
        <v>1.6861133755679081</v>
      </c>
      <c r="P363" s="443">
        <f t="shared" si="50"/>
        <v>1.7826452923392382</v>
      </c>
      <c r="Q363" s="443">
        <f t="shared" si="51"/>
        <v>1.713565271817711</v>
      </c>
      <c r="R363" s="443">
        <f t="shared" si="52"/>
        <v>1.4209080602462074</v>
      </c>
      <c r="S363" s="443">
        <f t="shared" si="53"/>
        <v>1.3642900892023042</v>
      </c>
    </row>
    <row r="364" spans="10:19">
      <c r="J364" s="306"/>
      <c r="K364" s="12" t="s">
        <v>25</v>
      </c>
      <c r="L364" s="300" t="s">
        <v>81</v>
      </c>
      <c r="M364" s="443">
        <f t="shared" ref="M364:M378" si="54">C329*F$34</f>
        <v>2.0133728461154154</v>
      </c>
      <c r="N364" s="443">
        <f t="shared" ref="N364:N378" si="55">D329*G$34</f>
        <v>2.1418957231904723</v>
      </c>
      <c r="O364" s="443">
        <f t="shared" ref="O364:O378" si="56">E329*H$34</f>
        <v>2.2391669312259666</v>
      </c>
      <c r="P364" s="443">
        <f t="shared" ref="P364:P378" si="57">F329*I$34</f>
        <v>2.2599595913208734</v>
      </c>
      <c r="Q364" s="443">
        <f t="shared" ref="Q364:Q378" si="58">G329*J$34</f>
        <v>2.2621018298071291</v>
      </c>
      <c r="R364" s="303"/>
      <c r="S364" s="303"/>
    </row>
    <row r="365" spans="10:19">
      <c r="J365" s="306"/>
      <c r="K365" s="12" t="s">
        <v>25</v>
      </c>
      <c r="L365" s="300" t="s">
        <v>4</v>
      </c>
      <c r="M365" s="443">
        <f t="shared" si="54"/>
        <v>1.45159346496409</v>
      </c>
      <c r="N365" s="443">
        <f t="shared" si="55"/>
        <v>1.5479360762098613</v>
      </c>
      <c r="O365" s="443">
        <f t="shared" si="56"/>
        <v>1.6255473216138241</v>
      </c>
      <c r="P365" s="443">
        <f t="shared" si="57"/>
        <v>1.6419717157885343</v>
      </c>
      <c r="Q365" s="443">
        <f t="shared" si="58"/>
        <v>1.6442306253451442</v>
      </c>
      <c r="R365" s="303"/>
      <c r="S365" s="303"/>
    </row>
    <row r="366" spans="10:19">
      <c r="J366" s="306"/>
      <c r="K366" s="12" t="s">
        <v>25</v>
      </c>
      <c r="L366" s="300" t="s">
        <v>82</v>
      </c>
      <c r="M366" s="443">
        <f t="shared" si="54"/>
        <v>1.0750684474433292</v>
      </c>
      <c r="N366" s="443">
        <f t="shared" si="55"/>
        <v>1.1449237963538723</v>
      </c>
      <c r="O366" s="443">
        <f t="shared" si="56"/>
        <v>1.1986348267818212</v>
      </c>
      <c r="P366" s="443">
        <f t="shared" si="57"/>
        <v>1.2074721856240727</v>
      </c>
      <c r="Q366" s="443">
        <f t="shared" si="58"/>
        <v>1.213850953390142</v>
      </c>
      <c r="R366" s="303"/>
      <c r="S366" s="303"/>
    </row>
    <row r="367" spans="10:19">
      <c r="J367" s="306"/>
      <c r="K367" s="12" t="s">
        <v>25</v>
      </c>
      <c r="L367" s="300" t="s">
        <v>83</v>
      </c>
      <c r="M367" s="443">
        <f t="shared" si="54"/>
        <v>1.4005094318518456</v>
      </c>
      <c r="N367" s="443">
        <f t="shared" si="55"/>
        <v>1.5044887127457629</v>
      </c>
      <c r="O367" s="443">
        <f t="shared" si="56"/>
        <v>1.5710607916374855</v>
      </c>
      <c r="P367" s="443">
        <f t="shared" si="57"/>
        <v>1.5749472278668473</v>
      </c>
      <c r="Q367" s="443">
        <f t="shared" si="58"/>
        <v>1.5727200037661606</v>
      </c>
      <c r="R367" s="303"/>
      <c r="S367" s="303"/>
    </row>
    <row r="368" spans="10:19">
      <c r="J368" s="306"/>
      <c r="K368" s="12" t="s">
        <v>25</v>
      </c>
      <c r="L368" s="300" t="s">
        <v>84</v>
      </c>
      <c r="M368" s="443">
        <f t="shared" si="54"/>
        <v>1.3770020969944794</v>
      </c>
      <c r="N368" s="443">
        <f t="shared" si="55"/>
        <v>1.4698237328853871</v>
      </c>
      <c r="O368" s="443">
        <f t="shared" si="56"/>
        <v>1.5893025100665914</v>
      </c>
      <c r="P368" s="443">
        <f t="shared" si="57"/>
        <v>1.628202006752475</v>
      </c>
      <c r="Q368" s="443">
        <f t="shared" si="58"/>
        <v>1.6466528849619542</v>
      </c>
      <c r="R368" s="303"/>
      <c r="S368" s="303"/>
    </row>
    <row r="369" spans="9:19">
      <c r="J369" s="306"/>
      <c r="K369" s="12" t="s">
        <v>25</v>
      </c>
      <c r="L369" s="300" t="s">
        <v>85</v>
      </c>
      <c r="M369" s="443">
        <f t="shared" si="54"/>
        <v>1.0505445643506788</v>
      </c>
      <c r="N369" s="443">
        <f t="shared" si="55"/>
        <v>1.1493864205578144</v>
      </c>
      <c r="O369" s="443">
        <f t="shared" si="56"/>
        <v>1.2135158835667619</v>
      </c>
      <c r="P369" s="443">
        <f t="shared" si="57"/>
        <v>1.2298387589831115</v>
      </c>
      <c r="Q369" s="443">
        <f t="shared" si="58"/>
        <v>1.2385740495721971</v>
      </c>
      <c r="R369" s="303"/>
      <c r="S369" s="303"/>
    </row>
    <row r="370" spans="9:19">
      <c r="J370" s="306"/>
      <c r="K370" s="12" t="s">
        <v>25</v>
      </c>
      <c r="L370" s="300" t="s">
        <v>86</v>
      </c>
      <c r="M370" s="443">
        <f t="shared" si="54"/>
        <v>2.2144683059474937</v>
      </c>
      <c r="N370" s="443">
        <f t="shared" si="55"/>
        <v>2.3632722686101286</v>
      </c>
      <c r="O370" s="443">
        <f t="shared" si="56"/>
        <v>2.5128567395613972</v>
      </c>
      <c r="P370" s="443">
        <f t="shared" si="57"/>
        <v>2.5620617221468112</v>
      </c>
      <c r="Q370" s="443">
        <f t="shared" si="58"/>
        <v>2.6036048034764492</v>
      </c>
      <c r="R370" s="303"/>
      <c r="S370" s="303"/>
    </row>
    <row r="371" spans="9:19">
      <c r="J371" s="306"/>
      <c r="K371" s="12" t="s">
        <v>25</v>
      </c>
      <c r="L371" s="300" t="s">
        <v>87</v>
      </c>
      <c r="M371" s="443">
        <f t="shared" si="54"/>
        <v>1.4190528767140227</v>
      </c>
      <c r="N371" s="443">
        <f t="shared" si="55"/>
        <v>1.493318445925756</v>
      </c>
      <c r="O371" s="443">
        <f t="shared" si="56"/>
        <v>1.5606456846976191</v>
      </c>
      <c r="P371" s="443">
        <f t="shared" si="57"/>
        <v>1.6042850304107827</v>
      </c>
      <c r="Q371" s="443">
        <f t="shared" si="58"/>
        <v>1.6357619608760947</v>
      </c>
      <c r="R371" s="304"/>
      <c r="S371" s="304"/>
    </row>
    <row r="372" spans="9:19">
      <c r="J372" s="306"/>
      <c r="K372" s="12" t="s">
        <v>27</v>
      </c>
      <c r="L372" s="300" t="s">
        <v>88</v>
      </c>
      <c r="M372" s="443">
        <f t="shared" si="54"/>
        <v>2.6120551542720909</v>
      </c>
      <c r="N372" s="443">
        <f t="shared" si="55"/>
        <v>2.9495168143381898</v>
      </c>
      <c r="O372" s="443">
        <f t="shared" si="56"/>
        <v>3.1335283927784818</v>
      </c>
      <c r="P372" s="443">
        <f t="shared" si="57"/>
        <v>2.9609698694606355</v>
      </c>
      <c r="Q372" s="443">
        <f t="shared" si="58"/>
        <v>2.9602975532827873</v>
      </c>
      <c r="R372" s="303"/>
      <c r="S372" s="303"/>
    </row>
    <row r="373" spans="9:19">
      <c r="J373" s="306"/>
      <c r="K373" s="12" t="s">
        <v>27</v>
      </c>
      <c r="L373" s="300" t="s">
        <v>89</v>
      </c>
      <c r="M373" s="443">
        <f t="shared" si="54"/>
        <v>0.38548075528056391</v>
      </c>
      <c r="N373" s="443">
        <f t="shared" si="55"/>
        <v>0.39896371558689253</v>
      </c>
      <c r="O373" s="443">
        <f t="shared" si="56"/>
        <v>0.43947528461861962</v>
      </c>
      <c r="P373" s="443">
        <f t="shared" si="57"/>
        <v>0.42124200591645689</v>
      </c>
      <c r="Q373" s="443">
        <f t="shared" si="58"/>
        <v>0.39107449505681741</v>
      </c>
      <c r="R373" s="303"/>
      <c r="S373" s="303"/>
    </row>
    <row r="374" spans="9:19">
      <c r="J374" s="306"/>
      <c r="K374" s="12" t="s">
        <v>27</v>
      </c>
      <c r="L374" s="300" t="s">
        <v>90</v>
      </c>
      <c r="M374" s="443">
        <f t="shared" si="54"/>
        <v>2.997535909552655</v>
      </c>
      <c r="N374" s="443">
        <f t="shared" si="55"/>
        <v>3.3484805299250824</v>
      </c>
      <c r="O374" s="443">
        <f t="shared" si="56"/>
        <v>3.5730036773971015</v>
      </c>
      <c r="P374" s="443">
        <f t="shared" si="57"/>
        <v>3.3822118753770924</v>
      </c>
      <c r="Q374" s="443">
        <f t="shared" si="58"/>
        <v>3.3513720483396048</v>
      </c>
      <c r="R374" s="303"/>
      <c r="S374" s="303"/>
    </row>
    <row r="375" spans="9:19">
      <c r="K375" s="12" t="s">
        <v>22</v>
      </c>
      <c r="L375" s="300" t="s">
        <v>91</v>
      </c>
      <c r="M375" s="443">
        <f t="shared" si="54"/>
        <v>6.2859381878770506</v>
      </c>
      <c r="N375" s="443">
        <f t="shared" si="55"/>
        <v>6.6850844658020172</v>
      </c>
      <c r="O375" s="443">
        <f t="shared" si="56"/>
        <v>6.7825067216390158</v>
      </c>
      <c r="P375" s="443">
        <f t="shared" si="57"/>
        <v>6.6657976071085736</v>
      </c>
      <c r="Q375" s="443">
        <f t="shared" si="58"/>
        <v>6.560498307682983</v>
      </c>
      <c r="R375" s="303"/>
      <c r="S375" s="303"/>
    </row>
    <row r="376" spans="9:19">
      <c r="I376" s="306"/>
      <c r="K376" s="12" t="s">
        <v>29</v>
      </c>
      <c r="L376" s="300" t="s">
        <v>29</v>
      </c>
      <c r="M376" s="443">
        <f t="shared" si="54"/>
        <v>0.86311816985156387</v>
      </c>
      <c r="N376" s="443">
        <f t="shared" si="55"/>
        <v>0.96024664390211045</v>
      </c>
      <c r="O376" s="443">
        <f t="shared" si="56"/>
        <v>1.0402583880067258</v>
      </c>
      <c r="P376" s="443">
        <f t="shared" si="57"/>
        <v>1.1074157141400709</v>
      </c>
      <c r="Q376" s="443">
        <f t="shared" si="58"/>
        <v>1.150574131686835</v>
      </c>
      <c r="R376" s="303"/>
      <c r="S376" s="303"/>
    </row>
    <row r="377" spans="9:19">
      <c r="I377" s="306"/>
      <c r="K377" s="12" t="s">
        <v>22</v>
      </c>
      <c r="L377" s="300" t="s">
        <v>92</v>
      </c>
      <c r="M377" s="443">
        <f t="shared" si="54"/>
        <v>1.1575477432860892</v>
      </c>
      <c r="N377" s="443">
        <f t="shared" si="55"/>
        <v>1.3425273948522578</v>
      </c>
      <c r="O377" s="443">
        <f t="shared" si="56"/>
        <v>1.4059105174017772</v>
      </c>
      <c r="P377" s="443">
        <f t="shared" si="57"/>
        <v>1.3855870508328327</v>
      </c>
      <c r="Q377" s="443">
        <f t="shared" si="58"/>
        <v>1.3108908920767421</v>
      </c>
      <c r="R377" s="303"/>
      <c r="S377" s="303"/>
    </row>
    <row r="378" spans="9:19">
      <c r="I378" s="306"/>
      <c r="K378" s="12" t="s">
        <v>22</v>
      </c>
      <c r="L378" s="300" t="s">
        <v>54</v>
      </c>
      <c r="M378" s="443">
        <f t="shared" si="54"/>
        <v>1.5684714523676531</v>
      </c>
      <c r="N378" s="443">
        <f t="shared" si="55"/>
        <v>2.06022256626725</v>
      </c>
      <c r="O378" s="443">
        <f t="shared" si="56"/>
        <v>2.1670567972287373</v>
      </c>
      <c r="P378" s="443">
        <f t="shared" si="57"/>
        <v>2.2110656355662512</v>
      </c>
      <c r="Q378" s="443">
        <f t="shared" si="58"/>
        <v>2.1239053012328939</v>
      </c>
      <c r="R378" s="303"/>
      <c r="S378" s="303"/>
    </row>
    <row r="379" spans="9:19">
      <c r="I379" s="306"/>
      <c r="K379" s="94"/>
      <c r="L379" s="94"/>
      <c r="M379" s="94"/>
    </row>
    <row r="380" spans="9:19">
      <c r="I380" s="306"/>
    </row>
    <row r="381" spans="9:19">
      <c r="I381" s="306"/>
    </row>
    <row r="382" spans="9:19">
      <c r="I382" s="306"/>
    </row>
    <row r="383" spans="9:19">
      <c r="I383" s="306"/>
    </row>
  </sheetData>
  <mergeCells count="152">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s>
  <conditionalFormatting sqref="C97:I97">
    <cfRule type="expression" dxfId="128" priority="13">
      <formula>AND(#REF!="Actuals",#REF!="Forecast")</formula>
    </cfRule>
  </conditionalFormatting>
  <conditionalFormatting sqref="H61">
    <cfRule type="expression" dxfId="126" priority="18">
      <formula>AND(#REF!="Actuals",#REF!="Forecast")</formula>
    </cfRule>
  </conditionalFormatting>
  <conditionalFormatting sqref="H62:U62">
    <cfRule type="expression" dxfId="124" priority="6">
      <formula>AND(#REF!="Actuals",#REF!="Forecast")</formula>
    </cfRule>
  </conditionalFormatting>
  <conditionalFormatting sqref="O61">
    <cfRule type="expression" dxfId="121"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workbookViewId="0">
      <selection activeCell="K18" sqref="K18"/>
    </sheetView>
  </sheetViews>
  <sheetFormatPr defaultColWidth="9" defaultRowHeight="13.5" zeroHeight="1"/>
  <cols>
    <col min="1" max="1" width="12" style="1113" customWidth="1"/>
    <col min="2" max="2" width="8.3828125" style="1110" customWidth="1"/>
    <col min="3" max="4" width="9.3828125" style="412" customWidth="1"/>
    <col min="5" max="5" width="9.3828125" style="1111" customWidth="1"/>
    <col min="6" max="6" width="9.3828125" style="412" customWidth="1"/>
    <col min="7" max="8" width="9.3828125" style="1112" customWidth="1"/>
    <col min="9" max="9" width="10" style="412" customWidth="1"/>
    <col min="10" max="19" width="13.4609375" style="412" customWidth="1"/>
    <col min="20" max="20" width="11" style="114" customWidth="1"/>
    <col min="21" max="21" width="8.4609375" style="411" customWidth="1"/>
    <col min="22" max="48" width="9" style="114" customWidth="1"/>
    <col min="49" max="16384" width="9" style="114"/>
  </cols>
  <sheetData>
    <row r="1" spans="1:21" s="1055" customFormat="1" ht="19.5">
      <c r="A1" s="1052" t="str">
        <f ca="1">MID(CELL("filename",A1),FIND("]",CELL("filename",A1))+1,256)</f>
        <v>I2 - Monthly Inflation</v>
      </c>
      <c r="B1" s="1053"/>
      <c r="C1" s="1053"/>
      <c r="D1" s="1053"/>
      <c r="E1" s="1053"/>
      <c r="F1" s="1053"/>
      <c r="G1" s="1053"/>
      <c r="H1" s="1053"/>
      <c r="I1" s="1054"/>
      <c r="J1" s="1097"/>
      <c r="K1" s="1097"/>
      <c r="L1" s="1097"/>
      <c r="M1" s="1097"/>
      <c r="N1" s="1097"/>
      <c r="O1" s="1097"/>
      <c r="P1" s="1097"/>
      <c r="Q1" s="1097"/>
    </row>
    <row r="2" spans="1:21" s="1055" customFormat="1" ht="19.5">
      <c r="A2" s="1052" t="str">
        <f>Licensee</f>
        <v>Cadent-London</v>
      </c>
      <c r="B2" s="1053"/>
      <c r="C2" s="1053"/>
      <c r="D2" s="1053"/>
      <c r="E2" s="1053"/>
      <c r="F2" s="1053"/>
      <c r="G2" s="1053"/>
      <c r="H2" s="1053"/>
      <c r="I2" s="1054"/>
      <c r="J2" s="1097"/>
      <c r="K2" s="1097"/>
      <c r="L2" s="1097"/>
      <c r="M2" s="1097"/>
      <c r="N2" s="1097"/>
      <c r="O2" s="1097"/>
      <c r="P2" s="1097"/>
      <c r="Q2" s="1097"/>
    </row>
    <row r="3" spans="1:21" s="1055" customFormat="1" ht="19.5">
      <c r="A3" s="1056" t="str">
        <f>Sector</f>
        <v>GD2</v>
      </c>
      <c r="B3" s="1057"/>
      <c r="C3" s="1057"/>
      <c r="D3" s="1057"/>
      <c r="E3" s="1057"/>
      <c r="F3" s="1057"/>
      <c r="G3" s="1057"/>
      <c r="H3" s="1057"/>
      <c r="I3" s="1058"/>
      <c r="J3" s="1097"/>
      <c r="K3" s="1097"/>
      <c r="L3" s="1097"/>
      <c r="M3" s="1097"/>
      <c r="N3" s="1097"/>
      <c r="O3" s="1097"/>
      <c r="P3" s="1097"/>
      <c r="Q3" s="1097"/>
    </row>
    <row r="4" spans="1:21" s="1060" customFormat="1" ht="14.5">
      <c r="A4" s="391" t="s">
        <v>1150</v>
      </c>
      <c r="B4" s="391"/>
      <c r="C4" s="392"/>
      <c r="D4" s="393"/>
      <c r="E4" s="393"/>
      <c r="F4" s="393"/>
      <c r="G4" s="393"/>
      <c r="H4" s="393"/>
      <c r="I4" s="394"/>
      <c r="J4" s="1059"/>
      <c r="K4" s="1059"/>
      <c r="L4" s="1059"/>
      <c r="M4" s="1059"/>
      <c r="N4" s="1059"/>
      <c r="O4" s="1059"/>
      <c r="P4" s="1059"/>
      <c r="R4" s="1055"/>
      <c r="S4" s="1055"/>
    </row>
    <row r="5" spans="1:21" ht="32.25" customHeight="1">
      <c r="A5" s="1098" t="s">
        <v>1151</v>
      </c>
      <c r="B5" s="1098" t="s">
        <v>1152</v>
      </c>
      <c r="C5" s="1099" t="s">
        <v>1153</v>
      </c>
      <c r="D5" s="1099" t="s">
        <v>1154</v>
      </c>
      <c r="E5" s="1100" t="s">
        <v>1155</v>
      </c>
      <c r="F5" s="1101" t="s">
        <v>1156</v>
      </c>
      <c r="G5" s="1102" t="s">
        <v>202</v>
      </c>
      <c r="H5" s="1102" t="s">
        <v>183</v>
      </c>
      <c r="I5" s="1103"/>
      <c r="J5" s="1103"/>
      <c r="K5" s="1103"/>
      <c r="L5" s="1103"/>
      <c r="M5" s="1103"/>
      <c r="N5" s="1103"/>
      <c r="O5" s="1103"/>
      <c r="P5" s="1103"/>
      <c r="Q5" s="1103"/>
      <c r="R5" s="1103"/>
      <c r="S5" s="1103"/>
      <c r="U5" s="114"/>
    </row>
    <row r="6" spans="1:21">
      <c r="A6" s="1114">
        <f>EOMONTH(DATE(1999, 4, 1), 0)</f>
        <v>36280</v>
      </c>
      <c r="B6" s="1115">
        <f t="shared" ref="B6:B69" si="0">IF(MONTH(A6)&gt;=4,YEAR(A6)+1,YEAR(A6))</f>
        <v>2000</v>
      </c>
      <c r="C6" s="1283">
        <v>72.599999999999994</v>
      </c>
      <c r="D6" s="1283">
        <v>165.2</v>
      </c>
      <c r="E6" s="1116" t="str">
        <f>IF($A6&lt;DATE(2018,7,1),"-",INDEX('I1 - Universal Data'!$E$16:$V$16, MATCH(YEAR(EOMONTH($A6,6)), 'I1 - Universal Data'!$E$14:$V$14, 0)))</f>
        <v>-</v>
      </c>
      <c r="F6" s="1116" t="str">
        <f>IF($A6&lt;DATE(2018,7,1),"-",INDEX('I1 - Universal Data'!$E$15:$V$15, MATCH(YEAR(EOMONTH($A6,6)), 'I1 - Universal Data'!$E$14:$V$14, 0)))</f>
        <v>-</v>
      </c>
      <c r="G6" s="1117">
        <f t="shared" ref="G6:H21" si="1">IF(ISBLANK(C6),G5*((1+E6)^(1/12)),C6)</f>
        <v>72.599999999999994</v>
      </c>
      <c r="H6" s="1117">
        <f t="shared" si="1"/>
        <v>165.2</v>
      </c>
      <c r="U6" s="114"/>
    </row>
    <row r="7" spans="1:21">
      <c r="A7" s="1114">
        <f t="shared" ref="A7:A70" si="2">IF(MONTH(A6) = 12, EOMONTH(DATE(YEAR(A6) + 1, 1, 1), 0), EOMONTH(DATE(YEAR(A6), MONTH(A6) + 1, 1), 0))</f>
        <v>36311</v>
      </c>
      <c r="B7" s="1115">
        <f t="shared" si="0"/>
        <v>2000</v>
      </c>
      <c r="C7" s="1283">
        <v>72.8</v>
      </c>
      <c r="D7" s="1283">
        <v>165.6</v>
      </c>
      <c r="E7" s="1116" t="str">
        <f>IF($A7&lt;DATE(2018,7,1),"-",INDEX('I1 - Universal Data'!$E$16:$V$16, MATCH(YEAR(EOMONTH($A7,6)), 'I1 - Universal Data'!$E$14:$V$14, 0)))</f>
        <v>-</v>
      </c>
      <c r="F7" s="1116" t="str">
        <f>IF($A7&lt;DATE(2018,7,1),"-",INDEX('I1 - Universal Data'!$E$15:$V$15, MATCH(YEAR(EOMONTH($A7,6)), 'I1 - Universal Data'!$E$14:$V$14, 0)))</f>
        <v>-</v>
      </c>
      <c r="G7" s="1117">
        <f t="shared" si="1"/>
        <v>72.8</v>
      </c>
      <c r="H7" s="1117">
        <f t="shared" si="1"/>
        <v>165.6</v>
      </c>
      <c r="U7" s="114"/>
    </row>
    <row r="8" spans="1:21">
      <c r="A8" s="1114">
        <f t="shared" si="2"/>
        <v>36341</v>
      </c>
      <c r="B8" s="1115">
        <f t="shared" si="0"/>
        <v>2000</v>
      </c>
      <c r="C8" s="1283">
        <v>72.7</v>
      </c>
      <c r="D8" s="1283">
        <v>165.6</v>
      </c>
      <c r="E8" s="1116" t="str">
        <f>IF($A8&lt;DATE(2018,7,1),"-",INDEX('I1 - Universal Data'!$E$16:$V$16, MATCH(YEAR(EOMONTH($A8,6)), 'I1 - Universal Data'!$E$14:$V$14, 0)))</f>
        <v>-</v>
      </c>
      <c r="F8" s="1116" t="str">
        <f>IF($A8&lt;DATE(2018,7,1),"-",INDEX('I1 - Universal Data'!$E$15:$V$15, MATCH(YEAR(EOMONTH($A8,6)), 'I1 - Universal Data'!$E$14:$V$14, 0)))</f>
        <v>-</v>
      </c>
      <c r="G8" s="1117">
        <f t="shared" si="1"/>
        <v>72.7</v>
      </c>
      <c r="H8" s="1117">
        <f t="shared" si="1"/>
        <v>165.6</v>
      </c>
      <c r="U8" s="114"/>
    </row>
    <row r="9" spans="1:21">
      <c r="A9" s="1114">
        <f t="shared" si="2"/>
        <v>36372</v>
      </c>
      <c r="B9" s="1115">
        <f t="shared" si="0"/>
        <v>2000</v>
      </c>
      <c r="C9" s="1283">
        <v>72.400000000000006</v>
      </c>
      <c r="D9" s="1283">
        <v>165.1</v>
      </c>
      <c r="E9" s="1116" t="str">
        <f>IF($A9&lt;DATE(2018,7,1),"-",INDEX('I1 - Universal Data'!$E$16:$V$16, MATCH(YEAR(EOMONTH($A9,6)), 'I1 - Universal Data'!$E$14:$V$14, 0)))</f>
        <v>-</v>
      </c>
      <c r="F9" s="1116" t="str">
        <f>IF($A9&lt;DATE(2018,7,1),"-",INDEX('I1 - Universal Data'!$E$15:$V$15, MATCH(YEAR(EOMONTH($A9,6)), 'I1 - Universal Data'!$E$14:$V$14, 0)))</f>
        <v>-</v>
      </c>
      <c r="G9" s="1117">
        <f t="shared" si="1"/>
        <v>72.400000000000006</v>
      </c>
      <c r="H9" s="1117">
        <f t="shared" si="1"/>
        <v>165.1</v>
      </c>
      <c r="U9" s="114"/>
    </row>
    <row r="10" spans="1:21">
      <c r="A10" s="1114">
        <f t="shared" si="2"/>
        <v>36403</v>
      </c>
      <c r="B10" s="1115">
        <f t="shared" si="0"/>
        <v>2000</v>
      </c>
      <c r="C10" s="1283">
        <v>72.599999999999994</v>
      </c>
      <c r="D10" s="1283">
        <v>165.5</v>
      </c>
      <c r="E10" s="1116" t="str">
        <f>IF($A10&lt;DATE(2018,7,1),"-",INDEX('I1 - Universal Data'!$E$16:$V$16, MATCH(YEAR(EOMONTH($A10,6)), 'I1 - Universal Data'!$E$14:$V$14, 0)))</f>
        <v>-</v>
      </c>
      <c r="F10" s="1116" t="str">
        <f>IF($A10&lt;DATE(2018,7,1),"-",INDEX('I1 - Universal Data'!$E$15:$V$15, MATCH(YEAR(EOMONTH($A10,6)), 'I1 - Universal Data'!$E$14:$V$14, 0)))</f>
        <v>-</v>
      </c>
      <c r="G10" s="1117">
        <f t="shared" si="1"/>
        <v>72.599999999999994</v>
      </c>
      <c r="H10" s="1117">
        <f t="shared" si="1"/>
        <v>165.5</v>
      </c>
      <c r="U10" s="114"/>
    </row>
    <row r="11" spans="1:21">
      <c r="A11" s="1114">
        <f t="shared" si="2"/>
        <v>36433</v>
      </c>
      <c r="B11" s="1115">
        <f t="shared" si="0"/>
        <v>2000</v>
      </c>
      <c r="C11" s="1283">
        <v>72.8</v>
      </c>
      <c r="D11" s="1283">
        <v>166.2</v>
      </c>
      <c r="E11" s="1116" t="str">
        <f>IF($A11&lt;DATE(2018,7,1),"-",INDEX('I1 - Universal Data'!$E$16:$V$16, MATCH(YEAR(EOMONTH($A11,6)), 'I1 - Universal Data'!$E$14:$V$14, 0)))</f>
        <v>-</v>
      </c>
      <c r="F11" s="1116" t="str">
        <f>IF($A11&lt;DATE(2018,7,1),"-",INDEX('I1 - Universal Data'!$E$15:$V$15, MATCH(YEAR(EOMONTH($A11,6)), 'I1 - Universal Data'!$E$14:$V$14, 0)))</f>
        <v>-</v>
      </c>
      <c r="G11" s="1117">
        <f t="shared" si="1"/>
        <v>72.8</v>
      </c>
      <c r="H11" s="1117">
        <f t="shared" si="1"/>
        <v>166.2</v>
      </c>
      <c r="U11" s="114"/>
    </row>
    <row r="12" spans="1:21">
      <c r="A12" s="1114">
        <f t="shared" si="2"/>
        <v>36464</v>
      </c>
      <c r="B12" s="1115">
        <f t="shared" si="0"/>
        <v>2000</v>
      </c>
      <c r="C12" s="1283">
        <v>72.8</v>
      </c>
      <c r="D12" s="1283">
        <v>166.5</v>
      </c>
      <c r="E12" s="1116" t="str">
        <f>IF($A12&lt;DATE(2018,7,1),"-",INDEX('I1 - Universal Data'!$E$16:$V$16, MATCH(YEAR(EOMONTH($A12,6)), 'I1 - Universal Data'!$E$14:$V$14, 0)))</f>
        <v>-</v>
      </c>
      <c r="F12" s="1116" t="str">
        <f>IF($A12&lt;DATE(2018,7,1),"-",INDEX('I1 - Universal Data'!$E$15:$V$15, MATCH(YEAR(EOMONTH($A12,6)), 'I1 - Universal Data'!$E$14:$V$14, 0)))</f>
        <v>-</v>
      </c>
      <c r="G12" s="1117">
        <f t="shared" si="1"/>
        <v>72.8</v>
      </c>
      <c r="H12" s="1117">
        <f t="shared" si="1"/>
        <v>166.5</v>
      </c>
      <c r="U12" s="114"/>
    </row>
    <row r="13" spans="1:21">
      <c r="A13" s="1114">
        <f t="shared" si="2"/>
        <v>36494</v>
      </c>
      <c r="B13" s="1115">
        <f t="shared" si="0"/>
        <v>2000</v>
      </c>
      <c r="C13" s="1283">
        <v>72.900000000000006</v>
      </c>
      <c r="D13" s="1283">
        <v>166.7</v>
      </c>
      <c r="E13" s="1116" t="str">
        <f>IF($A13&lt;DATE(2018,7,1),"-",INDEX('I1 - Universal Data'!$E$16:$V$16, MATCH(YEAR(EOMONTH($A13,6)), 'I1 - Universal Data'!$E$14:$V$14, 0)))</f>
        <v>-</v>
      </c>
      <c r="F13" s="1116" t="str">
        <f>IF($A13&lt;DATE(2018,7,1),"-",INDEX('I1 - Universal Data'!$E$15:$V$15, MATCH(YEAR(EOMONTH($A13,6)), 'I1 - Universal Data'!$E$14:$V$14, 0)))</f>
        <v>-</v>
      </c>
      <c r="G13" s="1117">
        <f t="shared" si="1"/>
        <v>72.900000000000006</v>
      </c>
      <c r="H13" s="1117">
        <f t="shared" si="1"/>
        <v>166.7</v>
      </c>
      <c r="U13" s="114"/>
    </row>
    <row r="14" spans="1:21">
      <c r="A14" s="1114">
        <f t="shared" si="2"/>
        <v>36525</v>
      </c>
      <c r="B14" s="1115">
        <f t="shared" si="0"/>
        <v>2000</v>
      </c>
      <c r="C14" s="1283">
        <v>73.099999999999994</v>
      </c>
      <c r="D14" s="1283">
        <v>167.3</v>
      </c>
      <c r="E14" s="1116" t="str">
        <f>IF($A14&lt;DATE(2018,7,1),"-",INDEX('I1 - Universal Data'!$E$16:$V$16, MATCH(YEAR(EOMONTH($A14,6)), 'I1 - Universal Data'!$E$14:$V$14, 0)))</f>
        <v>-</v>
      </c>
      <c r="F14" s="1116" t="str">
        <f>IF($A14&lt;DATE(2018,7,1),"-",INDEX('I1 - Universal Data'!$E$15:$V$15, MATCH(YEAR(EOMONTH($A14,6)), 'I1 - Universal Data'!$E$14:$V$14, 0)))</f>
        <v>-</v>
      </c>
      <c r="G14" s="1117">
        <f t="shared" si="1"/>
        <v>73.099999999999994</v>
      </c>
      <c r="H14" s="1117">
        <f t="shared" si="1"/>
        <v>167.3</v>
      </c>
      <c r="U14" s="114"/>
    </row>
    <row r="15" spans="1:21">
      <c r="A15" s="1114">
        <f t="shared" si="2"/>
        <v>36556</v>
      </c>
      <c r="B15" s="1115">
        <f t="shared" si="0"/>
        <v>2000</v>
      </c>
      <c r="C15" s="1283">
        <v>72.599999999999994</v>
      </c>
      <c r="D15" s="1283">
        <v>166.6</v>
      </c>
      <c r="E15" s="1116" t="str">
        <f>IF($A15&lt;DATE(2018,7,1),"-",INDEX('I1 - Universal Data'!$E$16:$V$16, MATCH(YEAR(EOMONTH($A15,6)), 'I1 - Universal Data'!$E$14:$V$14, 0)))</f>
        <v>-</v>
      </c>
      <c r="F15" s="1116" t="str">
        <f>IF($A15&lt;DATE(2018,7,1),"-",INDEX('I1 - Universal Data'!$E$15:$V$15, MATCH(YEAR(EOMONTH($A15,6)), 'I1 - Universal Data'!$E$14:$V$14, 0)))</f>
        <v>-</v>
      </c>
      <c r="G15" s="1117">
        <f t="shared" si="1"/>
        <v>72.599999999999994</v>
      </c>
      <c r="H15" s="1117">
        <f t="shared" si="1"/>
        <v>166.6</v>
      </c>
      <c r="U15" s="114"/>
    </row>
    <row r="16" spans="1:21">
      <c r="A16" s="1114">
        <f t="shared" si="2"/>
        <v>36585</v>
      </c>
      <c r="B16" s="1115">
        <f t="shared" si="0"/>
        <v>2000</v>
      </c>
      <c r="C16" s="1283">
        <v>72.8</v>
      </c>
      <c r="D16" s="1283">
        <v>167.5</v>
      </c>
      <c r="E16" s="1116" t="str">
        <f>IF($A16&lt;DATE(2018,7,1),"-",INDEX('I1 - Universal Data'!$E$16:$V$16, MATCH(YEAR(EOMONTH($A16,6)), 'I1 - Universal Data'!$E$14:$V$14, 0)))</f>
        <v>-</v>
      </c>
      <c r="F16" s="1116" t="str">
        <f>IF($A16&lt;DATE(2018,7,1),"-",INDEX('I1 - Universal Data'!$E$15:$V$15, MATCH(YEAR(EOMONTH($A16,6)), 'I1 - Universal Data'!$E$14:$V$14, 0)))</f>
        <v>-</v>
      </c>
      <c r="G16" s="1117">
        <f t="shared" si="1"/>
        <v>72.8</v>
      </c>
      <c r="H16" s="1117">
        <f t="shared" si="1"/>
        <v>167.5</v>
      </c>
      <c r="U16" s="114"/>
    </row>
    <row r="17" spans="1:21">
      <c r="A17" s="1114">
        <f t="shared" si="2"/>
        <v>36616</v>
      </c>
      <c r="B17" s="1115">
        <f t="shared" si="0"/>
        <v>2000</v>
      </c>
      <c r="C17" s="1283">
        <v>73</v>
      </c>
      <c r="D17" s="1283">
        <v>168.4</v>
      </c>
      <c r="E17" s="1116" t="str">
        <f>IF($A17&lt;DATE(2018,7,1),"-",INDEX('I1 - Universal Data'!$E$16:$V$16, MATCH(YEAR(EOMONTH($A17,6)), 'I1 - Universal Data'!$E$14:$V$14, 0)))</f>
        <v>-</v>
      </c>
      <c r="F17" s="1116" t="str">
        <f>IF($A17&lt;DATE(2018,7,1),"-",INDEX('I1 - Universal Data'!$E$15:$V$15, MATCH(YEAR(EOMONTH($A17,6)), 'I1 - Universal Data'!$E$14:$V$14, 0)))</f>
        <v>-</v>
      </c>
      <c r="G17" s="1117">
        <f t="shared" si="1"/>
        <v>73</v>
      </c>
      <c r="H17" s="1117">
        <f t="shared" si="1"/>
        <v>168.4</v>
      </c>
      <c r="U17" s="114"/>
    </row>
    <row r="18" spans="1:21">
      <c r="A18" s="1114">
        <f t="shared" si="2"/>
        <v>36646</v>
      </c>
      <c r="B18" s="1115">
        <f t="shared" si="0"/>
        <v>2001</v>
      </c>
      <c r="C18" s="1283">
        <v>73.3</v>
      </c>
      <c r="D18" s="1283">
        <v>170.1</v>
      </c>
      <c r="E18" s="1116" t="str">
        <f>IF($A18&lt;DATE(2018,7,1),"-",INDEX('I1 - Universal Data'!$E$16:$V$16, MATCH(YEAR(EOMONTH($A18,6)), 'I1 - Universal Data'!$E$14:$V$14, 0)))</f>
        <v>-</v>
      </c>
      <c r="F18" s="1116" t="str">
        <f>IF($A18&lt;DATE(2018,7,1),"-",INDEX('I1 - Universal Data'!$E$15:$V$15, MATCH(YEAR(EOMONTH($A18,6)), 'I1 - Universal Data'!$E$14:$V$14, 0)))</f>
        <v>-</v>
      </c>
      <c r="G18" s="1117">
        <f t="shared" si="1"/>
        <v>73.3</v>
      </c>
      <c r="H18" s="1117">
        <f t="shared" si="1"/>
        <v>170.1</v>
      </c>
      <c r="U18" s="114"/>
    </row>
    <row r="19" spans="1:21">
      <c r="A19" s="1114">
        <f t="shared" si="2"/>
        <v>36677</v>
      </c>
      <c r="B19" s="1115">
        <f t="shared" si="0"/>
        <v>2001</v>
      </c>
      <c r="C19" s="1283">
        <v>73.5</v>
      </c>
      <c r="D19" s="1283">
        <v>170.7</v>
      </c>
      <c r="E19" s="1116" t="str">
        <f>IF($A19&lt;DATE(2018,7,1),"-",INDEX('I1 - Universal Data'!$E$16:$V$16, MATCH(YEAR(EOMONTH($A19,6)), 'I1 - Universal Data'!$E$14:$V$14, 0)))</f>
        <v>-</v>
      </c>
      <c r="F19" s="1116" t="str">
        <f>IF($A19&lt;DATE(2018,7,1),"-",INDEX('I1 - Universal Data'!$E$15:$V$15, MATCH(YEAR(EOMONTH($A19,6)), 'I1 - Universal Data'!$E$14:$V$14, 0)))</f>
        <v>-</v>
      </c>
      <c r="G19" s="1117">
        <f t="shared" si="1"/>
        <v>73.5</v>
      </c>
      <c r="H19" s="1117">
        <f t="shared" si="1"/>
        <v>170.7</v>
      </c>
      <c r="U19" s="114"/>
    </row>
    <row r="20" spans="1:21">
      <c r="A20" s="1114">
        <f t="shared" si="2"/>
        <v>36707</v>
      </c>
      <c r="B20" s="1115">
        <f t="shared" si="0"/>
        <v>2001</v>
      </c>
      <c r="C20" s="1283">
        <v>73.599999999999994</v>
      </c>
      <c r="D20" s="1283">
        <v>171.1</v>
      </c>
      <c r="E20" s="1116" t="str">
        <f>IF($A20&lt;DATE(2018,7,1),"-",INDEX('I1 - Universal Data'!$E$16:$V$16, MATCH(YEAR(EOMONTH($A20,6)), 'I1 - Universal Data'!$E$14:$V$14, 0)))</f>
        <v>-</v>
      </c>
      <c r="F20" s="1116" t="str">
        <f>IF($A20&lt;DATE(2018,7,1),"-",INDEX('I1 - Universal Data'!$E$15:$V$15, MATCH(YEAR(EOMONTH($A20,6)), 'I1 - Universal Data'!$E$14:$V$14, 0)))</f>
        <v>-</v>
      </c>
      <c r="G20" s="1117">
        <f t="shared" si="1"/>
        <v>73.599999999999994</v>
      </c>
      <c r="H20" s="1117">
        <f t="shared" si="1"/>
        <v>171.1</v>
      </c>
      <c r="U20" s="114"/>
    </row>
    <row r="21" spans="1:21">
      <c r="A21" s="1114">
        <f t="shared" si="2"/>
        <v>36738</v>
      </c>
      <c r="B21" s="1115">
        <f t="shared" si="0"/>
        <v>2001</v>
      </c>
      <c r="C21" s="1283">
        <v>73.3</v>
      </c>
      <c r="D21" s="1283">
        <v>170.5</v>
      </c>
      <c r="E21" s="1116" t="str">
        <f>IF($A21&lt;DATE(2018,7,1),"-",INDEX('I1 - Universal Data'!$E$16:$V$16, MATCH(YEAR(EOMONTH($A21,6)), 'I1 - Universal Data'!$E$14:$V$14, 0)))</f>
        <v>-</v>
      </c>
      <c r="F21" s="1116" t="str">
        <f>IF($A21&lt;DATE(2018,7,1),"-",INDEX('I1 - Universal Data'!$E$15:$V$15, MATCH(YEAR(EOMONTH($A21,6)), 'I1 - Universal Data'!$E$14:$V$14, 0)))</f>
        <v>-</v>
      </c>
      <c r="G21" s="1117">
        <f t="shared" si="1"/>
        <v>73.3</v>
      </c>
      <c r="H21" s="1117">
        <f t="shared" si="1"/>
        <v>170.5</v>
      </c>
      <c r="U21" s="114"/>
    </row>
    <row r="22" spans="1:21">
      <c r="A22" s="1114">
        <f t="shared" si="2"/>
        <v>36769</v>
      </c>
      <c r="B22" s="1115">
        <f t="shared" si="0"/>
        <v>2001</v>
      </c>
      <c r="C22" s="1283">
        <v>73.3</v>
      </c>
      <c r="D22" s="1283">
        <v>170.5</v>
      </c>
      <c r="E22" s="1116" t="str">
        <f>IF($A22&lt;DATE(2018,7,1),"-",INDEX('I1 - Universal Data'!$E$16:$V$16, MATCH(YEAR(EOMONTH($A22,6)), 'I1 - Universal Data'!$E$14:$V$14, 0)))</f>
        <v>-</v>
      </c>
      <c r="F22" s="1116" t="str">
        <f>IF($A22&lt;DATE(2018,7,1),"-",INDEX('I1 - Universal Data'!$E$15:$V$15, MATCH(YEAR(EOMONTH($A22,6)), 'I1 - Universal Data'!$E$14:$V$14, 0)))</f>
        <v>-</v>
      </c>
      <c r="G22" s="1117">
        <f t="shared" ref="G22:H37" si="3">IF(ISBLANK(C22),G21*((1+E22)^(1/12)),C22)</f>
        <v>73.3</v>
      </c>
      <c r="H22" s="1117">
        <f t="shared" si="3"/>
        <v>170.5</v>
      </c>
      <c r="U22" s="114"/>
    </row>
    <row r="23" spans="1:21">
      <c r="A23" s="1114">
        <f t="shared" si="2"/>
        <v>36799</v>
      </c>
      <c r="B23" s="1115">
        <f t="shared" si="0"/>
        <v>2001</v>
      </c>
      <c r="C23" s="1283">
        <v>73.8</v>
      </c>
      <c r="D23" s="1283">
        <v>171.7</v>
      </c>
      <c r="E23" s="1116" t="str">
        <f>IF($A23&lt;DATE(2018,7,1),"-",INDEX('I1 - Universal Data'!$E$16:$V$16, MATCH(YEAR(EOMONTH($A23,6)), 'I1 - Universal Data'!$E$14:$V$14, 0)))</f>
        <v>-</v>
      </c>
      <c r="F23" s="1116" t="str">
        <f>IF($A23&lt;DATE(2018,7,1),"-",INDEX('I1 - Universal Data'!$E$15:$V$15, MATCH(YEAR(EOMONTH($A23,6)), 'I1 - Universal Data'!$E$14:$V$14, 0)))</f>
        <v>-</v>
      </c>
      <c r="G23" s="1117">
        <f t="shared" si="3"/>
        <v>73.8</v>
      </c>
      <c r="H23" s="1117">
        <f t="shared" si="3"/>
        <v>171.7</v>
      </c>
      <c r="U23" s="114"/>
    </row>
    <row r="24" spans="1:21">
      <c r="A24" s="1114">
        <f t="shared" si="2"/>
        <v>36830</v>
      </c>
      <c r="B24" s="1115">
        <f t="shared" si="0"/>
        <v>2001</v>
      </c>
      <c r="C24" s="1283">
        <v>73.8</v>
      </c>
      <c r="D24" s="1283">
        <v>171.6</v>
      </c>
      <c r="E24" s="1116" t="str">
        <f>IF($A24&lt;DATE(2018,7,1),"-",INDEX('I1 - Universal Data'!$E$16:$V$16, MATCH(YEAR(EOMONTH($A24,6)), 'I1 - Universal Data'!$E$14:$V$14, 0)))</f>
        <v>-</v>
      </c>
      <c r="F24" s="1116" t="str">
        <f>IF($A24&lt;DATE(2018,7,1),"-",INDEX('I1 - Universal Data'!$E$15:$V$15, MATCH(YEAR(EOMONTH($A24,6)), 'I1 - Universal Data'!$E$14:$V$14, 0)))</f>
        <v>-</v>
      </c>
      <c r="G24" s="1117">
        <f t="shared" si="3"/>
        <v>73.8</v>
      </c>
      <c r="H24" s="1117">
        <f t="shared" si="3"/>
        <v>171.6</v>
      </c>
      <c r="U24" s="114"/>
    </row>
    <row r="25" spans="1:21">
      <c r="A25" s="1114">
        <f t="shared" si="2"/>
        <v>36860</v>
      </c>
      <c r="B25" s="1115">
        <f t="shared" si="0"/>
        <v>2001</v>
      </c>
      <c r="C25" s="1283">
        <v>74</v>
      </c>
      <c r="D25" s="1283">
        <v>172.1</v>
      </c>
      <c r="E25" s="1116" t="str">
        <f>IF($A25&lt;DATE(2018,7,1),"-",INDEX('I1 - Universal Data'!$E$16:$V$16, MATCH(YEAR(EOMONTH($A25,6)), 'I1 - Universal Data'!$E$14:$V$14, 0)))</f>
        <v>-</v>
      </c>
      <c r="F25" s="1116" t="str">
        <f>IF($A25&lt;DATE(2018,7,1),"-",INDEX('I1 - Universal Data'!$E$15:$V$15, MATCH(YEAR(EOMONTH($A25,6)), 'I1 - Universal Data'!$E$14:$V$14, 0)))</f>
        <v>-</v>
      </c>
      <c r="G25" s="1117">
        <f t="shared" si="3"/>
        <v>74</v>
      </c>
      <c r="H25" s="1117">
        <f t="shared" si="3"/>
        <v>172.1</v>
      </c>
      <c r="U25" s="114"/>
    </row>
    <row r="26" spans="1:21">
      <c r="A26" s="1114">
        <f t="shared" si="2"/>
        <v>36891</v>
      </c>
      <c r="B26" s="1115">
        <f t="shared" si="0"/>
        <v>2001</v>
      </c>
      <c r="C26" s="1283">
        <v>74</v>
      </c>
      <c r="D26" s="1283">
        <v>172.2</v>
      </c>
      <c r="E26" s="1116" t="str">
        <f>IF($A26&lt;DATE(2018,7,1),"-",INDEX('I1 - Universal Data'!$E$16:$V$16, MATCH(YEAR(EOMONTH($A26,6)), 'I1 - Universal Data'!$E$14:$V$14, 0)))</f>
        <v>-</v>
      </c>
      <c r="F26" s="1116" t="str">
        <f>IF($A26&lt;DATE(2018,7,1),"-",INDEX('I1 - Universal Data'!$E$15:$V$15, MATCH(YEAR(EOMONTH($A26,6)), 'I1 - Universal Data'!$E$14:$V$14, 0)))</f>
        <v>-</v>
      </c>
      <c r="G26" s="1117">
        <f t="shared" si="3"/>
        <v>74</v>
      </c>
      <c r="H26" s="1117">
        <f t="shared" si="3"/>
        <v>172.2</v>
      </c>
      <c r="U26" s="114"/>
    </row>
    <row r="27" spans="1:21">
      <c r="A27" s="1114">
        <f t="shared" si="2"/>
        <v>36922</v>
      </c>
      <c r="B27" s="1115">
        <f t="shared" si="0"/>
        <v>2001</v>
      </c>
      <c r="C27" s="1283">
        <v>73.5</v>
      </c>
      <c r="D27" s="1283">
        <v>171.1</v>
      </c>
      <c r="E27" s="1116" t="str">
        <f>IF($A27&lt;DATE(2018,7,1),"-",INDEX('I1 - Universal Data'!$E$16:$V$16, MATCH(YEAR(EOMONTH($A27,6)), 'I1 - Universal Data'!$E$14:$V$14, 0)))</f>
        <v>-</v>
      </c>
      <c r="F27" s="1116" t="str">
        <f>IF($A27&lt;DATE(2018,7,1),"-",INDEX('I1 - Universal Data'!$E$15:$V$15, MATCH(YEAR(EOMONTH($A27,6)), 'I1 - Universal Data'!$E$14:$V$14, 0)))</f>
        <v>-</v>
      </c>
      <c r="G27" s="1117">
        <f t="shared" si="3"/>
        <v>73.5</v>
      </c>
      <c r="H27" s="1117">
        <f t="shared" si="3"/>
        <v>171.1</v>
      </c>
      <c r="U27" s="1105"/>
    </row>
    <row r="28" spans="1:21">
      <c r="A28" s="1114">
        <f t="shared" si="2"/>
        <v>36950</v>
      </c>
      <c r="B28" s="1115">
        <f t="shared" si="0"/>
        <v>2001</v>
      </c>
      <c r="C28" s="1283">
        <v>73.7</v>
      </c>
      <c r="D28" s="1283">
        <v>172</v>
      </c>
      <c r="E28" s="1116" t="str">
        <f>IF($A28&lt;DATE(2018,7,1),"-",INDEX('I1 - Universal Data'!$E$16:$V$16, MATCH(YEAR(EOMONTH($A28,6)), 'I1 - Universal Data'!$E$14:$V$14, 0)))</f>
        <v>-</v>
      </c>
      <c r="F28" s="1116" t="str">
        <f>IF($A28&lt;DATE(2018,7,1),"-",INDEX('I1 - Universal Data'!$E$15:$V$15, MATCH(YEAR(EOMONTH($A28,6)), 'I1 - Universal Data'!$E$14:$V$14, 0)))</f>
        <v>-</v>
      </c>
      <c r="G28" s="1117">
        <f t="shared" si="3"/>
        <v>73.7</v>
      </c>
      <c r="H28" s="1117">
        <f t="shared" si="3"/>
        <v>172</v>
      </c>
      <c r="U28" s="1105"/>
    </row>
    <row r="29" spans="1:21">
      <c r="A29" s="1114">
        <f t="shared" si="2"/>
        <v>36981</v>
      </c>
      <c r="B29" s="1115">
        <f t="shared" si="0"/>
        <v>2001</v>
      </c>
      <c r="C29" s="1283">
        <v>73.900000000000006</v>
      </c>
      <c r="D29" s="1283">
        <v>172.2</v>
      </c>
      <c r="E29" s="1116" t="str">
        <f>IF($A29&lt;DATE(2018,7,1),"-",INDEX('I1 - Universal Data'!$E$16:$V$16, MATCH(YEAR(EOMONTH($A29,6)), 'I1 - Universal Data'!$E$14:$V$14, 0)))</f>
        <v>-</v>
      </c>
      <c r="F29" s="1116" t="str">
        <f>IF($A29&lt;DATE(2018,7,1),"-",INDEX('I1 - Universal Data'!$E$15:$V$15, MATCH(YEAR(EOMONTH($A29,6)), 'I1 - Universal Data'!$E$14:$V$14, 0)))</f>
        <v>-</v>
      </c>
      <c r="G29" s="1117">
        <f t="shared" si="3"/>
        <v>73.900000000000006</v>
      </c>
      <c r="H29" s="1117">
        <f t="shared" si="3"/>
        <v>172.2</v>
      </c>
      <c r="U29" s="1105"/>
    </row>
    <row r="30" spans="1:21">
      <c r="A30" s="1114">
        <f t="shared" si="2"/>
        <v>37011</v>
      </c>
      <c r="B30" s="1115">
        <f t="shared" si="0"/>
        <v>2002</v>
      </c>
      <c r="C30" s="1283">
        <v>74.400000000000006</v>
      </c>
      <c r="D30" s="1283">
        <v>173.1</v>
      </c>
      <c r="E30" s="1116" t="str">
        <f>IF($A30&lt;DATE(2018,7,1),"-",INDEX('I1 - Universal Data'!$E$16:$V$16, MATCH(YEAR(EOMONTH($A30,6)), 'I1 - Universal Data'!$E$14:$V$14, 0)))</f>
        <v>-</v>
      </c>
      <c r="F30" s="1116" t="str">
        <f>IF($A30&lt;DATE(2018,7,1),"-",INDEX('I1 - Universal Data'!$E$15:$V$15, MATCH(YEAR(EOMONTH($A30,6)), 'I1 - Universal Data'!$E$14:$V$14, 0)))</f>
        <v>-</v>
      </c>
      <c r="G30" s="1117">
        <f t="shared" si="3"/>
        <v>74.400000000000006</v>
      </c>
      <c r="H30" s="1117">
        <f t="shared" si="3"/>
        <v>173.1</v>
      </c>
      <c r="U30" s="1105"/>
    </row>
    <row r="31" spans="1:21">
      <c r="A31" s="1114">
        <f t="shared" si="2"/>
        <v>37042</v>
      </c>
      <c r="B31" s="1115">
        <f t="shared" si="0"/>
        <v>2002</v>
      </c>
      <c r="C31" s="1283">
        <v>74.900000000000006</v>
      </c>
      <c r="D31" s="1283">
        <v>174.2</v>
      </c>
      <c r="E31" s="1116" t="str">
        <f>IF($A31&lt;DATE(2018,7,1),"-",INDEX('I1 - Universal Data'!$E$16:$V$16, MATCH(YEAR(EOMONTH($A31,6)), 'I1 - Universal Data'!$E$14:$V$14, 0)))</f>
        <v>-</v>
      </c>
      <c r="F31" s="1116" t="str">
        <f>IF($A31&lt;DATE(2018,7,1),"-",INDEX('I1 - Universal Data'!$E$15:$V$15, MATCH(YEAR(EOMONTH($A31,6)), 'I1 - Universal Data'!$E$14:$V$14, 0)))</f>
        <v>-</v>
      </c>
      <c r="G31" s="1117">
        <f t="shared" si="3"/>
        <v>74.900000000000006</v>
      </c>
      <c r="H31" s="1117">
        <f t="shared" si="3"/>
        <v>174.2</v>
      </c>
      <c r="U31" s="1105"/>
    </row>
    <row r="32" spans="1:21">
      <c r="A32" s="1114">
        <f t="shared" si="2"/>
        <v>37072</v>
      </c>
      <c r="B32" s="1115">
        <f t="shared" si="0"/>
        <v>2002</v>
      </c>
      <c r="C32" s="1283">
        <v>75</v>
      </c>
      <c r="D32" s="1283">
        <v>174.4</v>
      </c>
      <c r="E32" s="1116" t="str">
        <f>IF($A32&lt;DATE(2018,7,1),"-",INDEX('I1 - Universal Data'!$E$16:$V$16, MATCH(YEAR(EOMONTH($A32,6)), 'I1 - Universal Data'!$E$14:$V$14, 0)))</f>
        <v>-</v>
      </c>
      <c r="F32" s="1116" t="str">
        <f>IF($A32&lt;DATE(2018,7,1),"-",INDEX('I1 - Universal Data'!$E$15:$V$15, MATCH(YEAR(EOMONTH($A32,6)), 'I1 - Universal Data'!$E$14:$V$14, 0)))</f>
        <v>-</v>
      </c>
      <c r="G32" s="1117">
        <f t="shared" si="3"/>
        <v>75</v>
      </c>
      <c r="H32" s="1117">
        <f t="shared" si="3"/>
        <v>174.4</v>
      </c>
      <c r="U32" s="1105"/>
    </row>
    <row r="33" spans="1:21">
      <c r="A33" s="1114">
        <f t="shared" si="2"/>
        <v>37103</v>
      </c>
      <c r="B33" s="1115">
        <f t="shared" si="0"/>
        <v>2002</v>
      </c>
      <c r="C33" s="1283">
        <v>74.5</v>
      </c>
      <c r="D33" s="1283">
        <v>173.3</v>
      </c>
      <c r="E33" s="1116" t="str">
        <f>IF($A33&lt;DATE(2018,7,1),"-",INDEX('I1 - Universal Data'!$E$16:$V$16, MATCH(YEAR(EOMONTH($A33,6)), 'I1 - Universal Data'!$E$14:$V$14, 0)))</f>
        <v>-</v>
      </c>
      <c r="F33" s="1116" t="str">
        <f>IF($A33&lt;DATE(2018,7,1),"-",INDEX('I1 - Universal Data'!$E$15:$V$15, MATCH(YEAR(EOMONTH($A33,6)), 'I1 - Universal Data'!$E$14:$V$14, 0)))</f>
        <v>-</v>
      </c>
      <c r="G33" s="1117">
        <f t="shared" si="3"/>
        <v>74.5</v>
      </c>
      <c r="H33" s="1117">
        <f t="shared" si="3"/>
        <v>173.3</v>
      </c>
      <c r="U33" s="1105"/>
    </row>
    <row r="34" spans="1:21">
      <c r="A34" s="1114">
        <f t="shared" si="2"/>
        <v>37134</v>
      </c>
      <c r="B34" s="1115">
        <f t="shared" si="0"/>
        <v>2002</v>
      </c>
      <c r="C34" s="1283">
        <v>74.8</v>
      </c>
      <c r="D34" s="1283">
        <v>174</v>
      </c>
      <c r="E34" s="1116" t="str">
        <f>IF($A34&lt;DATE(2018,7,1),"-",INDEX('I1 - Universal Data'!$E$16:$V$16, MATCH(YEAR(EOMONTH($A34,6)), 'I1 - Universal Data'!$E$14:$V$14, 0)))</f>
        <v>-</v>
      </c>
      <c r="F34" s="1116" t="str">
        <f>IF($A34&lt;DATE(2018,7,1),"-",INDEX('I1 - Universal Data'!$E$15:$V$15, MATCH(YEAR(EOMONTH($A34,6)), 'I1 - Universal Data'!$E$14:$V$14, 0)))</f>
        <v>-</v>
      </c>
      <c r="G34" s="1117">
        <f t="shared" si="3"/>
        <v>74.8</v>
      </c>
      <c r="H34" s="1117">
        <f t="shared" si="3"/>
        <v>174</v>
      </c>
      <c r="U34" s="1105"/>
    </row>
    <row r="35" spans="1:21">
      <c r="A35" s="1114">
        <f t="shared" si="2"/>
        <v>37164</v>
      </c>
      <c r="B35" s="1115">
        <f t="shared" si="0"/>
        <v>2002</v>
      </c>
      <c r="C35" s="1283">
        <v>75</v>
      </c>
      <c r="D35" s="1283">
        <v>174.6</v>
      </c>
      <c r="E35" s="1116" t="str">
        <f>IF($A35&lt;DATE(2018,7,1),"-",INDEX('I1 - Universal Data'!$E$16:$V$16, MATCH(YEAR(EOMONTH($A35,6)), 'I1 - Universal Data'!$E$14:$V$14, 0)))</f>
        <v>-</v>
      </c>
      <c r="F35" s="1116" t="str">
        <f>IF($A35&lt;DATE(2018,7,1),"-",INDEX('I1 - Universal Data'!$E$15:$V$15, MATCH(YEAR(EOMONTH($A35,6)), 'I1 - Universal Data'!$E$14:$V$14, 0)))</f>
        <v>-</v>
      </c>
      <c r="G35" s="1117">
        <f t="shared" si="3"/>
        <v>75</v>
      </c>
      <c r="H35" s="1117">
        <f t="shared" si="3"/>
        <v>174.6</v>
      </c>
      <c r="U35" s="1105"/>
    </row>
    <row r="36" spans="1:21">
      <c r="A36" s="1114">
        <f t="shared" si="2"/>
        <v>37195</v>
      </c>
      <c r="B36" s="1115">
        <f t="shared" si="0"/>
        <v>2002</v>
      </c>
      <c r="C36" s="1283">
        <v>74.900000000000006</v>
      </c>
      <c r="D36" s="1283">
        <v>174.3</v>
      </c>
      <c r="E36" s="1116" t="str">
        <f>IF($A36&lt;DATE(2018,7,1),"-",INDEX('I1 - Universal Data'!$E$16:$V$16, MATCH(YEAR(EOMONTH($A36,6)), 'I1 - Universal Data'!$E$14:$V$14, 0)))</f>
        <v>-</v>
      </c>
      <c r="F36" s="1116" t="str">
        <f>IF($A36&lt;DATE(2018,7,1),"-",INDEX('I1 - Universal Data'!$E$15:$V$15, MATCH(YEAR(EOMONTH($A36,6)), 'I1 - Universal Data'!$E$14:$V$14, 0)))</f>
        <v>-</v>
      </c>
      <c r="G36" s="1117">
        <f t="shared" si="3"/>
        <v>74.900000000000006</v>
      </c>
      <c r="H36" s="1117">
        <f t="shared" si="3"/>
        <v>174.3</v>
      </c>
      <c r="U36" s="1105"/>
    </row>
    <row r="37" spans="1:21">
      <c r="A37" s="1114">
        <f t="shared" si="2"/>
        <v>37225</v>
      </c>
      <c r="B37" s="1115">
        <f t="shared" si="0"/>
        <v>2002</v>
      </c>
      <c r="C37" s="1283">
        <v>74.900000000000006</v>
      </c>
      <c r="D37" s="1283">
        <v>173.6</v>
      </c>
      <c r="E37" s="1116" t="str">
        <f>IF($A37&lt;DATE(2018,7,1),"-",INDEX('I1 - Universal Data'!$E$16:$V$16, MATCH(YEAR(EOMONTH($A37,6)), 'I1 - Universal Data'!$E$14:$V$14, 0)))</f>
        <v>-</v>
      </c>
      <c r="F37" s="1116" t="str">
        <f>IF($A37&lt;DATE(2018,7,1),"-",INDEX('I1 - Universal Data'!$E$15:$V$15, MATCH(YEAR(EOMONTH($A37,6)), 'I1 - Universal Data'!$E$14:$V$14, 0)))</f>
        <v>-</v>
      </c>
      <c r="G37" s="1117">
        <f t="shared" si="3"/>
        <v>74.900000000000006</v>
      </c>
      <c r="H37" s="1117">
        <f t="shared" si="3"/>
        <v>173.6</v>
      </c>
      <c r="U37" s="1105"/>
    </row>
    <row r="38" spans="1:21">
      <c r="A38" s="1114">
        <f t="shared" si="2"/>
        <v>37256</v>
      </c>
      <c r="B38" s="1115">
        <f t="shared" si="0"/>
        <v>2002</v>
      </c>
      <c r="C38" s="1283">
        <v>75</v>
      </c>
      <c r="D38" s="1283">
        <v>173.4</v>
      </c>
      <c r="E38" s="1116" t="str">
        <f>IF($A38&lt;DATE(2018,7,1),"-",INDEX('I1 - Universal Data'!$E$16:$V$16, MATCH(YEAR(EOMONTH($A38,6)), 'I1 - Universal Data'!$E$14:$V$14, 0)))</f>
        <v>-</v>
      </c>
      <c r="F38" s="1116" t="str">
        <f>IF($A38&lt;DATE(2018,7,1),"-",INDEX('I1 - Universal Data'!$E$15:$V$15, MATCH(YEAR(EOMONTH($A38,6)), 'I1 - Universal Data'!$E$14:$V$14, 0)))</f>
        <v>-</v>
      </c>
      <c r="G38" s="1117">
        <f t="shared" ref="G38:H53" si="4">IF(ISBLANK(C38),G37*((1+E38)^(1/12)),C38)</f>
        <v>75</v>
      </c>
      <c r="H38" s="1117">
        <f t="shared" si="4"/>
        <v>173.4</v>
      </c>
      <c r="U38" s="1105"/>
    </row>
    <row r="39" spans="1:21">
      <c r="A39" s="1114">
        <f t="shared" si="2"/>
        <v>37287</v>
      </c>
      <c r="B39" s="1115">
        <f t="shared" si="0"/>
        <v>2002</v>
      </c>
      <c r="C39" s="1283">
        <v>74.8</v>
      </c>
      <c r="D39" s="1283">
        <v>173.3</v>
      </c>
      <c r="E39" s="1116" t="str">
        <f>IF($A39&lt;DATE(2018,7,1),"-",INDEX('I1 - Universal Data'!$E$16:$V$16, MATCH(YEAR(EOMONTH($A39,6)), 'I1 - Universal Data'!$E$14:$V$14, 0)))</f>
        <v>-</v>
      </c>
      <c r="F39" s="1116" t="str">
        <f>IF($A39&lt;DATE(2018,7,1),"-",INDEX('I1 - Universal Data'!$E$15:$V$15, MATCH(YEAR(EOMONTH($A39,6)), 'I1 - Universal Data'!$E$14:$V$14, 0)))</f>
        <v>-</v>
      </c>
      <c r="G39" s="1117">
        <f t="shared" si="4"/>
        <v>74.8</v>
      </c>
      <c r="H39" s="1117">
        <f t="shared" si="4"/>
        <v>173.3</v>
      </c>
      <c r="U39" s="1105"/>
    </row>
    <row r="40" spans="1:21">
      <c r="A40" s="1114">
        <f t="shared" si="2"/>
        <v>37315</v>
      </c>
      <c r="B40" s="1115">
        <f t="shared" si="0"/>
        <v>2002</v>
      </c>
      <c r="C40" s="1283">
        <v>75</v>
      </c>
      <c r="D40" s="1283">
        <v>173.8</v>
      </c>
      <c r="E40" s="1116" t="str">
        <f>IF($A40&lt;DATE(2018,7,1),"-",INDEX('I1 - Universal Data'!$E$16:$V$16, MATCH(YEAR(EOMONTH($A40,6)), 'I1 - Universal Data'!$E$14:$V$14, 0)))</f>
        <v>-</v>
      </c>
      <c r="F40" s="1116" t="str">
        <f>IF($A40&lt;DATE(2018,7,1),"-",INDEX('I1 - Universal Data'!$E$15:$V$15, MATCH(YEAR(EOMONTH($A40,6)), 'I1 - Universal Data'!$E$14:$V$14, 0)))</f>
        <v>-</v>
      </c>
      <c r="G40" s="1117">
        <f t="shared" si="4"/>
        <v>75</v>
      </c>
      <c r="H40" s="1117">
        <f t="shared" si="4"/>
        <v>173.8</v>
      </c>
      <c r="U40" s="1105"/>
    </row>
    <row r="41" spans="1:21">
      <c r="A41" s="1114">
        <f t="shared" si="2"/>
        <v>37346</v>
      </c>
      <c r="B41" s="1115">
        <f t="shared" si="0"/>
        <v>2002</v>
      </c>
      <c r="C41" s="1283">
        <v>75.2</v>
      </c>
      <c r="D41" s="1283">
        <v>174.5</v>
      </c>
      <c r="E41" s="1116" t="str">
        <f>IF($A41&lt;DATE(2018,7,1),"-",INDEX('I1 - Universal Data'!$E$16:$V$16, MATCH(YEAR(EOMONTH($A41,6)), 'I1 - Universal Data'!$E$14:$V$14, 0)))</f>
        <v>-</v>
      </c>
      <c r="F41" s="1116" t="str">
        <f>IF($A41&lt;DATE(2018,7,1),"-",INDEX('I1 - Universal Data'!$E$15:$V$15, MATCH(YEAR(EOMONTH($A41,6)), 'I1 - Universal Data'!$E$14:$V$14, 0)))</f>
        <v>-</v>
      </c>
      <c r="G41" s="1117">
        <f t="shared" si="4"/>
        <v>75.2</v>
      </c>
      <c r="H41" s="1117">
        <f t="shared" si="4"/>
        <v>174.5</v>
      </c>
      <c r="U41" s="1105"/>
    </row>
    <row r="42" spans="1:21">
      <c r="A42" s="1114">
        <f t="shared" si="2"/>
        <v>37376</v>
      </c>
      <c r="B42" s="1115">
        <f t="shared" si="0"/>
        <v>2003</v>
      </c>
      <c r="C42" s="1283">
        <v>75.599999999999994</v>
      </c>
      <c r="D42" s="1283">
        <v>175.7</v>
      </c>
      <c r="E42" s="1116" t="str">
        <f>IF($A42&lt;DATE(2018,7,1),"-",INDEX('I1 - Universal Data'!$E$16:$V$16, MATCH(YEAR(EOMONTH($A42,6)), 'I1 - Universal Data'!$E$14:$V$14, 0)))</f>
        <v>-</v>
      </c>
      <c r="F42" s="1116" t="str">
        <f>IF($A42&lt;DATE(2018,7,1),"-",INDEX('I1 - Universal Data'!$E$15:$V$15, MATCH(YEAR(EOMONTH($A42,6)), 'I1 - Universal Data'!$E$14:$V$14, 0)))</f>
        <v>-</v>
      </c>
      <c r="G42" s="1117">
        <f t="shared" si="4"/>
        <v>75.599999999999994</v>
      </c>
      <c r="H42" s="1117">
        <f t="shared" si="4"/>
        <v>175.7</v>
      </c>
      <c r="U42" s="1105"/>
    </row>
    <row r="43" spans="1:21">
      <c r="A43" s="1114">
        <f t="shared" si="2"/>
        <v>37407</v>
      </c>
      <c r="B43" s="1115">
        <f t="shared" si="0"/>
        <v>2003</v>
      </c>
      <c r="C43" s="1283">
        <v>75.8</v>
      </c>
      <c r="D43" s="1283">
        <v>176.2</v>
      </c>
      <c r="E43" s="1116" t="str">
        <f>IF($A43&lt;DATE(2018,7,1),"-",INDEX('I1 - Universal Data'!$E$16:$V$16, MATCH(YEAR(EOMONTH($A43,6)), 'I1 - Universal Data'!$E$14:$V$14, 0)))</f>
        <v>-</v>
      </c>
      <c r="F43" s="1116" t="str">
        <f>IF($A43&lt;DATE(2018,7,1),"-",INDEX('I1 - Universal Data'!$E$15:$V$15, MATCH(YEAR(EOMONTH($A43,6)), 'I1 - Universal Data'!$E$14:$V$14, 0)))</f>
        <v>-</v>
      </c>
      <c r="G43" s="1117">
        <f t="shared" si="4"/>
        <v>75.8</v>
      </c>
      <c r="H43" s="1117">
        <f t="shared" si="4"/>
        <v>176.2</v>
      </c>
      <c r="U43" s="1105"/>
    </row>
    <row r="44" spans="1:21">
      <c r="A44" s="1114">
        <f t="shared" si="2"/>
        <v>37437</v>
      </c>
      <c r="B44" s="1115">
        <f t="shared" si="0"/>
        <v>2003</v>
      </c>
      <c r="C44" s="1283">
        <v>75.8</v>
      </c>
      <c r="D44" s="1283">
        <v>176.2</v>
      </c>
      <c r="E44" s="1116" t="str">
        <f>IF($A44&lt;DATE(2018,7,1),"-",INDEX('I1 - Universal Data'!$E$16:$V$16, MATCH(YEAR(EOMONTH($A44,6)), 'I1 - Universal Data'!$E$14:$V$14, 0)))</f>
        <v>-</v>
      </c>
      <c r="F44" s="1116" t="str">
        <f>IF($A44&lt;DATE(2018,7,1),"-",INDEX('I1 - Universal Data'!$E$15:$V$15, MATCH(YEAR(EOMONTH($A44,6)), 'I1 - Universal Data'!$E$14:$V$14, 0)))</f>
        <v>-</v>
      </c>
      <c r="G44" s="1117">
        <f t="shared" si="4"/>
        <v>75.8</v>
      </c>
      <c r="H44" s="1117">
        <f t="shared" si="4"/>
        <v>176.2</v>
      </c>
      <c r="U44" s="1105"/>
    </row>
    <row r="45" spans="1:21">
      <c r="A45" s="1114">
        <f t="shared" si="2"/>
        <v>37468</v>
      </c>
      <c r="B45" s="1115">
        <f t="shared" si="0"/>
        <v>2003</v>
      </c>
      <c r="C45" s="1283">
        <v>75.599999999999994</v>
      </c>
      <c r="D45" s="1283">
        <v>175.9</v>
      </c>
      <c r="E45" s="1116" t="str">
        <f>IF($A45&lt;DATE(2018,7,1),"-",INDEX('I1 - Universal Data'!$E$16:$V$16, MATCH(YEAR(EOMONTH($A45,6)), 'I1 - Universal Data'!$E$14:$V$14, 0)))</f>
        <v>-</v>
      </c>
      <c r="F45" s="1116" t="str">
        <f>IF($A45&lt;DATE(2018,7,1),"-",INDEX('I1 - Universal Data'!$E$15:$V$15, MATCH(YEAR(EOMONTH($A45,6)), 'I1 - Universal Data'!$E$14:$V$14, 0)))</f>
        <v>-</v>
      </c>
      <c r="G45" s="1117">
        <f t="shared" si="4"/>
        <v>75.599999999999994</v>
      </c>
      <c r="H45" s="1117">
        <f t="shared" si="4"/>
        <v>175.9</v>
      </c>
      <c r="U45" s="1105"/>
    </row>
    <row r="46" spans="1:21">
      <c r="A46" s="1114">
        <f t="shared" si="2"/>
        <v>37499</v>
      </c>
      <c r="B46" s="1115">
        <f t="shared" si="0"/>
        <v>2003</v>
      </c>
      <c r="C46" s="1283">
        <v>75.8</v>
      </c>
      <c r="D46" s="1283">
        <v>176.4</v>
      </c>
      <c r="E46" s="1116" t="str">
        <f>IF($A46&lt;DATE(2018,7,1),"-",INDEX('I1 - Universal Data'!$E$16:$V$16, MATCH(YEAR(EOMONTH($A46,6)), 'I1 - Universal Data'!$E$14:$V$14, 0)))</f>
        <v>-</v>
      </c>
      <c r="F46" s="1116" t="str">
        <f>IF($A46&lt;DATE(2018,7,1),"-",INDEX('I1 - Universal Data'!$E$15:$V$15, MATCH(YEAR(EOMONTH($A46,6)), 'I1 - Universal Data'!$E$14:$V$14, 0)))</f>
        <v>-</v>
      </c>
      <c r="G46" s="1117">
        <f t="shared" si="4"/>
        <v>75.8</v>
      </c>
      <c r="H46" s="1117">
        <f t="shared" si="4"/>
        <v>176.4</v>
      </c>
      <c r="U46" s="1105"/>
    </row>
    <row r="47" spans="1:21">
      <c r="A47" s="1114">
        <f t="shared" si="2"/>
        <v>37529</v>
      </c>
      <c r="B47" s="1115">
        <f t="shared" si="0"/>
        <v>2003</v>
      </c>
      <c r="C47" s="1283">
        <v>76</v>
      </c>
      <c r="D47" s="1283">
        <v>177.6</v>
      </c>
      <c r="E47" s="1116" t="str">
        <f>IF($A47&lt;DATE(2018,7,1),"-",INDEX('I1 - Universal Data'!$E$16:$V$16, MATCH(YEAR(EOMONTH($A47,6)), 'I1 - Universal Data'!$E$14:$V$14, 0)))</f>
        <v>-</v>
      </c>
      <c r="F47" s="1116" t="str">
        <f>IF($A47&lt;DATE(2018,7,1),"-",INDEX('I1 - Universal Data'!$E$15:$V$15, MATCH(YEAR(EOMONTH($A47,6)), 'I1 - Universal Data'!$E$14:$V$14, 0)))</f>
        <v>-</v>
      </c>
      <c r="G47" s="1117">
        <f t="shared" si="4"/>
        <v>76</v>
      </c>
      <c r="H47" s="1117">
        <f t="shared" si="4"/>
        <v>177.6</v>
      </c>
      <c r="U47" s="1105"/>
    </row>
    <row r="48" spans="1:21">
      <c r="A48" s="1114">
        <f t="shared" si="2"/>
        <v>37560</v>
      </c>
      <c r="B48" s="1115">
        <f t="shared" si="0"/>
        <v>2003</v>
      </c>
      <c r="C48" s="1283">
        <v>76.099999999999994</v>
      </c>
      <c r="D48" s="1283">
        <v>177.9</v>
      </c>
      <c r="E48" s="1116" t="str">
        <f>IF($A48&lt;DATE(2018,7,1),"-",INDEX('I1 - Universal Data'!$E$16:$V$16, MATCH(YEAR(EOMONTH($A48,6)), 'I1 - Universal Data'!$E$14:$V$14, 0)))</f>
        <v>-</v>
      </c>
      <c r="F48" s="1116" t="str">
        <f>IF($A48&lt;DATE(2018,7,1),"-",INDEX('I1 - Universal Data'!$E$15:$V$15, MATCH(YEAR(EOMONTH($A48,6)), 'I1 - Universal Data'!$E$14:$V$14, 0)))</f>
        <v>-</v>
      </c>
      <c r="G48" s="1117">
        <f t="shared" si="4"/>
        <v>76.099999999999994</v>
      </c>
      <c r="H48" s="1117">
        <f t="shared" si="4"/>
        <v>177.9</v>
      </c>
      <c r="U48" s="1105"/>
    </row>
    <row r="49" spans="1:21">
      <c r="A49" s="1114">
        <f t="shared" si="2"/>
        <v>37590</v>
      </c>
      <c r="B49" s="1115">
        <f t="shared" si="0"/>
        <v>2003</v>
      </c>
      <c r="C49" s="1283">
        <v>76.099999999999994</v>
      </c>
      <c r="D49" s="1283">
        <v>178.2</v>
      </c>
      <c r="E49" s="1116" t="str">
        <f>IF($A49&lt;DATE(2018,7,1),"-",INDEX('I1 - Universal Data'!$E$16:$V$16, MATCH(YEAR(EOMONTH($A49,6)), 'I1 - Universal Data'!$E$14:$V$14, 0)))</f>
        <v>-</v>
      </c>
      <c r="F49" s="1116" t="str">
        <f>IF($A49&lt;DATE(2018,7,1),"-",INDEX('I1 - Universal Data'!$E$15:$V$15, MATCH(YEAR(EOMONTH($A49,6)), 'I1 - Universal Data'!$E$14:$V$14, 0)))</f>
        <v>-</v>
      </c>
      <c r="G49" s="1117">
        <f t="shared" si="4"/>
        <v>76.099999999999994</v>
      </c>
      <c r="H49" s="1117">
        <f t="shared" si="4"/>
        <v>178.2</v>
      </c>
      <c r="U49" s="1105"/>
    </row>
    <row r="50" spans="1:21">
      <c r="A50" s="1114">
        <f t="shared" si="2"/>
        <v>37621</v>
      </c>
      <c r="B50" s="1115">
        <f t="shared" si="0"/>
        <v>2003</v>
      </c>
      <c r="C50" s="1283">
        <v>76.3</v>
      </c>
      <c r="D50" s="1283">
        <v>178.5</v>
      </c>
      <c r="E50" s="1116" t="str">
        <f>IF($A50&lt;DATE(2018,7,1),"-",INDEX('I1 - Universal Data'!$E$16:$V$16, MATCH(YEAR(EOMONTH($A50,6)), 'I1 - Universal Data'!$E$14:$V$14, 0)))</f>
        <v>-</v>
      </c>
      <c r="F50" s="1116" t="str">
        <f>IF($A50&lt;DATE(2018,7,1),"-",INDEX('I1 - Universal Data'!$E$15:$V$15, MATCH(YEAR(EOMONTH($A50,6)), 'I1 - Universal Data'!$E$14:$V$14, 0)))</f>
        <v>-</v>
      </c>
      <c r="G50" s="1117">
        <f t="shared" si="4"/>
        <v>76.3</v>
      </c>
      <c r="H50" s="1117">
        <f t="shared" si="4"/>
        <v>178.5</v>
      </c>
      <c r="U50" s="1105"/>
    </row>
    <row r="51" spans="1:21">
      <c r="A51" s="1114">
        <f t="shared" si="2"/>
        <v>37652</v>
      </c>
      <c r="B51" s="1115">
        <f t="shared" si="0"/>
        <v>2003</v>
      </c>
      <c r="C51" s="1283">
        <v>75.900000000000006</v>
      </c>
      <c r="D51" s="1283">
        <v>178.4</v>
      </c>
      <c r="E51" s="1116" t="str">
        <f>IF($A51&lt;DATE(2018,7,1),"-",INDEX('I1 - Universal Data'!$E$16:$V$16, MATCH(YEAR(EOMONTH($A51,6)), 'I1 - Universal Data'!$E$14:$V$14, 0)))</f>
        <v>-</v>
      </c>
      <c r="F51" s="1116" t="str">
        <f>IF($A51&lt;DATE(2018,7,1),"-",INDEX('I1 - Universal Data'!$E$15:$V$15, MATCH(YEAR(EOMONTH($A51,6)), 'I1 - Universal Data'!$E$14:$V$14, 0)))</f>
        <v>-</v>
      </c>
      <c r="G51" s="1117">
        <f t="shared" si="4"/>
        <v>75.900000000000006</v>
      </c>
      <c r="H51" s="1117">
        <f t="shared" si="4"/>
        <v>178.4</v>
      </c>
      <c r="U51" s="1105"/>
    </row>
    <row r="52" spans="1:21">
      <c r="A52" s="1114">
        <f t="shared" si="2"/>
        <v>37680</v>
      </c>
      <c r="B52" s="1115">
        <f t="shared" si="0"/>
        <v>2003</v>
      </c>
      <c r="C52" s="1283">
        <v>76.099999999999994</v>
      </c>
      <c r="D52" s="1283">
        <v>179.3</v>
      </c>
      <c r="E52" s="1116" t="str">
        <f>IF($A52&lt;DATE(2018,7,1),"-",INDEX('I1 - Universal Data'!$E$16:$V$16, MATCH(YEAR(EOMONTH($A52,6)), 'I1 - Universal Data'!$E$14:$V$14, 0)))</f>
        <v>-</v>
      </c>
      <c r="F52" s="1116" t="str">
        <f>IF($A52&lt;DATE(2018,7,1),"-",INDEX('I1 - Universal Data'!$E$15:$V$15, MATCH(YEAR(EOMONTH($A52,6)), 'I1 - Universal Data'!$E$14:$V$14, 0)))</f>
        <v>-</v>
      </c>
      <c r="G52" s="1117">
        <f t="shared" si="4"/>
        <v>76.099999999999994</v>
      </c>
      <c r="H52" s="1117">
        <f t="shared" si="4"/>
        <v>179.3</v>
      </c>
      <c r="U52" s="1105"/>
    </row>
    <row r="53" spans="1:21">
      <c r="A53" s="1114">
        <f t="shared" si="2"/>
        <v>37711</v>
      </c>
      <c r="B53" s="1115">
        <f t="shared" si="0"/>
        <v>2003</v>
      </c>
      <c r="C53" s="1283">
        <v>76.400000000000006</v>
      </c>
      <c r="D53" s="1283">
        <v>179.9</v>
      </c>
      <c r="E53" s="1116" t="str">
        <f>IF($A53&lt;DATE(2018,7,1),"-",INDEX('I1 - Universal Data'!$E$16:$V$16, MATCH(YEAR(EOMONTH($A53,6)), 'I1 - Universal Data'!$E$14:$V$14, 0)))</f>
        <v>-</v>
      </c>
      <c r="F53" s="1116" t="str">
        <f>IF($A53&lt;DATE(2018,7,1),"-",INDEX('I1 - Universal Data'!$E$15:$V$15, MATCH(YEAR(EOMONTH($A53,6)), 'I1 - Universal Data'!$E$14:$V$14, 0)))</f>
        <v>-</v>
      </c>
      <c r="G53" s="1117">
        <f t="shared" si="4"/>
        <v>76.400000000000006</v>
      </c>
      <c r="H53" s="1117">
        <f t="shared" si="4"/>
        <v>179.9</v>
      </c>
      <c r="U53" s="1105"/>
    </row>
    <row r="54" spans="1:21">
      <c r="A54" s="1114">
        <f t="shared" si="2"/>
        <v>37741</v>
      </c>
      <c r="B54" s="1115">
        <f t="shared" si="0"/>
        <v>2004</v>
      </c>
      <c r="C54" s="1283">
        <v>76.8</v>
      </c>
      <c r="D54" s="1283">
        <v>181.2</v>
      </c>
      <c r="E54" s="1116" t="str">
        <f>IF($A54&lt;DATE(2018,7,1),"-",INDEX('I1 - Universal Data'!$E$16:$V$16, MATCH(YEAR(EOMONTH($A54,6)), 'I1 - Universal Data'!$E$14:$V$14, 0)))</f>
        <v>-</v>
      </c>
      <c r="F54" s="1116" t="str">
        <f>IF($A54&lt;DATE(2018,7,1),"-",INDEX('I1 - Universal Data'!$E$15:$V$15, MATCH(YEAR(EOMONTH($A54,6)), 'I1 - Universal Data'!$E$14:$V$14, 0)))</f>
        <v>-</v>
      </c>
      <c r="G54" s="1117">
        <f t="shared" ref="G54:H69" si="5">IF(ISBLANK(C54),G53*((1+E54)^(1/12)),C54)</f>
        <v>76.8</v>
      </c>
      <c r="H54" s="1117">
        <f t="shared" si="5"/>
        <v>181.2</v>
      </c>
      <c r="U54" s="1105"/>
    </row>
    <row r="55" spans="1:21">
      <c r="A55" s="1114">
        <f t="shared" si="2"/>
        <v>37772</v>
      </c>
      <c r="B55" s="1115">
        <f t="shared" si="0"/>
        <v>2004</v>
      </c>
      <c r="C55" s="1283">
        <v>76.8</v>
      </c>
      <c r="D55" s="1283">
        <v>181.5</v>
      </c>
      <c r="E55" s="1116" t="str">
        <f>IF($A55&lt;DATE(2018,7,1),"-",INDEX('I1 - Universal Data'!$E$16:$V$16, MATCH(YEAR(EOMONTH($A55,6)), 'I1 - Universal Data'!$E$14:$V$14, 0)))</f>
        <v>-</v>
      </c>
      <c r="F55" s="1116" t="str">
        <f>IF($A55&lt;DATE(2018,7,1),"-",INDEX('I1 - Universal Data'!$E$15:$V$15, MATCH(YEAR(EOMONTH($A55,6)), 'I1 - Universal Data'!$E$14:$V$14, 0)))</f>
        <v>-</v>
      </c>
      <c r="G55" s="1117">
        <f t="shared" si="5"/>
        <v>76.8</v>
      </c>
      <c r="H55" s="1117">
        <f t="shared" si="5"/>
        <v>181.5</v>
      </c>
      <c r="U55" s="1105"/>
    </row>
    <row r="56" spans="1:21">
      <c r="A56" s="1114">
        <f t="shared" si="2"/>
        <v>37802</v>
      </c>
      <c r="B56" s="1115">
        <f t="shared" si="0"/>
        <v>2004</v>
      </c>
      <c r="C56" s="1283">
        <v>76.7</v>
      </c>
      <c r="D56" s="1283">
        <v>181.3</v>
      </c>
      <c r="E56" s="1116" t="str">
        <f>IF($A56&lt;DATE(2018,7,1),"-",INDEX('I1 - Universal Data'!$E$16:$V$16, MATCH(YEAR(EOMONTH($A56,6)), 'I1 - Universal Data'!$E$14:$V$14, 0)))</f>
        <v>-</v>
      </c>
      <c r="F56" s="1116" t="str">
        <f>IF($A56&lt;DATE(2018,7,1),"-",INDEX('I1 - Universal Data'!$E$15:$V$15, MATCH(YEAR(EOMONTH($A56,6)), 'I1 - Universal Data'!$E$14:$V$14, 0)))</f>
        <v>-</v>
      </c>
      <c r="G56" s="1117">
        <f t="shared" si="5"/>
        <v>76.7</v>
      </c>
      <c r="H56" s="1117">
        <f t="shared" si="5"/>
        <v>181.3</v>
      </c>
      <c r="U56" s="1105"/>
    </row>
    <row r="57" spans="1:21">
      <c r="A57" s="1114">
        <f t="shared" si="2"/>
        <v>37833</v>
      </c>
      <c r="B57" s="1115">
        <f t="shared" si="0"/>
        <v>2004</v>
      </c>
      <c r="C57" s="1283">
        <v>76.599999999999994</v>
      </c>
      <c r="D57" s="1283">
        <v>181.3</v>
      </c>
      <c r="E57" s="1116" t="str">
        <f>IF($A57&lt;DATE(2018,7,1),"-",INDEX('I1 - Universal Data'!$E$16:$V$16, MATCH(YEAR(EOMONTH($A57,6)), 'I1 - Universal Data'!$E$14:$V$14, 0)))</f>
        <v>-</v>
      </c>
      <c r="F57" s="1116" t="str">
        <f>IF($A57&lt;DATE(2018,7,1),"-",INDEX('I1 - Universal Data'!$E$15:$V$15, MATCH(YEAR(EOMONTH($A57,6)), 'I1 - Universal Data'!$E$14:$V$14, 0)))</f>
        <v>-</v>
      </c>
      <c r="G57" s="1117">
        <f t="shared" si="5"/>
        <v>76.599999999999994</v>
      </c>
      <c r="H57" s="1117">
        <f t="shared" si="5"/>
        <v>181.3</v>
      </c>
      <c r="U57" s="1105"/>
    </row>
    <row r="58" spans="1:21">
      <c r="A58" s="1114">
        <f t="shared" si="2"/>
        <v>37864</v>
      </c>
      <c r="B58" s="1115">
        <f t="shared" si="0"/>
        <v>2004</v>
      </c>
      <c r="C58" s="1283">
        <v>76.8</v>
      </c>
      <c r="D58" s="1283">
        <v>181.6</v>
      </c>
      <c r="E58" s="1116" t="str">
        <f>IF($A58&lt;DATE(2018,7,1),"-",INDEX('I1 - Universal Data'!$E$16:$V$16, MATCH(YEAR(EOMONTH($A58,6)), 'I1 - Universal Data'!$E$14:$V$14, 0)))</f>
        <v>-</v>
      </c>
      <c r="F58" s="1116" t="str">
        <f>IF($A58&lt;DATE(2018,7,1),"-",INDEX('I1 - Universal Data'!$E$15:$V$15, MATCH(YEAR(EOMONTH($A58,6)), 'I1 - Universal Data'!$E$14:$V$14, 0)))</f>
        <v>-</v>
      </c>
      <c r="G58" s="1117">
        <f t="shared" si="5"/>
        <v>76.8</v>
      </c>
      <c r="H58" s="1117">
        <f t="shared" si="5"/>
        <v>181.6</v>
      </c>
      <c r="U58" s="1105"/>
    </row>
    <row r="59" spans="1:21">
      <c r="A59" s="1114">
        <f t="shared" si="2"/>
        <v>37894</v>
      </c>
      <c r="B59" s="1115">
        <f t="shared" si="0"/>
        <v>2004</v>
      </c>
      <c r="C59" s="1283">
        <v>77</v>
      </c>
      <c r="D59" s="1283">
        <v>182.5</v>
      </c>
      <c r="E59" s="1116" t="str">
        <f>IF($A59&lt;DATE(2018,7,1),"-",INDEX('I1 - Universal Data'!$E$16:$V$16, MATCH(YEAR(EOMONTH($A59,6)), 'I1 - Universal Data'!$E$14:$V$14, 0)))</f>
        <v>-</v>
      </c>
      <c r="F59" s="1116" t="str">
        <f>IF($A59&lt;DATE(2018,7,1),"-",INDEX('I1 - Universal Data'!$E$15:$V$15, MATCH(YEAR(EOMONTH($A59,6)), 'I1 - Universal Data'!$E$14:$V$14, 0)))</f>
        <v>-</v>
      </c>
      <c r="G59" s="1117">
        <f t="shared" si="5"/>
        <v>77</v>
      </c>
      <c r="H59" s="1117">
        <f t="shared" si="5"/>
        <v>182.5</v>
      </c>
      <c r="U59" s="1105"/>
    </row>
    <row r="60" spans="1:21">
      <c r="A60" s="1114">
        <f t="shared" si="2"/>
        <v>37925</v>
      </c>
      <c r="B60" s="1115">
        <f t="shared" si="0"/>
        <v>2004</v>
      </c>
      <c r="C60" s="1283">
        <v>77.099999999999994</v>
      </c>
      <c r="D60" s="1283">
        <v>182.6</v>
      </c>
      <c r="E60" s="1116" t="str">
        <f>IF($A60&lt;DATE(2018,7,1),"-",INDEX('I1 - Universal Data'!$E$16:$V$16, MATCH(YEAR(EOMONTH($A60,6)), 'I1 - Universal Data'!$E$14:$V$14, 0)))</f>
        <v>-</v>
      </c>
      <c r="F60" s="1116" t="str">
        <f>IF($A60&lt;DATE(2018,7,1),"-",INDEX('I1 - Universal Data'!$E$15:$V$15, MATCH(YEAR(EOMONTH($A60,6)), 'I1 - Universal Data'!$E$14:$V$14, 0)))</f>
        <v>-</v>
      </c>
      <c r="G60" s="1117">
        <f t="shared" si="5"/>
        <v>77.099999999999994</v>
      </c>
      <c r="H60" s="1117">
        <f t="shared" si="5"/>
        <v>182.6</v>
      </c>
      <c r="U60" s="1105"/>
    </row>
    <row r="61" spans="1:21">
      <c r="A61" s="1114">
        <f t="shared" si="2"/>
        <v>37955</v>
      </c>
      <c r="B61" s="1115">
        <f t="shared" si="0"/>
        <v>2004</v>
      </c>
      <c r="C61" s="1283">
        <v>77.099999999999994</v>
      </c>
      <c r="D61" s="1283">
        <v>182.7</v>
      </c>
      <c r="E61" s="1116" t="str">
        <f>IF($A61&lt;DATE(2018,7,1),"-",INDEX('I1 - Universal Data'!$E$16:$V$16, MATCH(YEAR(EOMONTH($A61,6)), 'I1 - Universal Data'!$E$14:$V$14, 0)))</f>
        <v>-</v>
      </c>
      <c r="F61" s="1116" t="str">
        <f>IF($A61&lt;DATE(2018,7,1),"-",INDEX('I1 - Universal Data'!$E$15:$V$15, MATCH(YEAR(EOMONTH($A61,6)), 'I1 - Universal Data'!$E$14:$V$14, 0)))</f>
        <v>-</v>
      </c>
      <c r="G61" s="1117">
        <f t="shared" si="5"/>
        <v>77.099999999999994</v>
      </c>
      <c r="H61" s="1117">
        <f t="shared" si="5"/>
        <v>182.7</v>
      </c>
      <c r="U61" s="1105"/>
    </row>
    <row r="62" spans="1:21">
      <c r="A62" s="1114">
        <f t="shared" si="2"/>
        <v>37986</v>
      </c>
      <c r="B62" s="1115">
        <f t="shared" si="0"/>
        <v>2004</v>
      </c>
      <c r="C62" s="1283">
        <v>77.3</v>
      </c>
      <c r="D62" s="1283">
        <v>183.5</v>
      </c>
      <c r="E62" s="1116" t="str">
        <f>IF($A62&lt;DATE(2018,7,1),"-",INDEX('I1 - Universal Data'!$E$16:$V$16, MATCH(YEAR(EOMONTH($A62,6)), 'I1 - Universal Data'!$E$14:$V$14, 0)))</f>
        <v>-</v>
      </c>
      <c r="F62" s="1116" t="str">
        <f>IF($A62&lt;DATE(2018,7,1),"-",INDEX('I1 - Universal Data'!$E$15:$V$15, MATCH(YEAR(EOMONTH($A62,6)), 'I1 - Universal Data'!$E$14:$V$14, 0)))</f>
        <v>-</v>
      </c>
      <c r="G62" s="1117">
        <f t="shared" si="5"/>
        <v>77.3</v>
      </c>
      <c r="H62" s="1117">
        <f t="shared" si="5"/>
        <v>183.5</v>
      </c>
      <c r="U62" s="1105"/>
    </row>
    <row r="63" spans="1:21">
      <c r="A63" s="1114">
        <f t="shared" si="2"/>
        <v>38017</v>
      </c>
      <c r="B63" s="1115">
        <f t="shared" si="0"/>
        <v>2004</v>
      </c>
      <c r="C63" s="1283">
        <v>77</v>
      </c>
      <c r="D63" s="1283">
        <v>183.1</v>
      </c>
      <c r="E63" s="1116" t="str">
        <f>IF($A63&lt;DATE(2018,7,1),"-",INDEX('I1 - Universal Data'!$E$16:$V$16, MATCH(YEAR(EOMONTH($A63,6)), 'I1 - Universal Data'!$E$14:$V$14, 0)))</f>
        <v>-</v>
      </c>
      <c r="F63" s="1116" t="str">
        <f>IF($A63&lt;DATE(2018,7,1),"-",INDEX('I1 - Universal Data'!$E$15:$V$15, MATCH(YEAR(EOMONTH($A63,6)), 'I1 - Universal Data'!$E$14:$V$14, 0)))</f>
        <v>-</v>
      </c>
      <c r="G63" s="1117">
        <f t="shared" si="5"/>
        <v>77</v>
      </c>
      <c r="H63" s="1117">
        <f t="shared" si="5"/>
        <v>183.1</v>
      </c>
      <c r="U63" s="1105"/>
    </row>
    <row r="64" spans="1:21">
      <c r="A64" s="1114">
        <f t="shared" si="2"/>
        <v>38046</v>
      </c>
      <c r="B64" s="1115">
        <f t="shared" si="0"/>
        <v>2004</v>
      </c>
      <c r="C64" s="1283">
        <v>77.2</v>
      </c>
      <c r="D64" s="1283">
        <v>183.8</v>
      </c>
      <c r="E64" s="1116" t="str">
        <f>IF($A64&lt;DATE(2018,7,1),"-",INDEX('I1 - Universal Data'!$E$16:$V$16, MATCH(YEAR(EOMONTH($A64,6)), 'I1 - Universal Data'!$E$14:$V$14, 0)))</f>
        <v>-</v>
      </c>
      <c r="F64" s="1116" t="str">
        <f>IF($A64&lt;DATE(2018,7,1),"-",INDEX('I1 - Universal Data'!$E$15:$V$15, MATCH(YEAR(EOMONTH($A64,6)), 'I1 - Universal Data'!$E$14:$V$14, 0)))</f>
        <v>-</v>
      </c>
      <c r="G64" s="1117">
        <f t="shared" si="5"/>
        <v>77.2</v>
      </c>
      <c r="H64" s="1117">
        <f t="shared" si="5"/>
        <v>183.8</v>
      </c>
      <c r="U64" s="1105"/>
    </row>
    <row r="65" spans="1:21">
      <c r="A65" s="1114">
        <f t="shared" si="2"/>
        <v>38077</v>
      </c>
      <c r="B65" s="1115">
        <f t="shared" si="0"/>
        <v>2004</v>
      </c>
      <c r="C65" s="1283">
        <v>77.3</v>
      </c>
      <c r="D65" s="1283">
        <v>184.6</v>
      </c>
      <c r="E65" s="1116" t="str">
        <f>IF($A65&lt;DATE(2018,7,1),"-",INDEX('I1 - Universal Data'!$E$16:$V$16, MATCH(YEAR(EOMONTH($A65,6)), 'I1 - Universal Data'!$E$14:$V$14, 0)))</f>
        <v>-</v>
      </c>
      <c r="F65" s="1116" t="str">
        <f>IF($A65&lt;DATE(2018,7,1),"-",INDEX('I1 - Universal Data'!$E$15:$V$15, MATCH(YEAR(EOMONTH($A65,6)), 'I1 - Universal Data'!$E$14:$V$14, 0)))</f>
        <v>-</v>
      </c>
      <c r="G65" s="1117">
        <f t="shared" si="5"/>
        <v>77.3</v>
      </c>
      <c r="H65" s="1117">
        <f t="shared" si="5"/>
        <v>184.6</v>
      </c>
      <c r="U65" s="1105"/>
    </row>
    <row r="66" spans="1:21">
      <c r="A66" s="1114">
        <f t="shared" si="2"/>
        <v>38107</v>
      </c>
      <c r="B66" s="1115">
        <f t="shared" si="0"/>
        <v>2005</v>
      </c>
      <c r="C66" s="1283">
        <v>77.599999999999994</v>
      </c>
      <c r="D66" s="1283">
        <v>185.7</v>
      </c>
      <c r="E66" s="1116" t="str">
        <f>IF($A66&lt;DATE(2018,7,1),"-",INDEX('I1 - Universal Data'!$E$16:$V$16, MATCH(YEAR(EOMONTH($A66,6)), 'I1 - Universal Data'!$E$14:$V$14, 0)))</f>
        <v>-</v>
      </c>
      <c r="F66" s="1116" t="str">
        <f>IF($A66&lt;DATE(2018,7,1),"-",INDEX('I1 - Universal Data'!$E$15:$V$15, MATCH(YEAR(EOMONTH($A66,6)), 'I1 - Universal Data'!$E$14:$V$14, 0)))</f>
        <v>-</v>
      </c>
      <c r="G66" s="1117">
        <f t="shared" si="5"/>
        <v>77.599999999999994</v>
      </c>
      <c r="H66" s="1117">
        <f t="shared" si="5"/>
        <v>185.7</v>
      </c>
      <c r="U66" s="1105"/>
    </row>
    <row r="67" spans="1:21">
      <c r="A67" s="1114">
        <f t="shared" si="2"/>
        <v>38138</v>
      </c>
      <c r="B67" s="1115">
        <f t="shared" si="0"/>
        <v>2005</v>
      </c>
      <c r="C67" s="1283">
        <v>77.900000000000006</v>
      </c>
      <c r="D67" s="1283">
        <v>186.5</v>
      </c>
      <c r="E67" s="1116" t="str">
        <f>IF($A67&lt;DATE(2018,7,1),"-",INDEX('I1 - Universal Data'!$E$16:$V$16, MATCH(YEAR(EOMONTH($A67,6)), 'I1 - Universal Data'!$E$14:$V$14, 0)))</f>
        <v>-</v>
      </c>
      <c r="F67" s="1116" t="str">
        <f>IF($A67&lt;DATE(2018,7,1),"-",INDEX('I1 - Universal Data'!$E$15:$V$15, MATCH(YEAR(EOMONTH($A67,6)), 'I1 - Universal Data'!$E$14:$V$14, 0)))</f>
        <v>-</v>
      </c>
      <c r="G67" s="1117">
        <f t="shared" si="5"/>
        <v>77.900000000000006</v>
      </c>
      <c r="H67" s="1117">
        <f t="shared" si="5"/>
        <v>186.5</v>
      </c>
      <c r="U67" s="1105"/>
    </row>
    <row r="68" spans="1:21">
      <c r="A68" s="1114">
        <f t="shared" si="2"/>
        <v>38168</v>
      </c>
      <c r="B68" s="1115">
        <f t="shared" si="0"/>
        <v>2005</v>
      </c>
      <c r="C68" s="1283">
        <v>77.900000000000006</v>
      </c>
      <c r="D68" s="1283">
        <v>186.8</v>
      </c>
      <c r="E68" s="1116" t="str">
        <f>IF($A68&lt;DATE(2018,7,1),"-",INDEX('I1 - Universal Data'!$E$16:$V$16, MATCH(YEAR(EOMONTH($A68,6)), 'I1 - Universal Data'!$E$14:$V$14, 0)))</f>
        <v>-</v>
      </c>
      <c r="F68" s="1116" t="str">
        <f>IF($A68&lt;DATE(2018,7,1),"-",INDEX('I1 - Universal Data'!$E$15:$V$15, MATCH(YEAR(EOMONTH($A68,6)), 'I1 - Universal Data'!$E$14:$V$14, 0)))</f>
        <v>-</v>
      </c>
      <c r="G68" s="1117">
        <f t="shared" si="5"/>
        <v>77.900000000000006</v>
      </c>
      <c r="H68" s="1117">
        <f t="shared" si="5"/>
        <v>186.8</v>
      </c>
      <c r="U68" s="1105"/>
    </row>
    <row r="69" spans="1:21">
      <c r="A69" s="1114">
        <f t="shared" si="2"/>
        <v>38199</v>
      </c>
      <c r="B69" s="1115">
        <f t="shared" si="0"/>
        <v>2005</v>
      </c>
      <c r="C69" s="1283">
        <v>77.7</v>
      </c>
      <c r="D69" s="1283">
        <v>186.8</v>
      </c>
      <c r="E69" s="1116" t="str">
        <f>IF($A69&lt;DATE(2018,7,1),"-",INDEX('I1 - Universal Data'!$E$16:$V$16, MATCH(YEAR(EOMONTH($A69,6)), 'I1 - Universal Data'!$E$14:$V$14, 0)))</f>
        <v>-</v>
      </c>
      <c r="F69" s="1116" t="str">
        <f>IF($A69&lt;DATE(2018,7,1),"-",INDEX('I1 - Universal Data'!$E$15:$V$15, MATCH(YEAR(EOMONTH($A69,6)), 'I1 - Universal Data'!$E$14:$V$14, 0)))</f>
        <v>-</v>
      </c>
      <c r="G69" s="1117">
        <f t="shared" si="5"/>
        <v>77.7</v>
      </c>
      <c r="H69" s="1117">
        <f t="shared" si="5"/>
        <v>186.8</v>
      </c>
      <c r="U69" s="1105"/>
    </row>
    <row r="70" spans="1:21">
      <c r="A70" s="1114">
        <f t="shared" si="2"/>
        <v>38230</v>
      </c>
      <c r="B70" s="1115">
        <f t="shared" ref="B70:B133" si="6">IF(MONTH(A70)&gt;=4,YEAR(A70)+1,YEAR(A70))</f>
        <v>2005</v>
      </c>
      <c r="C70" s="1283">
        <v>77.900000000000006</v>
      </c>
      <c r="D70" s="1283">
        <v>187.4</v>
      </c>
      <c r="E70" s="1116" t="str">
        <f>IF($A70&lt;DATE(2018,7,1),"-",INDEX('I1 - Universal Data'!$E$16:$V$16, MATCH(YEAR(EOMONTH($A70,6)), 'I1 - Universal Data'!$E$14:$V$14, 0)))</f>
        <v>-</v>
      </c>
      <c r="F70" s="1116" t="str">
        <f>IF($A70&lt;DATE(2018,7,1),"-",INDEX('I1 - Universal Data'!$E$15:$V$15, MATCH(YEAR(EOMONTH($A70,6)), 'I1 - Universal Data'!$E$14:$V$14, 0)))</f>
        <v>-</v>
      </c>
      <c r="G70" s="1117">
        <f t="shared" ref="G70:H85" si="7">IF(ISBLANK(C70),G69*((1+E70)^(1/12)),C70)</f>
        <v>77.900000000000006</v>
      </c>
      <c r="H70" s="1117">
        <f t="shared" si="7"/>
        <v>187.4</v>
      </c>
      <c r="U70" s="1105"/>
    </row>
    <row r="71" spans="1:21">
      <c r="A71" s="1114">
        <f t="shared" ref="A71:A134" si="8">IF(MONTH(A70) = 12, EOMONTH(DATE(YEAR(A70) + 1, 1, 1), 0), EOMONTH(DATE(YEAR(A70), MONTH(A70) + 1, 1), 0))</f>
        <v>38260</v>
      </c>
      <c r="B71" s="1115">
        <f t="shared" si="6"/>
        <v>2005</v>
      </c>
      <c r="C71" s="1283">
        <v>77.900000000000006</v>
      </c>
      <c r="D71" s="1283">
        <v>188.1</v>
      </c>
      <c r="E71" s="1116" t="str">
        <f>IF($A71&lt;DATE(2018,7,1),"-",INDEX('I1 - Universal Data'!$E$16:$V$16, MATCH(YEAR(EOMONTH($A71,6)), 'I1 - Universal Data'!$E$14:$V$14, 0)))</f>
        <v>-</v>
      </c>
      <c r="F71" s="1116" t="str">
        <f>IF($A71&lt;DATE(2018,7,1),"-",INDEX('I1 - Universal Data'!$E$15:$V$15, MATCH(YEAR(EOMONTH($A71,6)), 'I1 - Universal Data'!$E$14:$V$14, 0)))</f>
        <v>-</v>
      </c>
      <c r="G71" s="1117">
        <f t="shared" si="7"/>
        <v>77.900000000000006</v>
      </c>
      <c r="H71" s="1117">
        <f t="shared" si="7"/>
        <v>188.1</v>
      </c>
      <c r="U71" s="1105"/>
    </row>
    <row r="72" spans="1:21">
      <c r="A72" s="1114">
        <f t="shared" si="8"/>
        <v>38291</v>
      </c>
      <c r="B72" s="1115">
        <f t="shared" si="6"/>
        <v>2005</v>
      </c>
      <c r="C72" s="1283">
        <v>78.099999999999994</v>
      </c>
      <c r="D72" s="1283">
        <v>188.6</v>
      </c>
      <c r="E72" s="1116" t="str">
        <f>IF($A72&lt;DATE(2018,7,1),"-",INDEX('I1 - Universal Data'!$E$16:$V$16, MATCH(YEAR(EOMONTH($A72,6)), 'I1 - Universal Data'!$E$14:$V$14, 0)))</f>
        <v>-</v>
      </c>
      <c r="F72" s="1116" t="str">
        <f>IF($A72&lt;DATE(2018,7,1),"-",INDEX('I1 - Universal Data'!$E$15:$V$15, MATCH(YEAR(EOMONTH($A72,6)), 'I1 - Universal Data'!$E$14:$V$14, 0)))</f>
        <v>-</v>
      </c>
      <c r="G72" s="1117">
        <f t="shared" si="7"/>
        <v>78.099999999999994</v>
      </c>
      <c r="H72" s="1117">
        <f t="shared" si="7"/>
        <v>188.6</v>
      </c>
      <c r="U72" s="1105"/>
    </row>
    <row r="73" spans="1:21">
      <c r="A73" s="1114">
        <f t="shared" si="8"/>
        <v>38321</v>
      </c>
      <c r="B73" s="1115">
        <f t="shared" si="6"/>
        <v>2005</v>
      </c>
      <c r="C73" s="1283">
        <v>78.3</v>
      </c>
      <c r="D73" s="1283">
        <v>189</v>
      </c>
      <c r="E73" s="1116" t="str">
        <f>IF($A73&lt;DATE(2018,7,1),"-",INDEX('I1 - Universal Data'!$E$16:$V$16, MATCH(YEAR(EOMONTH($A73,6)), 'I1 - Universal Data'!$E$14:$V$14, 0)))</f>
        <v>-</v>
      </c>
      <c r="F73" s="1116" t="str">
        <f>IF($A73&lt;DATE(2018,7,1),"-",INDEX('I1 - Universal Data'!$E$15:$V$15, MATCH(YEAR(EOMONTH($A73,6)), 'I1 - Universal Data'!$E$14:$V$14, 0)))</f>
        <v>-</v>
      </c>
      <c r="G73" s="1117">
        <f t="shared" si="7"/>
        <v>78.3</v>
      </c>
      <c r="H73" s="1117">
        <f t="shared" si="7"/>
        <v>189</v>
      </c>
      <c r="U73" s="1105"/>
    </row>
    <row r="74" spans="1:21">
      <c r="A74" s="1114">
        <f t="shared" si="8"/>
        <v>38352</v>
      </c>
      <c r="B74" s="1115">
        <f t="shared" si="6"/>
        <v>2005</v>
      </c>
      <c r="C74" s="1283">
        <v>78.599999999999994</v>
      </c>
      <c r="D74" s="1283">
        <v>189.9</v>
      </c>
      <c r="E74" s="1116" t="str">
        <f>IF($A74&lt;DATE(2018,7,1),"-",INDEX('I1 - Universal Data'!$E$16:$V$16, MATCH(YEAR(EOMONTH($A74,6)), 'I1 - Universal Data'!$E$14:$V$14, 0)))</f>
        <v>-</v>
      </c>
      <c r="F74" s="1116" t="str">
        <f>IF($A74&lt;DATE(2018,7,1),"-",INDEX('I1 - Universal Data'!$E$15:$V$15, MATCH(YEAR(EOMONTH($A74,6)), 'I1 - Universal Data'!$E$14:$V$14, 0)))</f>
        <v>-</v>
      </c>
      <c r="G74" s="1117">
        <f t="shared" si="7"/>
        <v>78.599999999999994</v>
      </c>
      <c r="H74" s="1117">
        <f t="shared" si="7"/>
        <v>189.9</v>
      </c>
      <c r="U74" s="1105"/>
    </row>
    <row r="75" spans="1:21">
      <c r="A75" s="1114">
        <f t="shared" si="8"/>
        <v>38383</v>
      </c>
      <c r="B75" s="1115">
        <f t="shared" si="6"/>
        <v>2005</v>
      </c>
      <c r="C75" s="1283">
        <v>78.3</v>
      </c>
      <c r="D75" s="1283">
        <v>188.9</v>
      </c>
      <c r="E75" s="1116" t="str">
        <f>IF($A75&lt;DATE(2018,7,1),"-",INDEX('I1 - Universal Data'!$E$16:$V$16, MATCH(YEAR(EOMONTH($A75,6)), 'I1 - Universal Data'!$E$14:$V$14, 0)))</f>
        <v>-</v>
      </c>
      <c r="F75" s="1116" t="str">
        <f>IF($A75&lt;DATE(2018,7,1),"-",INDEX('I1 - Universal Data'!$E$15:$V$15, MATCH(YEAR(EOMONTH($A75,6)), 'I1 - Universal Data'!$E$14:$V$14, 0)))</f>
        <v>-</v>
      </c>
      <c r="G75" s="1117">
        <f t="shared" si="7"/>
        <v>78.3</v>
      </c>
      <c r="H75" s="1117">
        <f t="shared" si="7"/>
        <v>188.9</v>
      </c>
      <c r="U75" s="1105"/>
    </row>
    <row r="76" spans="1:21">
      <c r="A76" s="1114">
        <f t="shared" si="8"/>
        <v>38411</v>
      </c>
      <c r="B76" s="1115">
        <f t="shared" si="6"/>
        <v>2005</v>
      </c>
      <c r="C76" s="1283">
        <v>78.5</v>
      </c>
      <c r="D76" s="1283">
        <v>189.6</v>
      </c>
      <c r="E76" s="1116" t="str">
        <f>IF($A76&lt;DATE(2018,7,1),"-",INDEX('I1 - Universal Data'!$E$16:$V$16, MATCH(YEAR(EOMONTH($A76,6)), 'I1 - Universal Data'!$E$14:$V$14, 0)))</f>
        <v>-</v>
      </c>
      <c r="F76" s="1116" t="str">
        <f>IF($A76&lt;DATE(2018,7,1),"-",INDEX('I1 - Universal Data'!$E$15:$V$15, MATCH(YEAR(EOMONTH($A76,6)), 'I1 - Universal Data'!$E$14:$V$14, 0)))</f>
        <v>-</v>
      </c>
      <c r="G76" s="1117">
        <f t="shared" si="7"/>
        <v>78.5</v>
      </c>
      <c r="H76" s="1117">
        <f t="shared" si="7"/>
        <v>189.6</v>
      </c>
      <c r="U76" s="1105"/>
    </row>
    <row r="77" spans="1:21">
      <c r="A77" s="1114">
        <f t="shared" si="8"/>
        <v>38442</v>
      </c>
      <c r="B77" s="1115">
        <f t="shared" si="6"/>
        <v>2005</v>
      </c>
      <c r="C77" s="1283">
        <v>78.8</v>
      </c>
      <c r="D77" s="1283">
        <v>190.5</v>
      </c>
      <c r="E77" s="1116" t="str">
        <f>IF($A77&lt;DATE(2018,7,1),"-",INDEX('I1 - Universal Data'!$E$16:$V$16, MATCH(YEAR(EOMONTH($A77,6)), 'I1 - Universal Data'!$E$14:$V$14, 0)))</f>
        <v>-</v>
      </c>
      <c r="F77" s="1116" t="str">
        <f>IF($A77&lt;DATE(2018,7,1),"-",INDEX('I1 - Universal Data'!$E$15:$V$15, MATCH(YEAR(EOMONTH($A77,6)), 'I1 - Universal Data'!$E$14:$V$14, 0)))</f>
        <v>-</v>
      </c>
      <c r="G77" s="1117">
        <f t="shared" si="7"/>
        <v>78.8</v>
      </c>
      <c r="H77" s="1117">
        <f t="shared" si="7"/>
        <v>190.5</v>
      </c>
      <c r="U77" s="1105"/>
    </row>
    <row r="78" spans="1:21">
      <c r="A78" s="1114">
        <f t="shared" si="8"/>
        <v>38472</v>
      </c>
      <c r="B78" s="1115">
        <f t="shared" si="6"/>
        <v>2006</v>
      </c>
      <c r="C78" s="1283">
        <v>79.099999999999994</v>
      </c>
      <c r="D78" s="1283">
        <v>191.6</v>
      </c>
      <c r="E78" s="1116" t="str">
        <f>IF($A78&lt;DATE(2018,7,1),"-",INDEX('I1 - Universal Data'!$E$16:$V$16, MATCH(YEAR(EOMONTH($A78,6)), 'I1 - Universal Data'!$E$14:$V$14, 0)))</f>
        <v>-</v>
      </c>
      <c r="F78" s="1116" t="str">
        <f>IF($A78&lt;DATE(2018,7,1),"-",INDEX('I1 - Universal Data'!$E$15:$V$15, MATCH(YEAR(EOMONTH($A78,6)), 'I1 - Universal Data'!$E$14:$V$14, 0)))</f>
        <v>-</v>
      </c>
      <c r="G78" s="1117">
        <f t="shared" si="7"/>
        <v>79.099999999999994</v>
      </c>
      <c r="H78" s="1117">
        <f t="shared" si="7"/>
        <v>191.6</v>
      </c>
      <c r="U78" s="1105"/>
    </row>
    <row r="79" spans="1:21">
      <c r="A79" s="1114">
        <f t="shared" si="8"/>
        <v>38503</v>
      </c>
      <c r="B79" s="1115">
        <f t="shared" si="6"/>
        <v>2006</v>
      </c>
      <c r="C79" s="1283">
        <v>79.400000000000006</v>
      </c>
      <c r="D79" s="1283">
        <v>192</v>
      </c>
      <c r="E79" s="1116" t="str">
        <f>IF($A79&lt;DATE(2018,7,1),"-",INDEX('I1 - Universal Data'!$E$16:$V$16, MATCH(YEAR(EOMONTH($A79,6)), 'I1 - Universal Data'!$E$14:$V$14, 0)))</f>
        <v>-</v>
      </c>
      <c r="F79" s="1116" t="str">
        <f>IF($A79&lt;DATE(2018,7,1),"-",INDEX('I1 - Universal Data'!$E$15:$V$15, MATCH(YEAR(EOMONTH($A79,6)), 'I1 - Universal Data'!$E$14:$V$14, 0)))</f>
        <v>-</v>
      </c>
      <c r="G79" s="1117">
        <f t="shared" si="7"/>
        <v>79.400000000000006</v>
      </c>
      <c r="H79" s="1117">
        <f t="shared" si="7"/>
        <v>192</v>
      </c>
      <c r="U79" s="1105"/>
    </row>
    <row r="80" spans="1:21">
      <c r="A80" s="1114">
        <f t="shared" si="8"/>
        <v>38533</v>
      </c>
      <c r="B80" s="1115">
        <f t="shared" si="6"/>
        <v>2006</v>
      </c>
      <c r="C80" s="1283">
        <v>79.400000000000006</v>
      </c>
      <c r="D80" s="1283">
        <v>192.2</v>
      </c>
      <c r="E80" s="1116" t="str">
        <f>IF($A80&lt;DATE(2018,7,1),"-",INDEX('I1 - Universal Data'!$E$16:$V$16, MATCH(YEAR(EOMONTH($A80,6)), 'I1 - Universal Data'!$E$14:$V$14, 0)))</f>
        <v>-</v>
      </c>
      <c r="F80" s="1116" t="str">
        <f>IF($A80&lt;DATE(2018,7,1),"-",INDEX('I1 - Universal Data'!$E$15:$V$15, MATCH(YEAR(EOMONTH($A80,6)), 'I1 - Universal Data'!$E$14:$V$14, 0)))</f>
        <v>-</v>
      </c>
      <c r="G80" s="1117">
        <f t="shared" si="7"/>
        <v>79.400000000000006</v>
      </c>
      <c r="H80" s="1117">
        <f t="shared" si="7"/>
        <v>192.2</v>
      </c>
      <c r="U80" s="1105"/>
    </row>
    <row r="81" spans="1:21">
      <c r="A81" s="1114">
        <f t="shared" si="8"/>
        <v>38564</v>
      </c>
      <c r="B81" s="1115">
        <f t="shared" si="6"/>
        <v>2006</v>
      </c>
      <c r="C81" s="1283">
        <v>79.5</v>
      </c>
      <c r="D81" s="1283">
        <v>192.2</v>
      </c>
      <c r="E81" s="1116" t="str">
        <f>IF($A81&lt;DATE(2018,7,1),"-",INDEX('I1 - Universal Data'!$E$16:$V$16, MATCH(YEAR(EOMONTH($A81,6)), 'I1 - Universal Data'!$E$14:$V$14, 0)))</f>
        <v>-</v>
      </c>
      <c r="F81" s="1116" t="str">
        <f>IF($A81&lt;DATE(2018,7,1),"-",INDEX('I1 - Universal Data'!$E$15:$V$15, MATCH(YEAR(EOMONTH($A81,6)), 'I1 - Universal Data'!$E$14:$V$14, 0)))</f>
        <v>-</v>
      </c>
      <c r="G81" s="1117">
        <f t="shared" si="7"/>
        <v>79.5</v>
      </c>
      <c r="H81" s="1117">
        <f t="shared" si="7"/>
        <v>192.2</v>
      </c>
      <c r="U81" s="1105"/>
    </row>
    <row r="82" spans="1:21">
      <c r="A82" s="1114">
        <f t="shared" si="8"/>
        <v>38595</v>
      </c>
      <c r="B82" s="1115">
        <f t="shared" si="6"/>
        <v>2006</v>
      </c>
      <c r="C82" s="1283">
        <v>79.7</v>
      </c>
      <c r="D82" s="1283">
        <v>192.6</v>
      </c>
      <c r="E82" s="1116" t="str">
        <f>IF($A82&lt;DATE(2018,7,1),"-",INDEX('I1 - Universal Data'!$E$16:$V$16, MATCH(YEAR(EOMONTH($A82,6)), 'I1 - Universal Data'!$E$14:$V$14, 0)))</f>
        <v>-</v>
      </c>
      <c r="F82" s="1116" t="str">
        <f>IF($A82&lt;DATE(2018,7,1),"-",INDEX('I1 - Universal Data'!$E$15:$V$15, MATCH(YEAR(EOMONTH($A82,6)), 'I1 - Universal Data'!$E$14:$V$14, 0)))</f>
        <v>-</v>
      </c>
      <c r="G82" s="1117">
        <f t="shared" si="7"/>
        <v>79.7</v>
      </c>
      <c r="H82" s="1117">
        <f t="shared" si="7"/>
        <v>192.6</v>
      </c>
      <c r="U82" s="1105"/>
    </row>
    <row r="83" spans="1:21">
      <c r="A83" s="1114">
        <f t="shared" si="8"/>
        <v>38625</v>
      </c>
      <c r="B83" s="1115">
        <f t="shared" si="6"/>
        <v>2006</v>
      </c>
      <c r="C83" s="1283">
        <v>79.900000000000006</v>
      </c>
      <c r="D83" s="1283">
        <v>193.1</v>
      </c>
      <c r="E83" s="1116" t="str">
        <f>IF($A83&lt;DATE(2018,7,1),"-",INDEX('I1 - Universal Data'!$E$16:$V$16, MATCH(YEAR(EOMONTH($A83,6)), 'I1 - Universal Data'!$E$14:$V$14, 0)))</f>
        <v>-</v>
      </c>
      <c r="F83" s="1116" t="str">
        <f>IF($A83&lt;DATE(2018,7,1),"-",INDEX('I1 - Universal Data'!$E$15:$V$15, MATCH(YEAR(EOMONTH($A83,6)), 'I1 - Universal Data'!$E$14:$V$14, 0)))</f>
        <v>-</v>
      </c>
      <c r="G83" s="1117">
        <f t="shared" si="7"/>
        <v>79.900000000000006</v>
      </c>
      <c r="H83" s="1117">
        <f t="shared" si="7"/>
        <v>193.1</v>
      </c>
      <c r="U83" s="1105"/>
    </row>
    <row r="84" spans="1:21">
      <c r="A84" s="1114">
        <f t="shared" si="8"/>
        <v>38656</v>
      </c>
      <c r="B84" s="1115">
        <f t="shared" si="6"/>
        <v>2006</v>
      </c>
      <c r="C84" s="1283">
        <v>80</v>
      </c>
      <c r="D84" s="1283">
        <v>193.3</v>
      </c>
      <c r="E84" s="1116" t="str">
        <f>IF($A84&lt;DATE(2018,7,1),"-",INDEX('I1 - Universal Data'!$E$16:$V$16, MATCH(YEAR(EOMONTH($A84,6)), 'I1 - Universal Data'!$E$14:$V$14, 0)))</f>
        <v>-</v>
      </c>
      <c r="F84" s="1116" t="str">
        <f>IF($A84&lt;DATE(2018,7,1),"-",INDEX('I1 - Universal Data'!$E$15:$V$15, MATCH(YEAR(EOMONTH($A84,6)), 'I1 - Universal Data'!$E$14:$V$14, 0)))</f>
        <v>-</v>
      </c>
      <c r="G84" s="1117">
        <f t="shared" si="7"/>
        <v>80</v>
      </c>
      <c r="H84" s="1117">
        <f t="shared" si="7"/>
        <v>193.3</v>
      </c>
      <c r="U84" s="1105"/>
    </row>
    <row r="85" spans="1:21">
      <c r="A85" s="1114">
        <f t="shared" si="8"/>
        <v>38686</v>
      </c>
      <c r="B85" s="1115">
        <f t="shared" si="6"/>
        <v>2006</v>
      </c>
      <c r="C85" s="1283">
        <v>80</v>
      </c>
      <c r="D85" s="1283">
        <v>193.6</v>
      </c>
      <c r="E85" s="1116" t="str">
        <f>IF($A85&lt;DATE(2018,7,1),"-",INDEX('I1 - Universal Data'!$E$16:$V$16, MATCH(YEAR(EOMONTH($A85,6)), 'I1 - Universal Data'!$E$14:$V$14, 0)))</f>
        <v>-</v>
      </c>
      <c r="F85" s="1116" t="str">
        <f>IF($A85&lt;DATE(2018,7,1),"-",INDEX('I1 - Universal Data'!$E$15:$V$15, MATCH(YEAR(EOMONTH($A85,6)), 'I1 - Universal Data'!$E$14:$V$14, 0)))</f>
        <v>-</v>
      </c>
      <c r="G85" s="1117">
        <f t="shared" si="7"/>
        <v>80</v>
      </c>
      <c r="H85" s="1117">
        <f t="shared" si="7"/>
        <v>193.6</v>
      </c>
      <c r="U85" s="1105"/>
    </row>
    <row r="86" spans="1:21">
      <c r="A86" s="1114">
        <f t="shared" si="8"/>
        <v>38717</v>
      </c>
      <c r="B86" s="1115">
        <f t="shared" si="6"/>
        <v>2006</v>
      </c>
      <c r="C86" s="1283">
        <v>80.3</v>
      </c>
      <c r="D86" s="1283">
        <v>194.1</v>
      </c>
      <c r="E86" s="1116" t="str">
        <f>IF($A86&lt;DATE(2018,7,1),"-",INDEX('I1 - Universal Data'!$E$16:$V$16, MATCH(YEAR(EOMONTH($A86,6)), 'I1 - Universal Data'!$E$14:$V$14, 0)))</f>
        <v>-</v>
      </c>
      <c r="F86" s="1116" t="str">
        <f>IF($A86&lt;DATE(2018,7,1),"-",INDEX('I1 - Universal Data'!$E$15:$V$15, MATCH(YEAR(EOMONTH($A86,6)), 'I1 - Universal Data'!$E$14:$V$14, 0)))</f>
        <v>-</v>
      </c>
      <c r="G86" s="1117">
        <f t="shared" ref="G86:H101" si="9">IF(ISBLANK(C86),G85*((1+E86)^(1/12)),C86)</f>
        <v>80.3</v>
      </c>
      <c r="H86" s="1117">
        <f t="shared" si="9"/>
        <v>194.1</v>
      </c>
      <c r="U86" s="1105"/>
    </row>
    <row r="87" spans="1:21">
      <c r="A87" s="1114">
        <f t="shared" si="8"/>
        <v>38748</v>
      </c>
      <c r="B87" s="1115">
        <f t="shared" si="6"/>
        <v>2006</v>
      </c>
      <c r="C87" s="1283">
        <v>80</v>
      </c>
      <c r="D87" s="1283">
        <v>193.4</v>
      </c>
      <c r="E87" s="1116" t="str">
        <f>IF($A87&lt;DATE(2018,7,1),"-",INDEX('I1 - Universal Data'!$E$16:$V$16, MATCH(YEAR(EOMONTH($A87,6)), 'I1 - Universal Data'!$E$14:$V$14, 0)))</f>
        <v>-</v>
      </c>
      <c r="F87" s="1116" t="str">
        <f>IF($A87&lt;DATE(2018,7,1),"-",INDEX('I1 - Universal Data'!$E$15:$V$15, MATCH(YEAR(EOMONTH($A87,6)), 'I1 - Universal Data'!$E$14:$V$14, 0)))</f>
        <v>-</v>
      </c>
      <c r="G87" s="1117">
        <f t="shared" si="9"/>
        <v>80</v>
      </c>
      <c r="H87" s="1117">
        <f t="shared" si="9"/>
        <v>193.4</v>
      </c>
      <c r="U87" s="1105"/>
    </row>
    <row r="88" spans="1:21">
      <c r="A88" s="1114">
        <f t="shared" si="8"/>
        <v>38776</v>
      </c>
      <c r="B88" s="1115">
        <f t="shared" si="6"/>
        <v>2006</v>
      </c>
      <c r="C88" s="1283">
        <v>80.2</v>
      </c>
      <c r="D88" s="1283">
        <v>194.2</v>
      </c>
      <c r="E88" s="1116" t="str">
        <f>IF($A88&lt;DATE(2018,7,1),"-",INDEX('I1 - Universal Data'!$E$16:$V$16, MATCH(YEAR(EOMONTH($A88,6)), 'I1 - Universal Data'!$E$14:$V$14, 0)))</f>
        <v>-</v>
      </c>
      <c r="F88" s="1116" t="str">
        <f>IF($A88&lt;DATE(2018,7,1),"-",INDEX('I1 - Universal Data'!$E$15:$V$15, MATCH(YEAR(EOMONTH($A88,6)), 'I1 - Universal Data'!$E$14:$V$14, 0)))</f>
        <v>-</v>
      </c>
      <c r="G88" s="1117">
        <f t="shared" si="9"/>
        <v>80.2</v>
      </c>
      <c r="H88" s="1117">
        <f t="shared" si="9"/>
        <v>194.2</v>
      </c>
      <c r="U88" s="1105"/>
    </row>
    <row r="89" spans="1:21">
      <c r="A89" s="1114">
        <f t="shared" si="8"/>
        <v>38807</v>
      </c>
      <c r="B89" s="1115">
        <f t="shared" si="6"/>
        <v>2006</v>
      </c>
      <c r="C89" s="1283">
        <v>80.400000000000006</v>
      </c>
      <c r="D89" s="1283">
        <v>195</v>
      </c>
      <c r="E89" s="1116" t="str">
        <f>IF($A89&lt;DATE(2018,7,1),"-",INDEX('I1 - Universal Data'!$E$16:$V$16, MATCH(YEAR(EOMONTH($A89,6)), 'I1 - Universal Data'!$E$14:$V$14, 0)))</f>
        <v>-</v>
      </c>
      <c r="F89" s="1116" t="str">
        <f>IF($A89&lt;DATE(2018,7,1),"-",INDEX('I1 - Universal Data'!$E$15:$V$15, MATCH(YEAR(EOMONTH($A89,6)), 'I1 - Universal Data'!$E$14:$V$14, 0)))</f>
        <v>-</v>
      </c>
      <c r="G89" s="1117">
        <f t="shared" si="9"/>
        <v>80.400000000000006</v>
      </c>
      <c r="H89" s="1117">
        <f t="shared" si="9"/>
        <v>195</v>
      </c>
      <c r="U89" s="1105"/>
    </row>
    <row r="90" spans="1:21">
      <c r="A90" s="1114">
        <f t="shared" si="8"/>
        <v>38837</v>
      </c>
      <c r="B90" s="1115">
        <f t="shared" si="6"/>
        <v>2007</v>
      </c>
      <c r="C90" s="1283">
        <v>80.900000000000006</v>
      </c>
      <c r="D90" s="1283">
        <v>196.5</v>
      </c>
      <c r="E90" s="1116" t="str">
        <f>IF($A90&lt;DATE(2018,7,1),"-",INDEX('I1 - Universal Data'!$E$16:$V$16, MATCH(YEAR(EOMONTH($A90,6)), 'I1 - Universal Data'!$E$14:$V$14, 0)))</f>
        <v>-</v>
      </c>
      <c r="F90" s="1116" t="str">
        <f>IF($A90&lt;DATE(2018,7,1),"-",INDEX('I1 - Universal Data'!$E$15:$V$15, MATCH(YEAR(EOMONTH($A90,6)), 'I1 - Universal Data'!$E$14:$V$14, 0)))</f>
        <v>-</v>
      </c>
      <c r="G90" s="1117">
        <f t="shared" si="9"/>
        <v>80.900000000000006</v>
      </c>
      <c r="H90" s="1117">
        <f t="shared" si="9"/>
        <v>196.5</v>
      </c>
      <c r="U90" s="1105"/>
    </row>
    <row r="91" spans="1:21">
      <c r="A91" s="1114">
        <f t="shared" si="8"/>
        <v>38868</v>
      </c>
      <c r="B91" s="1115">
        <f t="shared" si="6"/>
        <v>2007</v>
      </c>
      <c r="C91" s="1283">
        <v>81.3</v>
      </c>
      <c r="D91" s="1283">
        <v>197.7</v>
      </c>
      <c r="E91" s="1116" t="str">
        <f>IF($A91&lt;DATE(2018,7,1),"-",INDEX('I1 - Universal Data'!$E$16:$V$16, MATCH(YEAR(EOMONTH($A91,6)), 'I1 - Universal Data'!$E$14:$V$14, 0)))</f>
        <v>-</v>
      </c>
      <c r="F91" s="1116" t="str">
        <f>IF($A91&lt;DATE(2018,7,1),"-",INDEX('I1 - Universal Data'!$E$15:$V$15, MATCH(YEAR(EOMONTH($A91,6)), 'I1 - Universal Data'!$E$14:$V$14, 0)))</f>
        <v>-</v>
      </c>
      <c r="G91" s="1117">
        <f t="shared" si="9"/>
        <v>81.3</v>
      </c>
      <c r="H91" s="1117">
        <f t="shared" si="9"/>
        <v>197.7</v>
      </c>
      <c r="U91" s="1105"/>
    </row>
    <row r="92" spans="1:21">
      <c r="A92" s="1114">
        <f t="shared" si="8"/>
        <v>38898</v>
      </c>
      <c r="B92" s="1115">
        <f t="shared" si="6"/>
        <v>2007</v>
      </c>
      <c r="C92" s="1283">
        <v>81.5</v>
      </c>
      <c r="D92" s="1283">
        <v>198.5</v>
      </c>
      <c r="E92" s="1116" t="str">
        <f>IF($A92&lt;DATE(2018,7,1),"-",INDEX('I1 - Universal Data'!$E$16:$V$16, MATCH(YEAR(EOMONTH($A92,6)), 'I1 - Universal Data'!$E$14:$V$14, 0)))</f>
        <v>-</v>
      </c>
      <c r="F92" s="1116" t="str">
        <f>IF($A92&lt;DATE(2018,7,1),"-",INDEX('I1 - Universal Data'!$E$15:$V$15, MATCH(YEAR(EOMONTH($A92,6)), 'I1 - Universal Data'!$E$14:$V$14, 0)))</f>
        <v>-</v>
      </c>
      <c r="G92" s="1117">
        <f t="shared" si="9"/>
        <v>81.5</v>
      </c>
      <c r="H92" s="1117">
        <f t="shared" si="9"/>
        <v>198.5</v>
      </c>
      <c r="U92" s="1105"/>
    </row>
    <row r="93" spans="1:21">
      <c r="A93" s="1114">
        <f t="shared" si="8"/>
        <v>38929</v>
      </c>
      <c r="B93" s="1115">
        <f t="shared" si="6"/>
        <v>2007</v>
      </c>
      <c r="C93" s="1283">
        <v>81.5</v>
      </c>
      <c r="D93" s="1283">
        <v>198.5</v>
      </c>
      <c r="E93" s="1116" t="str">
        <f>IF($A93&lt;DATE(2018,7,1),"-",INDEX('I1 - Universal Data'!$E$16:$V$16, MATCH(YEAR(EOMONTH($A93,6)), 'I1 - Universal Data'!$E$14:$V$14, 0)))</f>
        <v>-</v>
      </c>
      <c r="F93" s="1116" t="str">
        <f>IF($A93&lt;DATE(2018,7,1),"-",INDEX('I1 - Universal Data'!$E$15:$V$15, MATCH(YEAR(EOMONTH($A93,6)), 'I1 - Universal Data'!$E$14:$V$14, 0)))</f>
        <v>-</v>
      </c>
      <c r="G93" s="1117">
        <f t="shared" si="9"/>
        <v>81.5</v>
      </c>
      <c r="H93" s="1117">
        <f t="shared" si="9"/>
        <v>198.5</v>
      </c>
      <c r="U93" s="1105"/>
    </row>
    <row r="94" spans="1:21">
      <c r="A94" s="1114">
        <f t="shared" si="8"/>
        <v>38960</v>
      </c>
      <c r="B94" s="1115">
        <f t="shared" si="6"/>
        <v>2007</v>
      </c>
      <c r="C94" s="1283">
        <v>81.8</v>
      </c>
      <c r="D94" s="1283">
        <v>199.2</v>
      </c>
      <c r="E94" s="1116" t="str">
        <f>IF($A94&lt;DATE(2018,7,1),"-",INDEX('I1 - Universal Data'!$E$16:$V$16, MATCH(YEAR(EOMONTH($A94,6)), 'I1 - Universal Data'!$E$14:$V$14, 0)))</f>
        <v>-</v>
      </c>
      <c r="F94" s="1116" t="str">
        <f>IF($A94&lt;DATE(2018,7,1),"-",INDEX('I1 - Universal Data'!$E$15:$V$15, MATCH(YEAR(EOMONTH($A94,6)), 'I1 - Universal Data'!$E$14:$V$14, 0)))</f>
        <v>-</v>
      </c>
      <c r="G94" s="1117">
        <f t="shared" si="9"/>
        <v>81.8</v>
      </c>
      <c r="H94" s="1117">
        <f t="shared" si="9"/>
        <v>199.2</v>
      </c>
      <c r="U94" s="1105"/>
    </row>
    <row r="95" spans="1:21">
      <c r="A95" s="1114">
        <f t="shared" si="8"/>
        <v>38990</v>
      </c>
      <c r="B95" s="1115">
        <f t="shared" si="6"/>
        <v>2007</v>
      </c>
      <c r="C95" s="1283">
        <v>81.900000000000006</v>
      </c>
      <c r="D95" s="1283">
        <v>200.1</v>
      </c>
      <c r="E95" s="1116" t="str">
        <f>IF($A95&lt;DATE(2018,7,1),"-",INDEX('I1 - Universal Data'!$E$16:$V$16, MATCH(YEAR(EOMONTH($A95,6)), 'I1 - Universal Data'!$E$14:$V$14, 0)))</f>
        <v>-</v>
      </c>
      <c r="F95" s="1116" t="str">
        <f>IF($A95&lt;DATE(2018,7,1),"-",INDEX('I1 - Universal Data'!$E$15:$V$15, MATCH(YEAR(EOMONTH($A95,6)), 'I1 - Universal Data'!$E$14:$V$14, 0)))</f>
        <v>-</v>
      </c>
      <c r="G95" s="1117">
        <f t="shared" si="9"/>
        <v>81.900000000000006</v>
      </c>
      <c r="H95" s="1117">
        <f t="shared" si="9"/>
        <v>200.1</v>
      </c>
      <c r="U95" s="1105"/>
    </row>
    <row r="96" spans="1:21">
      <c r="A96" s="1114">
        <f t="shared" si="8"/>
        <v>39021</v>
      </c>
      <c r="B96" s="1115">
        <f t="shared" si="6"/>
        <v>2007</v>
      </c>
      <c r="C96" s="1283">
        <v>82</v>
      </c>
      <c r="D96" s="1283">
        <v>200.4</v>
      </c>
      <c r="E96" s="1116" t="str">
        <f>IF($A96&lt;DATE(2018,7,1),"-",INDEX('I1 - Universal Data'!$E$16:$V$16, MATCH(YEAR(EOMONTH($A96,6)), 'I1 - Universal Data'!$E$14:$V$14, 0)))</f>
        <v>-</v>
      </c>
      <c r="F96" s="1116" t="str">
        <f>IF($A96&lt;DATE(2018,7,1),"-",INDEX('I1 - Universal Data'!$E$15:$V$15, MATCH(YEAR(EOMONTH($A96,6)), 'I1 - Universal Data'!$E$14:$V$14, 0)))</f>
        <v>-</v>
      </c>
      <c r="G96" s="1117">
        <f t="shared" si="9"/>
        <v>82</v>
      </c>
      <c r="H96" s="1117">
        <f t="shared" si="9"/>
        <v>200.4</v>
      </c>
      <c r="U96" s="1105"/>
    </row>
    <row r="97" spans="1:21">
      <c r="A97" s="1114">
        <f t="shared" si="8"/>
        <v>39051</v>
      </c>
      <c r="B97" s="1115">
        <f t="shared" si="6"/>
        <v>2007</v>
      </c>
      <c r="C97" s="1283">
        <v>82.2</v>
      </c>
      <c r="D97" s="1283">
        <v>201.1</v>
      </c>
      <c r="E97" s="1116" t="str">
        <f>IF($A97&lt;DATE(2018,7,1),"-",INDEX('I1 - Universal Data'!$E$16:$V$16, MATCH(YEAR(EOMONTH($A97,6)), 'I1 - Universal Data'!$E$14:$V$14, 0)))</f>
        <v>-</v>
      </c>
      <c r="F97" s="1116" t="str">
        <f>IF($A97&lt;DATE(2018,7,1),"-",INDEX('I1 - Universal Data'!$E$15:$V$15, MATCH(YEAR(EOMONTH($A97,6)), 'I1 - Universal Data'!$E$14:$V$14, 0)))</f>
        <v>-</v>
      </c>
      <c r="G97" s="1117">
        <f t="shared" si="9"/>
        <v>82.2</v>
      </c>
      <c r="H97" s="1117">
        <f t="shared" si="9"/>
        <v>201.1</v>
      </c>
      <c r="U97" s="1105"/>
    </row>
    <row r="98" spans="1:21">
      <c r="A98" s="1114">
        <f t="shared" si="8"/>
        <v>39082</v>
      </c>
      <c r="B98" s="1115">
        <f t="shared" si="6"/>
        <v>2007</v>
      </c>
      <c r="C98" s="1283">
        <v>82.6</v>
      </c>
      <c r="D98" s="1283">
        <v>202.7</v>
      </c>
      <c r="E98" s="1116" t="str">
        <f>IF($A98&lt;DATE(2018,7,1),"-",INDEX('I1 - Universal Data'!$E$16:$V$16, MATCH(YEAR(EOMONTH($A98,6)), 'I1 - Universal Data'!$E$14:$V$14, 0)))</f>
        <v>-</v>
      </c>
      <c r="F98" s="1116" t="str">
        <f>IF($A98&lt;DATE(2018,7,1),"-",INDEX('I1 - Universal Data'!$E$15:$V$15, MATCH(YEAR(EOMONTH($A98,6)), 'I1 - Universal Data'!$E$14:$V$14, 0)))</f>
        <v>-</v>
      </c>
      <c r="G98" s="1117">
        <f t="shared" si="9"/>
        <v>82.6</v>
      </c>
      <c r="H98" s="1117">
        <f t="shared" si="9"/>
        <v>202.7</v>
      </c>
      <c r="U98" s="1105"/>
    </row>
    <row r="99" spans="1:21">
      <c r="A99" s="1114">
        <f t="shared" si="8"/>
        <v>39113</v>
      </c>
      <c r="B99" s="1115">
        <f t="shared" si="6"/>
        <v>2007</v>
      </c>
      <c r="C99" s="1283">
        <v>82.1</v>
      </c>
      <c r="D99" s="1283">
        <v>201.6</v>
      </c>
      <c r="E99" s="1116" t="str">
        <f>IF($A99&lt;DATE(2018,7,1),"-",INDEX('I1 - Universal Data'!$E$16:$V$16, MATCH(YEAR(EOMONTH($A99,6)), 'I1 - Universal Data'!$E$14:$V$14, 0)))</f>
        <v>-</v>
      </c>
      <c r="F99" s="1116" t="str">
        <f>IF($A99&lt;DATE(2018,7,1),"-",INDEX('I1 - Universal Data'!$E$15:$V$15, MATCH(YEAR(EOMONTH($A99,6)), 'I1 - Universal Data'!$E$14:$V$14, 0)))</f>
        <v>-</v>
      </c>
      <c r="G99" s="1117">
        <f t="shared" si="9"/>
        <v>82.1</v>
      </c>
      <c r="H99" s="1117">
        <f t="shared" si="9"/>
        <v>201.6</v>
      </c>
      <c r="U99" s="1105"/>
    </row>
    <row r="100" spans="1:21">
      <c r="A100" s="1114">
        <f t="shared" si="8"/>
        <v>39141</v>
      </c>
      <c r="B100" s="1115">
        <f t="shared" si="6"/>
        <v>2007</v>
      </c>
      <c r="C100" s="1283">
        <v>82.4</v>
      </c>
      <c r="D100" s="1283">
        <v>203.1</v>
      </c>
      <c r="E100" s="1116" t="str">
        <f>IF($A100&lt;DATE(2018,7,1),"-",INDEX('I1 - Universal Data'!$E$16:$V$16, MATCH(YEAR(EOMONTH($A100,6)), 'I1 - Universal Data'!$E$14:$V$14, 0)))</f>
        <v>-</v>
      </c>
      <c r="F100" s="1116" t="str">
        <f>IF($A100&lt;DATE(2018,7,1),"-",INDEX('I1 - Universal Data'!$E$15:$V$15, MATCH(YEAR(EOMONTH($A100,6)), 'I1 - Universal Data'!$E$14:$V$14, 0)))</f>
        <v>-</v>
      </c>
      <c r="G100" s="1117">
        <f t="shared" si="9"/>
        <v>82.4</v>
      </c>
      <c r="H100" s="1117">
        <f t="shared" si="9"/>
        <v>203.1</v>
      </c>
      <c r="U100" s="1105"/>
    </row>
    <row r="101" spans="1:21">
      <c r="A101" s="1114">
        <f t="shared" si="8"/>
        <v>39172</v>
      </c>
      <c r="B101" s="1115">
        <f t="shared" si="6"/>
        <v>2007</v>
      </c>
      <c r="C101" s="1283">
        <v>82.8</v>
      </c>
      <c r="D101" s="1283">
        <v>204.4</v>
      </c>
      <c r="E101" s="1116" t="str">
        <f>IF($A101&lt;DATE(2018,7,1),"-",INDEX('I1 - Universal Data'!$E$16:$V$16, MATCH(YEAR(EOMONTH($A101,6)), 'I1 - Universal Data'!$E$14:$V$14, 0)))</f>
        <v>-</v>
      </c>
      <c r="F101" s="1116" t="str">
        <f>IF($A101&lt;DATE(2018,7,1),"-",INDEX('I1 - Universal Data'!$E$15:$V$15, MATCH(YEAR(EOMONTH($A101,6)), 'I1 - Universal Data'!$E$14:$V$14, 0)))</f>
        <v>-</v>
      </c>
      <c r="G101" s="1117">
        <f t="shared" si="9"/>
        <v>82.8</v>
      </c>
      <c r="H101" s="1117">
        <f t="shared" si="9"/>
        <v>204.4</v>
      </c>
      <c r="U101" s="1105"/>
    </row>
    <row r="102" spans="1:21">
      <c r="A102" s="1114">
        <f t="shared" si="8"/>
        <v>39202</v>
      </c>
      <c r="B102" s="1115">
        <f t="shared" si="6"/>
        <v>2008</v>
      </c>
      <c r="C102" s="1283">
        <v>83.1</v>
      </c>
      <c r="D102" s="1283">
        <v>205.4</v>
      </c>
      <c r="E102" s="1116" t="str">
        <f>IF($A102&lt;DATE(2018,7,1),"-",INDEX('I1 - Universal Data'!$E$16:$V$16, MATCH(YEAR(EOMONTH($A102,6)), 'I1 - Universal Data'!$E$14:$V$14, 0)))</f>
        <v>-</v>
      </c>
      <c r="F102" s="1116" t="str">
        <f>IF($A102&lt;DATE(2018,7,1),"-",INDEX('I1 - Universal Data'!$E$15:$V$15, MATCH(YEAR(EOMONTH($A102,6)), 'I1 - Universal Data'!$E$14:$V$14, 0)))</f>
        <v>-</v>
      </c>
      <c r="G102" s="1117">
        <f t="shared" ref="G102:H117" si="10">IF(ISBLANK(C102),G101*((1+E102)^(1/12)),C102)</f>
        <v>83.1</v>
      </c>
      <c r="H102" s="1117">
        <f t="shared" si="10"/>
        <v>205.4</v>
      </c>
      <c r="U102" s="1105"/>
    </row>
    <row r="103" spans="1:21">
      <c r="A103" s="1114">
        <f t="shared" si="8"/>
        <v>39233</v>
      </c>
      <c r="B103" s="1115">
        <f t="shared" si="6"/>
        <v>2008</v>
      </c>
      <c r="C103" s="1283">
        <v>83.3</v>
      </c>
      <c r="D103" s="1283">
        <v>206.2</v>
      </c>
      <c r="E103" s="1116" t="str">
        <f>IF($A103&lt;DATE(2018,7,1),"-",INDEX('I1 - Universal Data'!$E$16:$V$16, MATCH(YEAR(EOMONTH($A103,6)), 'I1 - Universal Data'!$E$14:$V$14, 0)))</f>
        <v>-</v>
      </c>
      <c r="F103" s="1116" t="str">
        <f>IF($A103&lt;DATE(2018,7,1),"-",INDEX('I1 - Universal Data'!$E$15:$V$15, MATCH(YEAR(EOMONTH($A103,6)), 'I1 - Universal Data'!$E$14:$V$14, 0)))</f>
        <v>-</v>
      </c>
      <c r="G103" s="1117">
        <f t="shared" si="10"/>
        <v>83.3</v>
      </c>
      <c r="H103" s="1117">
        <f t="shared" si="10"/>
        <v>206.2</v>
      </c>
      <c r="U103" s="1105"/>
    </row>
    <row r="104" spans="1:21">
      <c r="A104" s="1114">
        <f t="shared" si="8"/>
        <v>39263</v>
      </c>
      <c r="B104" s="1115">
        <f t="shared" si="6"/>
        <v>2008</v>
      </c>
      <c r="C104" s="1283">
        <v>83.5</v>
      </c>
      <c r="D104" s="1283">
        <v>207.3</v>
      </c>
      <c r="E104" s="1116" t="str">
        <f>IF($A104&lt;DATE(2018,7,1),"-",INDEX('I1 - Universal Data'!$E$16:$V$16, MATCH(YEAR(EOMONTH($A104,6)), 'I1 - Universal Data'!$E$14:$V$14, 0)))</f>
        <v>-</v>
      </c>
      <c r="F104" s="1116" t="str">
        <f>IF($A104&lt;DATE(2018,7,1),"-",INDEX('I1 - Universal Data'!$E$15:$V$15, MATCH(YEAR(EOMONTH($A104,6)), 'I1 - Universal Data'!$E$14:$V$14, 0)))</f>
        <v>-</v>
      </c>
      <c r="G104" s="1117">
        <f t="shared" si="10"/>
        <v>83.5</v>
      </c>
      <c r="H104" s="1117">
        <f t="shared" si="10"/>
        <v>207.3</v>
      </c>
      <c r="U104" s="1105"/>
    </row>
    <row r="105" spans="1:21">
      <c r="A105" s="1114">
        <f t="shared" si="8"/>
        <v>39294</v>
      </c>
      <c r="B105" s="1115">
        <f t="shared" si="6"/>
        <v>2008</v>
      </c>
      <c r="C105" s="1283">
        <v>83.1</v>
      </c>
      <c r="D105" s="1283">
        <v>206.1</v>
      </c>
      <c r="E105" s="1116" t="str">
        <f>IF($A105&lt;DATE(2018,7,1),"-",INDEX('I1 - Universal Data'!$E$16:$V$16, MATCH(YEAR(EOMONTH($A105,6)), 'I1 - Universal Data'!$E$14:$V$14, 0)))</f>
        <v>-</v>
      </c>
      <c r="F105" s="1116" t="str">
        <f>IF($A105&lt;DATE(2018,7,1),"-",INDEX('I1 - Universal Data'!$E$15:$V$15, MATCH(YEAR(EOMONTH($A105,6)), 'I1 - Universal Data'!$E$14:$V$14, 0)))</f>
        <v>-</v>
      </c>
      <c r="G105" s="1117">
        <f t="shared" si="10"/>
        <v>83.1</v>
      </c>
      <c r="H105" s="1117">
        <f t="shared" si="10"/>
        <v>206.1</v>
      </c>
      <c r="U105" s="1105"/>
    </row>
    <row r="106" spans="1:21">
      <c r="A106" s="1114">
        <f t="shared" si="8"/>
        <v>39325</v>
      </c>
      <c r="B106" s="1115">
        <f t="shared" si="6"/>
        <v>2008</v>
      </c>
      <c r="C106" s="1283">
        <v>83.4</v>
      </c>
      <c r="D106" s="1283">
        <v>207.3</v>
      </c>
      <c r="E106" s="1116" t="str">
        <f>IF($A106&lt;DATE(2018,7,1),"-",INDEX('I1 - Universal Data'!$E$16:$V$16, MATCH(YEAR(EOMONTH($A106,6)), 'I1 - Universal Data'!$E$14:$V$14, 0)))</f>
        <v>-</v>
      </c>
      <c r="F106" s="1116" t="str">
        <f>IF($A106&lt;DATE(2018,7,1),"-",INDEX('I1 - Universal Data'!$E$15:$V$15, MATCH(YEAR(EOMONTH($A106,6)), 'I1 - Universal Data'!$E$14:$V$14, 0)))</f>
        <v>-</v>
      </c>
      <c r="G106" s="1117">
        <f t="shared" si="10"/>
        <v>83.4</v>
      </c>
      <c r="H106" s="1117">
        <f t="shared" si="10"/>
        <v>207.3</v>
      </c>
      <c r="U106" s="1105"/>
    </row>
    <row r="107" spans="1:21">
      <c r="A107" s="1114">
        <f t="shared" si="8"/>
        <v>39355</v>
      </c>
      <c r="B107" s="1115">
        <f t="shared" si="6"/>
        <v>2008</v>
      </c>
      <c r="C107" s="1283">
        <v>83.5</v>
      </c>
      <c r="D107" s="1283">
        <v>208</v>
      </c>
      <c r="E107" s="1116" t="str">
        <f>IF($A107&lt;DATE(2018,7,1),"-",INDEX('I1 - Universal Data'!$E$16:$V$16, MATCH(YEAR(EOMONTH($A107,6)), 'I1 - Universal Data'!$E$14:$V$14, 0)))</f>
        <v>-</v>
      </c>
      <c r="F107" s="1116" t="str">
        <f>IF($A107&lt;DATE(2018,7,1),"-",INDEX('I1 - Universal Data'!$E$15:$V$15, MATCH(YEAR(EOMONTH($A107,6)), 'I1 - Universal Data'!$E$14:$V$14, 0)))</f>
        <v>-</v>
      </c>
      <c r="G107" s="1117">
        <f t="shared" si="10"/>
        <v>83.5</v>
      </c>
      <c r="H107" s="1117">
        <f t="shared" si="10"/>
        <v>208</v>
      </c>
      <c r="U107" s="1105"/>
    </row>
    <row r="108" spans="1:21">
      <c r="A108" s="1114">
        <f t="shared" si="8"/>
        <v>39386</v>
      </c>
      <c r="B108" s="1115">
        <f t="shared" si="6"/>
        <v>2008</v>
      </c>
      <c r="C108" s="1283">
        <v>83.8</v>
      </c>
      <c r="D108" s="1283">
        <v>208.9</v>
      </c>
      <c r="E108" s="1116" t="str">
        <f>IF($A108&lt;DATE(2018,7,1),"-",INDEX('I1 - Universal Data'!$E$16:$V$16, MATCH(YEAR(EOMONTH($A108,6)), 'I1 - Universal Data'!$E$14:$V$14, 0)))</f>
        <v>-</v>
      </c>
      <c r="F108" s="1116" t="str">
        <f>IF($A108&lt;DATE(2018,7,1),"-",INDEX('I1 - Universal Data'!$E$15:$V$15, MATCH(YEAR(EOMONTH($A108,6)), 'I1 - Universal Data'!$E$14:$V$14, 0)))</f>
        <v>-</v>
      </c>
      <c r="G108" s="1117">
        <f t="shared" si="10"/>
        <v>83.8</v>
      </c>
      <c r="H108" s="1117">
        <f t="shared" si="10"/>
        <v>208.9</v>
      </c>
      <c r="U108" s="1105"/>
    </row>
    <row r="109" spans="1:21">
      <c r="A109" s="1114">
        <f t="shared" si="8"/>
        <v>39416</v>
      </c>
      <c r="B109" s="1115">
        <f t="shared" si="6"/>
        <v>2008</v>
      </c>
      <c r="C109" s="1283">
        <v>84.1</v>
      </c>
      <c r="D109" s="1283">
        <v>209.7</v>
      </c>
      <c r="E109" s="1116" t="str">
        <f>IF($A109&lt;DATE(2018,7,1),"-",INDEX('I1 - Universal Data'!$E$16:$V$16, MATCH(YEAR(EOMONTH($A109,6)), 'I1 - Universal Data'!$E$14:$V$14, 0)))</f>
        <v>-</v>
      </c>
      <c r="F109" s="1116" t="str">
        <f>IF($A109&lt;DATE(2018,7,1),"-",INDEX('I1 - Universal Data'!$E$15:$V$15, MATCH(YEAR(EOMONTH($A109,6)), 'I1 - Universal Data'!$E$14:$V$14, 0)))</f>
        <v>-</v>
      </c>
      <c r="G109" s="1117">
        <f t="shared" si="10"/>
        <v>84.1</v>
      </c>
      <c r="H109" s="1117">
        <f t="shared" si="10"/>
        <v>209.7</v>
      </c>
      <c r="U109" s="1105"/>
    </row>
    <row r="110" spans="1:21">
      <c r="A110" s="1114">
        <f t="shared" si="8"/>
        <v>39447</v>
      </c>
      <c r="B110" s="1115">
        <f t="shared" si="6"/>
        <v>2008</v>
      </c>
      <c r="C110" s="1283">
        <v>84.5</v>
      </c>
      <c r="D110" s="1283">
        <v>210.9</v>
      </c>
      <c r="E110" s="1116" t="str">
        <f>IF($A110&lt;DATE(2018,7,1),"-",INDEX('I1 - Universal Data'!$E$16:$V$16, MATCH(YEAR(EOMONTH($A110,6)), 'I1 - Universal Data'!$E$14:$V$14, 0)))</f>
        <v>-</v>
      </c>
      <c r="F110" s="1116" t="str">
        <f>IF($A110&lt;DATE(2018,7,1),"-",INDEX('I1 - Universal Data'!$E$15:$V$15, MATCH(YEAR(EOMONTH($A110,6)), 'I1 - Universal Data'!$E$14:$V$14, 0)))</f>
        <v>-</v>
      </c>
      <c r="G110" s="1117">
        <f t="shared" si="10"/>
        <v>84.5</v>
      </c>
      <c r="H110" s="1117">
        <f t="shared" si="10"/>
        <v>210.9</v>
      </c>
      <c r="U110" s="1105"/>
    </row>
    <row r="111" spans="1:21">
      <c r="A111" s="1114">
        <f t="shared" si="8"/>
        <v>39478</v>
      </c>
      <c r="B111" s="1115">
        <f t="shared" si="6"/>
        <v>2008</v>
      </c>
      <c r="C111" s="1283">
        <v>84.1</v>
      </c>
      <c r="D111" s="1283">
        <v>209.8</v>
      </c>
      <c r="E111" s="1116" t="str">
        <f>IF($A111&lt;DATE(2018,7,1),"-",INDEX('I1 - Universal Data'!$E$16:$V$16, MATCH(YEAR(EOMONTH($A111,6)), 'I1 - Universal Data'!$E$14:$V$14, 0)))</f>
        <v>-</v>
      </c>
      <c r="F111" s="1116" t="str">
        <f>IF($A111&lt;DATE(2018,7,1),"-",INDEX('I1 - Universal Data'!$E$15:$V$15, MATCH(YEAR(EOMONTH($A111,6)), 'I1 - Universal Data'!$E$14:$V$14, 0)))</f>
        <v>-</v>
      </c>
      <c r="G111" s="1117">
        <f t="shared" si="10"/>
        <v>84.1</v>
      </c>
      <c r="H111" s="1117">
        <f t="shared" si="10"/>
        <v>209.8</v>
      </c>
      <c r="U111" s="1105"/>
    </row>
    <row r="112" spans="1:21">
      <c r="A112" s="1114">
        <f t="shared" si="8"/>
        <v>39507</v>
      </c>
      <c r="B112" s="1115">
        <f t="shared" si="6"/>
        <v>2008</v>
      </c>
      <c r="C112" s="1283">
        <v>84.6</v>
      </c>
      <c r="D112" s="1283">
        <v>211.4</v>
      </c>
      <c r="E112" s="1116" t="str">
        <f>IF($A112&lt;DATE(2018,7,1),"-",INDEX('I1 - Universal Data'!$E$16:$V$16, MATCH(YEAR(EOMONTH($A112,6)), 'I1 - Universal Data'!$E$14:$V$14, 0)))</f>
        <v>-</v>
      </c>
      <c r="F112" s="1116" t="str">
        <f>IF($A112&lt;DATE(2018,7,1),"-",INDEX('I1 - Universal Data'!$E$15:$V$15, MATCH(YEAR(EOMONTH($A112,6)), 'I1 - Universal Data'!$E$14:$V$14, 0)))</f>
        <v>-</v>
      </c>
      <c r="G112" s="1117">
        <f t="shared" si="10"/>
        <v>84.6</v>
      </c>
      <c r="H112" s="1117">
        <f t="shared" si="10"/>
        <v>211.4</v>
      </c>
      <c r="U112" s="1105"/>
    </row>
    <row r="113" spans="1:21">
      <c r="A113" s="1114">
        <f t="shared" si="8"/>
        <v>39538</v>
      </c>
      <c r="B113" s="1115">
        <f t="shared" si="6"/>
        <v>2008</v>
      </c>
      <c r="C113" s="1283">
        <v>84.9</v>
      </c>
      <c r="D113" s="1283">
        <v>212.1</v>
      </c>
      <c r="E113" s="1116" t="str">
        <f>IF($A113&lt;DATE(2018,7,1),"-",INDEX('I1 - Universal Data'!$E$16:$V$16, MATCH(YEAR(EOMONTH($A113,6)), 'I1 - Universal Data'!$E$14:$V$14, 0)))</f>
        <v>-</v>
      </c>
      <c r="F113" s="1116" t="str">
        <f>IF($A113&lt;DATE(2018,7,1),"-",INDEX('I1 - Universal Data'!$E$15:$V$15, MATCH(YEAR(EOMONTH($A113,6)), 'I1 - Universal Data'!$E$14:$V$14, 0)))</f>
        <v>-</v>
      </c>
      <c r="G113" s="1117">
        <f t="shared" si="10"/>
        <v>84.9</v>
      </c>
      <c r="H113" s="1117">
        <f t="shared" si="10"/>
        <v>212.1</v>
      </c>
      <c r="U113" s="1105"/>
    </row>
    <row r="114" spans="1:21">
      <c r="A114" s="1114">
        <f t="shared" si="8"/>
        <v>39568</v>
      </c>
      <c r="B114" s="1115">
        <f t="shared" si="6"/>
        <v>2009</v>
      </c>
      <c r="C114" s="1283">
        <v>85.6</v>
      </c>
      <c r="D114" s="1283">
        <v>214</v>
      </c>
      <c r="E114" s="1116" t="str">
        <f>IF($A114&lt;DATE(2018,7,1),"-",INDEX('I1 - Universal Data'!$E$16:$V$16, MATCH(YEAR(EOMONTH($A114,6)), 'I1 - Universal Data'!$E$14:$V$14, 0)))</f>
        <v>-</v>
      </c>
      <c r="F114" s="1116" t="str">
        <f>IF($A114&lt;DATE(2018,7,1),"-",INDEX('I1 - Universal Data'!$E$15:$V$15, MATCH(YEAR(EOMONTH($A114,6)), 'I1 - Universal Data'!$E$14:$V$14, 0)))</f>
        <v>-</v>
      </c>
      <c r="G114" s="1117">
        <f t="shared" si="10"/>
        <v>85.6</v>
      </c>
      <c r="H114" s="1117">
        <f t="shared" si="10"/>
        <v>214</v>
      </c>
      <c r="U114" s="1105"/>
    </row>
    <row r="115" spans="1:21">
      <c r="A115" s="1114">
        <f t="shared" si="8"/>
        <v>39599</v>
      </c>
      <c r="B115" s="1115">
        <f t="shared" si="6"/>
        <v>2009</v>
      </c>
      <c r="C115" s="1283">
        <v>86.1</v>
      </c>
      <c r="D115" s="1283">
        <v>215.1</v>
      </c>
      <c r="E115" s="1116" t="str">
        <f>IF($A115&lt;DATE(2018,7,1),"-",INDEX('I1 - Universal Data'!$E$16:$V$16, MATCH(YEAR(EOMONTH($A115,6)), 'I1 - Universal Data'!$E$14:$V$14, 0)))</f>
        <v>-</v>
      </c>
      <c r="F115" s="1116" t="str">
        <f>IF($A115&lt;DATE(2018,7,1),"-",INDEX('I1 - Universal Data'!$E$15:$V$15, MATCH(YEAR(EOMONTH($A115,6)), 'I1 - Universal Data'!$E$14:$V$14, 0)))</f>
        <v>-</v>
      </c>
      <c r="G115" s="1117">
        <f t="shared" si="10"/>
        <v>86.1</v>
      </c>
      <c r="H115" s="1117">
        <f t="shared" si="10"/>
        <v>215.1</v>
      </c>
      <c r="U115" s="1105"/>
    </row>
    <row r="116" spans="1:21">
      <c r="A116" s="1114">
        <f t="shared" si="8"/>
        <v>39629</v>
      </c>
      <c r="B116" s="1115">
        <f t="shared" si="6"/>
        <v>2009</v>
      </c>
      <c r="C116" s="1283">
        <v>86.6</v>
      </c>
      <c r="D116" s="1283">
        <v>216.8</v>
      </c>
      <c r="E116" s="1116" t="str">
        <f>IF($A116&lt;DATE(2018,7,1),"-",INDEX('I1 - Universal Data'!$E$16:$V$16, MATCH(YEAR(EOMONTH($A116,6)), 'I1 - Universal Data'!$E$14:$V$14, 0)))</f>
        <v>-</v>
      </c>
      <c r="F116" s="1116" t="str">
        <f>IF($A116&lt;DATE(2018,7,1),"-",INDEX('I1 - Universal Data'!$E$15:$V$15, MATCH(YEAR(EOMONTH($A116,6)), 'I1 - Universal Data'!$E$14:$V$14, 0)))</f>
        <v>-</v>
      </c>
      <c r="G116" s="1117">
        <f t="shared" si="10"/>
        <v>86.6</v>
      </c>
      <c r="H116" s="1117">
        <f t="shared" si="10"/>
        <v>216.8</v>
      </c>
      <c r="U116" s="1105"/>
    </row>
    <row r="117" spans="1:21">
      <c r="A117" s="1114">
        <f t="shared" si="8"/>
        <v>39660</v>
      </c>
      <c r="B117" s="1115">
        <f t="shared" si="6"/>
        <v>2009</v>
      </c>
      <c r="C117" s="1283">
        <v>86.6</v>
      </c>
      <c r="D117" s="1283">
        <v>216.5</v>
      </c>
      <c r="E117" s="1116" t="str">
        <f>IF($A117&lt;DATE(2018,7,1),"-",INDEX('I1 - Universal Data'!$E$16:$V$16, MATCH(YEAR(EOMONTH($A117,6)), 'I1 - Universal Data'!$E$14:$V$14, 0)))</f>
        <v>-</v>
      </c>
      <c r="F117" s="1116" t="str">
        <f>IF($A117&lt;DATE(2018,7,1),"-",INDEX('I1 - Universal Data'!$E$15:$V$15, MATCH(YEAR(EOMONTH($A117,6)), 'I1 - Universal Data'!$E$14:$V$14, 0)))</f>
        <v>-</v>
      </c>
      <c r="G117" s="1117">
        <f t="shared" si="10"/>
        <v>86.6</v>
      </c>
      <c r="H117" s="1117">
        <f t="shared" si="10"/>
        <v>216.5</v>
      </c>
      <c r="U117" s="1105"/>
    </row>
    <row r="118" spans="1:21">
      <c r="A118" s="1114">
        <f t="shared" si="8"/>
        <v>39691</v>
      </c>
      <c r="B118" s="1115">
        <f t="shared" si="6"/>
        <v>2009</v>
      </c>
      <c r="C118" s="1283">
        <v>87.1</v>
      </c>
      <c r="D118" s="1283">
        <v>217.2</v>
      </c>
      <c r="E118" s="1116" t="str">
        <f>IF($A118&lt;DATE(2018,7,1),"-",INDEX('I1 - Universal Data'!$E$16:$V$16, MATCH(YEAR(EOMONTH($A118,6)), 'I1 - Universal Data'!$E$14:$V$14, 0)))</f>
        <v>-</v>
      </c>
      <c r="F118" s="1116" t="str">
        <f>IF($A118&lt;DATE(2018,7,1),"-",INDEX('I1 - Universal Data'!$E$15:$V$15, MATCH(YEAR(EOMONTH($A118,6)), 'I1 - Universal Data'!$E$14:$V$14, 0)))</f>
        <v>-</v>
      </c>
      <c r="G118" s="1117">
        <f t="shared" ref="G118:H133" si="11">IF(ISBLANK(C118),G117*((1+E118)^(1/12)),C118)</f>
        <v>87.1</v>
      </c>
      <c r="H118" s="1117">
        <f t="shared" si="11"/>
        <v>217.2</v>
      </c>
      <c r="U118" s="1105"/>
    </row>
    <row r="119" spans="1:21">
      <c r="A119" s="1114">
        <f t="shared" si="8"/>
        <v>39721</v>
      </c>
      <c r="B119" s="1115">
        <f t="shared" si="6"/>
        <v>2009</v>
      </c>
      <c r="C119" s="1283">
        <v>87.5</v>
      </c>
      <c r="D119" s="1283">
        <v>218.4</v>
      </c>
      <c r="E119" s="1116" t="str">
        <f>IF($A119&lt;DATE(2018,7,1),"-",INDEX('I1 - Universal Data'!$E$16:$V$16, MATCH(YEAR(EOMONTH($A119,6)), 'I1 - Universal Data'!$E$14:$V$14, 0)))</f>
        <v>-</v>
      </c>
      <c r="F119" s="1116" t="str">
        <f>IF($A119&lt;DATE(2018,7,1),"-",INDEX('I1 - Universal Data'!$E$15:$V$15, MATCH(YEAR(EOMONTH($A119,6)), 'I1 - Universal Data'!$E$14:$V$14, 0)))</f>
        <v>-</v>
      </c>
      <c r="G119" s="1117">
        <f t="shared" si="11"/>
        <v>87.5</v>
      </c>
      <c r="H119" s="1117">
        <f t="shared" si="11"/>
        <v>218.4</v>
      </c>
      <c r="U119" s="1105"/>
    </row>
    <row r="120" spans="1:21">
      <c r="A120" s="1114">
        <f t="shared" si="8"/>
        <v>39752</v>
      </c>
      <c r="B120" s="1115">
        <f t="shared" si="6"/>
        <v>2009</v>
      </c>
      <c r="C120" s="1283">
        <v>87.3</v>
      </c>
      <c r="D120" s="1283">
        <v>217.7</v>
      </c>
      <c r="E120" s="1116" t="str">
        <f>IF($A120&lt;DATE(2018,7,1),"-",INDEX('I1 - Universal Data'!$E$16:$V$16, MATCH(YEAR(EOMONTH($A120,6)), 'I1 - Universal Data'!$E$14:$V$14, 0)))</f>
        <v>-</v>
      </c>
      <c r="F120" s="1116" t="str">
        <f>IF($A120&lt;DATE(2018,7,1),"-",INDEX('I1 - Universal Data'!$E$15:$V$15, MATCH(YEAR(EOMONTH($A120,6)), 'I1 - Universal Data'!$E$14:$V$14, 0)))</f>
        <v>-</v>
      </c>
      <c r="G120" s="1117">
        <f t="shared" si="11"/>
        <v>87.3</v>
      </c>
      <c r="H120" s="1117">
        <f t="shared" si="11"/>
        <v>217.7</v>
      </c>
      <c r="U120" s="1105"/>
    </row>
    <row r="121" spans="1:21">
      <c r="A121" s="1114">
        <f t="shared" si="8"/>
        <v>39782</v>
      </c>
      <c r="B121" s="1115">
        <f t="shared" si="6"/>
        <v>2009</v>
      </c>
      <c r="C121" s="1283">
        <v>87.3</v>
      </c>
      <c r="D121" s="1283">
        <v>216</v>
      </c>
      <c r="E121" s="1116" t="str">
        <f>IF($A121&lt;DATE(2018,7,1),"-",INDEX('I1 - Universal Data'!$E$16:$V$16, MATCH(YEAR(EOMONTH($A121,6)), 'I1 - Universal Data'!$E$14:$V$14, 0)))</f>
        <v>-</v>
      </c>
      <c r="F121" s="1116" t="str">
        <f>IF($A121&lt;DATE(2018,7,1),"-",INDEX('I1 - Universal Data'!$E$15:$V$15, MATCH(YEAR(EOMONTH($A121,6)), 'I1 - Universal Data'!$E$14:$V$14, 0)))</f>
        <v>-</v>
      </c>
      <c r="G121" s="1117">
        <f t="shared" si="11"/>
        <v>87.3</v>
      </c>
      <c r="H121" s="1117">
        <f t="shared" si="11"/>
        <v>216</v>
      </c>
      <c r="U121" s="1105"/>
    </row>
    <row r="122" spans="1:21">
      <c r="A122" s="1114">
        <f t="shared" si="8"/>
        <v>39813</v>
      </c>
      <c r="B122" s="1115">
        <f t="shared" si="6"/>
        <v>2009</v>
      </c>
      <c r="C122" s="1283">
        <v>87.1</v>
      </c>
      <c r="D122" s="1283">
        <v>212.9</v>
      </c>
      <c r="E122" s="1116" t="str">
        <f>IF($A122&lt;DATE(2018,7,1),"-",INDEX('I1 - Universal Data'!$E$16:$V$16, MATCH(YEAR(EOMONTH($A122,6)), 'I1 - Universal Data'!$E$14:$V$14, 0)))</f>
        <v>-</v>
      </c>
      <c r="F122" s="1116" t="str">
        <f>IF($A122&lt;DATE(2018,7,1),"-",INDEX('I1 - Universal Data'!$E$15:$V$15, MATCH(YEAR(EOMONTH($A122,6)), 'I1 - Universal Data'!$E$14:$V$14, 0)))</f>
        <v>-</v>
      </c>
      <c r="G122" s="1117">
        <f t="shared" si="11"/>
        <v>87.1</v>
      </c>
      <c r="H122" s="1117">
        <f t="shared" si="11"/>
        <v>212.9</v>
      </c>
      <c r="U122" s="1105"/>
    </row>
    <row r="123" spans="1:21">
      <c r="A123" s="1114">
        <f t="shared" si="8"/>
        <v>39844</v>
      </c>
      <c r="B123" s="1115">
        <f t="shared" si="6"/>
        <v>2009</v>
      </c>
      <c r="C123" s="1283">
        <v>86.6</v>
      </c>
      <c r="D123" s="1283">
        <v>210.1</v>
      </c>
      <c r="E123" s="1116" t="str">
        <f>IF($A123&lt;DATE(2018,7,1),"-",INDEX('I1 - Universal Data'!$E$16:$V$16, MATCH(YEAR(EOMONTH($A123,6)), 'I1 - Universal Data'!$E$14:$V$14, 0)))</f>
        <v>-</v>
      </c>
      <c r="F123" s="1116" t="str">
        <f>IF($A123&lt;DATE(2018,7,1),"-",INDEX('I1 - Universal Data'!$E$15:$V$15, MATCH(YEAR(EOMONTH($A123,6)), 'I1 - Universal Data'!$E$14:$V$14, 0)))</f>
        <v>-</v>
      </c>
      <c r="G123" s="1117">
        <f t="shared" si="11"/>
        <v>86.6</v>
      </c>
      <c r="H123" s="1117">
        <f t="shared" si="11"/>
        <v>210.1</v>
      </c>
      <c r="U123" s="1105"/>
    </row>
    <row r="124" spans="1:21">
      <c r="A124" s="1114">
        <f t="shared" si="8"/>
        <v>39872</v>
      </c>
      <c r="B124" s="1115">
        <f t="shared" si="6"/>
        <v>2009</v>
      </c>
      <c r="C124" s="1283">
        <v>87.2</v>
      </c>
      <c r="D124" s="1283">
        <v>211.4</v>
      </c>
      <c r="E124" s="1116" t="str">
        <f>IF($A124&lt;DATE(2018,7,1),"-",INDEX('I1 - Universal Data'!$E$16:$V$16, MATCH(YEAR(EOMONTH($A124,6)), 'I1 - Universal Data'!$E$14:$V$14, 0)))</f>
        <v>-</v>
      </c>
      <c r="F124" s="1116" t="str">
        <f>IF($A124&lt;DATE(2018,7,1),"-",INDEX('I1 - Universal Data'!$E$15:$V$15, MATCH(YEAR(EOMONTH($A124,6)), 'I1 - Universal Data'!$E$14:$V$14, 0)))</f>
        <v>-</v>
      </c>
      <c r="G124" s="1117">
        <f t="shared" si="11"/>
        <v>87.2</v>
      </c>
      <c r="H124" s="1117">
        <f t="shared" si="11"/>
        <v>211.4</v>
      </c>
      <c r="U124" s="1105"/>
    </row>
    <row r="125" spans="1:21">
      <c r="A125" s="1114">
        <f t="shared" si="8"/>
        <v>39903</v>
      </c>
      <c r="B125" s="1115">
        <f t="shared" si="6"/>
        <v>2009</v>
      </c>
      <c r="C125" s="1283">
        <v>87.3</v>
      </c>
      <c r="D125" s="1283">
        <v>211.3</v>
      </c>
      <c r="E125" s="1116" t="str">
        <f>IF($A125&lt;DATE(2018,7,1),"-",INDEX('I1 - Universal Data'!$E$16:$V$16, MATCH(YEAR(EOMONTH($A125,6)), 'I1 - Universal Data'!$E$14:$V$14, 0)))</f>
        <v>-</v>
      </c>
      <c r="F125" s="1116" t="str">
        <f>IF($A125&lt;DATE(2018,7,1),"-",INDEX('I1 - Universal Data'!$E$15:$V$15, MATCH(YEAR(EOMONTH($A125,6)), 'I1 - Universal Data'!$E$14:$V$14, 0)))</f>
        <v>-</v>
      </c>
      <c r="G125" s="1117">
        <f t="shared" si="11"/>
        <v>87.3</v>
      </c>
      <c r="H125" s="1117">
        <f t="shared" si="11"/>
        <v>211.3</v>
      </c>
      <c r="U125" s="1105"/>
    </row>
    <row r="126" spans="1:21">
      <c r="A126" s="1114">
        <f t="shared" si="8"/>
        <v>39933</v>
      </c>
      <c r="B126" s="1115">
        <f t="shared" si="6"/>
        <v>2010</v>
      </c>
      <c r="C126" s="1283">
        <v>87.5</v>
      </c>
      <c r="D126" s="1283">
        <v>211.5</v>
      </c>
      <c r="E126" s="1116" t="str">
        <f>IF($A126&lt;DATE(2018,7,1),"-",INDEX('I1 - Universal Data'!$E$16:$V$16, MATCH(YEAR(EOMONTH($A126,6)), 'I1 - Universal Data'!$E$14:$V$14, 0)))</f>
        <v>-</v>
      </c>
      <c r="F126" s="1116" t="str">
        <f>IF($A126&lt;DATE(2018,7,1),"-",INDEX('I1 - Universal Data'!$E$15:$V$15, MATCH(YEAR(EOMONTH($A126,6)), 'I1 - Universal Data'!$E$14:$V$14, 0)))</f>
        <v>-</v>
      </c>
      <c r="G126" s="1117">
        <f t="shared" si="11"/>
        <v>87.5</v>
      </c>
      <c r="H126" s="1117">
        <f t="shared" si="11"/>
        <v>211.5</v>
      </c>
      <c r="U126" s="1105"/>
    </row>
    <row r="127" spans="1:21">
      <c r="A127" s="1114">
        <f t="shared" si="8"/>
        <v>39964</v>
      </c>
      <c r="B127" s="1115">
        <f t="shared" si="6"/>
        <v>2010</v>
      </c>
      <c r="C127" s="1283">
        <v>87.9</v>
      </c>
      <c r="D127" s="1283">
        <v>212.8</v>
      </c>
      <c r="E127" s="1116" t="str">
        <f>IF($A127&lt;DATE(2018,7,1),"-",INDEX('I1 - Universal Data'!$E$16:$V$16, MATCH(YEAR(EOMONTH($A127,6)), 'I1 - Universal Data'!$E$14:$V$14, 0)))</f>
        <v>-</v>
      </c>
      <c r="F127" s="1116" t="str">
        <f>IF($A127&lt;DATE(2018,7,1),"-",INDEX('I1 - Universal Data'!$E$15:$V$15, MATCH(YEAR(EOMONTH($A127,6)), 'I1 - Universal Data'!$E$14:$V$14, 0)))</f>
        <v>-</v>
      </c>
      <c r="G127" s="1117">
        <f t="shared" si="11"/>
        <v>87.9</v>
      </c>
      <c r="H127" s="1117">
        <f t="shared" si="11"/>
        <v>212.8</v>
      </c>
      <c r="U127" s="1105"/>
    </row>
    <row r="128" spans="1:21">
      <c r="A128" s="1114">
        <f t="shared" si="8"/>
        <v>39994</v>
      </c>
      <c r="B128" s="1115">
        <f t="shared" si="6"/>
        <v>2010</v>
      </c>
      <c r="C128" s="1283">
        <v>88.1</v>
      </c>
      <c r="D128" s="1283">
        <v>213.4</v>
      </c>
      <c r="E128" s="1116" t="str">
        <f>IF($A128&lt;DATE(2018,7,1),"-",INDEX('I1 - Universal Data'!$E$16:$V$16, MATCH(YEAR(EOMONTH($A128,6)), 'I1 - Universal Data'!$E$14:$V$14, 0)))</f>
        <v>-</v>
      </c>
      <c r="F128" s="1116" t="str">
        <f>IF($A128&lt;DATE(2018,7,1),"-",INDEX('I1 - Universal Data'!$E$15:$V$15, MATCH(YEAR(EOMONTH($A128,6)), 'I1 - Universal Data'!$E$14:$V$14, 0)))</f>
        <v>-</v>
      </c>
      <c r="G128" s="1117">
        <f t="shared" si="11"/>
        <v>88.1</v>
      </c>
      <c r="H128" s="1117">
        <f t="shared" si="11"/>
        <v>213.4</v>
      </c>
      <c r="U128" s="1105"/>
    </row>
    <row r="129" spans="1:21">
      <c r="A129" s="1114">
        <f t="shared" si="8"/>
        <v>40025</v>
      </c>
      <c r="B129" s="1115">
        <f t="shared" si="6"/>
        <v>2010</v>
      </c>
      <c r="C129" s="1283">
        <v>88</v>
      </c>
      <c r="D129" s="1283">
        <v>213.4</v>
      </c>
      <c r="E129" s="1116" t="str">
        <f>IF($A129&lt;DATE(2018,7,1),"-",INDEX('I1 - Universal Data'!$E$16:$V$16, MATCH(YEAR(EOMONTH($A129,6)), 'I1 - Universal Data'!$E$14:$V$14, 0)))</f>
        <v>-</v>
      </c>
      <c r="F129" s="1116" t="str">
        <f>IF($A129&lt;DATE(2018,7,1),"-",INDEX('I1 - Universal Data'!$E$15:$V$15, MATCH(YEAR(EOMONTH($A129,6)), 'I1 - Universal Data'!$E$14:$V$14, 0)))</f>
        <v>-</v>
      </c>
      <c r="G129" s="1117">
        <f t="shared" si="11"/>
        <v>88</v>
      </c>
      <c r="H129" s="1117">
        <f t="shared" si="11"/>
        <v>213.4</v>
      </c>
      <c r="U129" s="1105"/>
    </row>
    <row r="130" spans="1:21">
      <c r="A130" s="1114">
        <f t="shared" si="8"/>
        <v>40056</v>
      </c>
      <c r="B130" s="1115">
        <f t="shared" si="6"/>
        <v>2010</v>
      </c>
      <c r="C130" s="1283">
        <v>88.3</v>
      </c>
      <c r="D130" s="1283">
        <v>214.4</v>
      </c>
      <c r="E130" s="1116" t="str">
        <f>IF($A130&lt;DATE(2018,7,1),"-",INDEX('I1 - Universal Data'!$E$16:$V$16, MATCH(YEAR(EOMONTH($A130,6)), 'I1 - Universal Data'!$E$14:$V$14, 0)))</f>
        <v>-</v>
      </c>
      <c r="F130" s="1116" t="str">
        <f>IF($A130&lt;DATE(2018,7,1),"-",INDEX('I1 - Universal Data'!$E$15:$V$15, MATCH(YEAR(EOMONTH($A130,6)), 'I1 - Universal Data'!$E$14:$V$14, 0)))</f>
        <v>-</v>
      </c>
      <c r="G130" s="1117">
        <f t="shared" si="11"/>
        <v>88.3</v>
      </c>
      <c r="H130" s="1117">
        <f t="shared" si="11"/>
        <v>214.4</v>
      </c>
      <c r="U130" s="1105"/>
    </row>
    <row r="131" spans="1:21">
      <c r="A131" s="1114">
        <f t="shared" si="8"/>
        <v>40086</v>
      </c>
      <c r="B131" s="1115">
        <f t="shared" si="6"/>
        <v>2010</v>
      </c>
      <c r="C131" s="1283">
        <v>88.3</v>
      </c>
      <c r="D131" s="1283">
        <v>215.3</v>
      </c>
      <c r="E131" s="1116" t="str">
        <f>IF($A131&lt;DATE(2018,7,1),"-",INDEX('I1 - Universal Data'!$E$16:$V$16, MATCH(YEAR(EOMONTH($A131,6)), 'I1 - Universal Data'!$E$14:$V$14, 0)))</f>
        <v>-</v>
      </c>
      <c r="F131" s="1116" t="str">
        <f>IF($A131&lt;DATE(2018,7,1),"-",INDEX('I1 - Universal Data'!$E$15:$V$15, MATCH(YEAR(EOMONTH($A131,6)), 'I1 - Universal Data'!$E$14:$V$14, 0)))</f>
        <v>-</v>
      </c>
      <c r="G131" s="1117">
        <f t="shared" si="11"/>
        <v>88.3</v>
      </c>
      <c r="H131" s="1117">
        <f t="shared" si="11"/>
        <v>215.3</v>
      </c>
      <c r="U131" s="1105"/>
    </row>
    <row r="132" spans="1:21">
      <c r="A132" s="1114">
        <f t="shared" si="8"/>
        <v>40117</v>
      </c>
      <c r="B132" s="1115">
        <f t="shared" si="6"/>
        <v>2010</v>
      </c>
      <c r="C132" s="1283">
        <v>88.4</v>
      </c>
      <c r="D132" s="1283">
        <v>216</v>
      </c>
      <c r="E132" s="1116" t="str">
        <f>IF($A132&lt;DATE(2018,7,1),"-",INDEX('I1 - Universal Data'!$E$16:$V$16, MATCH(YEAR(EOMONTH($A132,6)), 'I1 - Universal Data'!$E$14:$V$14, 0)))</f>
        <v>-</v>
      </c>
      <c r="F132" s="1116" t="str">
        <f>IF($A132&lt;DATE(2018,7,1),"-",INDEX('I1 - Universal Data'!$E$15:$V$15, MATCH(YEAR(EOMONTH($A132,6)), 'I1 - Universal Data'!$E$14:$V$14, 0)))</f>
        <v>-</v>
      </c>
      <c r="G132" s="1117">
        <f t="shared" si="11"/>
        <v>88.4</v>
      </c>
      <c r="H132" s="1117">
        <f t="shared" si="11"/>
        <v>216</v>
      </c>
      <c r="U132" s="1105"/>
    </row>
    <row r="133" spans="1:21">
      <c r="A133" s="1114">
        <f t="shared" si="8"/>
        <v>40147</v>
      </c>
      <c r="B133" s="1115">
        <f t="shared" si="6"/>
        <v>2010</v>
      </c>
      <c r="C133" s="1283">
        <v>88.6</v>
      </c>
      <c r="D133" s="1283">
        <v>216.6</v>
      </c>
      <c r="E133" s="1116" t="str">
        <f>IF($A133&lt;DATE(2018,7,1),"-",INDEX('I1 - Universal Data'!$E$16:$V$16, MATCH(YEAR(EOMONTH($A133,6)), 'I1 - Universal Data'!$E$14:$V$14, 0)))</f>
        <v>-</v>
      </c>
      <c r="F133" s="1116" t="str">
        <f>IF($A133&lt;DATE(2018,7,1),"-",INDEX('I1 - Universal Data'!$E$15:$V$15, MATCH(YEAR(EOMONTH($A133,6)), 'I1 - Universal Data'!$E$14:$V$14, 0)))</f>
        <v>-</v>
      </c>
      <c r="G133" s="1117">
        <f t="shared" si="11"/>
        <v>88.6</v>
      </c>
      <c r="H133" s="1117">
        <f t="shared" si="11"/>
        <v>216.6</v>
      </c>
      <c r="U133" s="1105"/>
    </row>
    <row r="134" spans="1:21">
      <c r="A134" s="1114">
        <f t="shared" si="8"/>
        <v>40178</v>
      </c>
      <c r="B134" s="1115">
        <f t="shared" ref="B134:B197" si="12">IF(MONTH(A134)&gt;=4,YEAR(A134)+1,YEAR(A134))</f>
        <v>2010</v>
      </c>
      <c r="C134" s="1283">
        <v>88.9</v>
      </c>
      <c r="D134" s="1283">
        <v>218</v>
      </c>
      <c r="E134" s="1116" t="str">
        <f>IF($A134&lt;DATE(2018,7,1),"-",INDEX('I1 - Universal Data'!$E$16:$V$16, MATCH(YEAR(EOMONTH($A134,6)), 'I1 - Universal Data'!$E$14:$V$14, 0)))</f>
        <v>-</v>
      </c>
      <c r="F134" s="1116" t="str">
        <f>IF($A134&lt;DATE(2018,7,1),"-",INDEX('I1 - Universal Data'!$E$15:$V$15, MATCH(YEAR(EOMONTH($A134,6)), 'I1 - Universal Data'!$E$14:$V$14, 0)))</f>
        <v>-</v>
      </c>
      <c r="G134" s="1117">
        <f t="shared" ref="G134:H149" si="13">IF(ISBLANK(C134),G133*((1+E134)^(1/12)),C134)</f>
        <v>88.9</v>
      </c>
      <c r="H134" s="1117">
        <f t="shared" si="13"/>
        <v>218</v>
      </c>
      <c r="U134" s="1105"/>
    </row>
    <row r="135" spans="1:21">
      <c r="A135" s="1114">
        <f t="shared" ref="A135:A198" si="14">IF(MONTH(A134) = 12, EOMONTH(DATE(YEAR(A134) + 1, 1, 1), 0), EOMONTH(DATE(YEAR(A134), MONTH(A134) + 1, 1), 0))</f>
        <v>40209</v>
      </c>
      <c r="B135" s="1115">
        <f t="shared" si="12"/>
        <v>2010</v>
      </c>
      <c r="C135" s="1283">
        <v>88.8</v>
      </c>
      <c r="D135" s="1283">
        <v>217.9</v>
      </c>
      <c r="E135" s="1116" t="str">
        <f>IF($A135&lt;DATE(2018,7,1),"-",INDEX('I1 - Universal Data'!$E$16:$V$16, MATCH(YEAR(EOMONTH($A135,6)), 'I1 - Universal Data'!$E$14:$V$14, 0)))</f>
        <v>-</v>
      </c>
      <c r="F135" s="1116" t="str">
        <f>IF($A135&lt;DATE(2018,7,1),"-",INDEX('I1 - Universal Data'!$E$15:$V$15, MATCH(YEAR(EOMONTH($A135,6)), 'I1 - Universal Data'!$E$14:$V$14, 0)))</f>
        <v>-</v>
      </c>
      <c r="G135" s="1117">
        <f t="shared" si="13"/>
        <v>88.8</v>
      </c>
      <c r="H135" s="1117">
        <f t="shared" si="13"/>
        <v>217.9</v>
      </c>
      <c r="U135" s="1105"/>
    </row>
    <row r="136" spans="1:21">
      <c r="A136" s="1114">
        <f t="shared" si="14"/>
        <v>40237</v>
      </c>
      <c r="B136" s="1115">
        <f t="shared" si="12"/>
        <v>2010</v>
      </c>
      <c r="C136" s="1283">
        <v>89</v>
      </c>
      <c r="D136" s="1283">
        <v>219.2</v>
      </c>
      <c r="E136" s="1116" t="str">
        <f>IF($A136&lt;DATE(2018,7,1),"-",INDEX('I1 - Universal Data'!$E$16:$V$16, MATCH(YEAR(EOMONTH($A136,6)), 'I1 - Universal Data'!$E$14:$V$14, 0)))</f>
        <v>-</v>
      </c>
      <c r="F136" s="1116" t="str">
        <f>IF($A136&lt;DATE(2018,7,1),"-",INDEX('I1 - Universal Data'!$E$15:$V$15, MATCH(YEAR(EOMONTH($A136,6)), 'I1 - Universal Data'!$E$14:$V$14, 0)))</f>
        <v>-</v>
      </c>
      <c r="G136" s="1117">
        <f t="shared" si="13"/>
        <v>89</v>
      </c>
      <c r="H136" s="1117">
        <f t="shared" si="13"/>
        <v>219.2</v>
      </c>
      <c r="U136" s="1105"/>
    </row>
    <row r="137" spans="1:21">
      <c r="A137" s="1114">
        <f t="shared" si="14"/>
        <v>40268</v>
      </c>
      <c r="B137" s="1115">
        <f t="shared" si="12"/>
        <v>2010</v>
      </c>
      <c r="C137" s="1283">
        <v>89.4</v>
      </c>
      <c r="D137" s="1283">
        <v>220.7</v>
      </c>
      <c r="E137" s="1116" t="str">
        <f>IF($A137&lt;DATE(2018,7,1),"-",INDEX('I1 - Universal Data'!$E$16:$V$16, MATCH(YEAR(EOMONTH($A137,6)), 'I1 - Universal Data'!$E$14:$V$14, 0)))</f>
        <v>-</v>
      </c>
      <c r="F137" s="1116" t="str">
        <f>IF($A137&lt;DATE(2018,7,1),"-",INDEX('I1 - Universal Data'!$E$15:$V$15, MATCH(YEAR(EOMONTH($A137,6)), 'I1 - Universal Data'!$E$14:$V$14, 0)))</f>
        <v>-</v>
      </c>
      <c r="G137" s="1117">
        <f t="shared" si="13"/>
        <v>89.4</v>
      </c>
      <c r="H137" s="1117">
        <f t="shared" si="13"/>
        <v>220.7</v>
      </c>
      <c r="U137" s="1105"/>
    </row>
    <row r="138" spans="1:21">
      <c r="A138" s="1114">
        <f t="shared" si="14"/>
        <v>40298</v>
      </c>
      <c r="B138" s="1115">
        <f t="shared" si="12"/>
        <v>2011</v>
      </c>
      <c r="C138" s="1283">
        <v>89.9</v>
      </c>
      <c r="D138" s="1283">
        <v>222.8</v>
      </c>
      <c r="E138" s="1116" t="str">
        <f>IF($A138&lt;DATE(2018,7,1),"-",INDEX('I1 - Universal Data'!$E$16:$V$16, MATCH(YEAR(EOMONTH($A138,6)), 'I1 - Universal Data'!$E$14:$V$14, 0)))</f>
        <v>-</v>
      </c>
      <c r="F138" s="1116" t="str">
        <f>IF($A138&lt;DATE(2018,7,1),"-",INDEX('I1 - Universal Data'!$E$15:$V$15, MATCH(YEAR(EOMONTH($A138,6)), 'I1 - Universal Data'!$E$14:$V$14, 0)))</f>
        <v>-</v>
      </c>
      <c r="G138" s="1117">
        <f t="shared" si="13"/>
        <v>89.9</v>
      </c>
      <c r="H138" s="1117">
        <f t="shared" si="13"/>
        <v>222.8</v>
      </c>
      <c r="U138" s="1105"/>
    </row>
    <row r="139" spans="1:21">
      <c r="A139" s="1114">
        <f t="shared" si="14"/>
        <v>40329</v>
      </c>
      <c r="B139" s="1115">
        <f t="shared" si="12"/>
        <v>2011</v>
      </c>
      <c r="C139" s="1283">
        <v>90.1</v>
      </c>
      <c r="D139" s="1283">
        <v>223.6</v>
      </c>
      <c r="E139" s="1116" t="str">
        <f>IF($A139&lt;DATE(2018,7,1),"-",INDEX('I1 - Universal Data'!$E$16:$V$16, MATCH(YEAR(EOMONTH($A139,6)), 'I1 - Universal Data'!$E$14:$V$14, 0)))</f>
        <v>-</v>
      </c>
      <c r="F139" s="1116" t="str">
        <f>IF($A139&lt;DATE(2018,7,1),"-",INDEX('I1 - Universal Data'!$E$15:$V$15, MATCH(YEAR(EOMONTH($A139,6)), 'I1 - Universal Data'!$E$14:$V$14, 0)))</f>
        <v>-</v>
      </c>
      <c r="G139" s="1117">
        <f t="shared" si="13"/>
        <v>90.1</v>
      </c>
      <c r="H139" s="1117">
        <f t="shared" si="13"/>
        <v>223.6</v>
      </c>
      <c r="U139" s="1105"/>
    </row>
    <row r="140" spans="1:21">
      <c r="A140" s="1114">
        <f t="shared" si="14"/>
        <v>40359</v>
      </c>
      <c r="B140" s="1115">
        <f t="shared" si="12"/>
        <v>2011</v>
      </c>
      <c r="C140" s="1283">
        <v>90.2</v>
      </c>
      <c r="D140" s="1283">
        <v>224.1</v>
      </c>
      <c r="E140" s="1116" t="str">
        <f>IF($A140&lt;DATE(2018,7,1),"-",INDEX('I1 - Universal Data'!$E$16:$V$16, MATCH(YEAR(EOMONTH($A140,6)), 'I1 - Universal Data'!$E$14:$V$14, 0)))</f>
        <v>-</v>
      </c>
      <c r="F140" s="1116" t="str">
        <f>IF($A140&lt;DATE(2018,7,1),"-",INDEX('I1 - Universal Data'!$E$15:$V$15, MATCH(YEAR(EOMONTH($A140,6)), 'I1 - Universal Data'!$E$14:$V$14, 0)))</f>
        <v>-</v>
      </c>
      <c r="G140" s="1117">
        <f t="shared" si="13"/>
        <v>90.2</v>
      </c>
      <c r="H140" s="1117">
        <f t="shared" si="13"/>
        <v>224.1</v>
      </c>
      <c r="U140" s="1105"/>
    </row>
    <row r="141" spans="1:21">
      <c r="A141" s="1114">
        <f t="shared" si="14"/>
        <v>40390</v>
      </c>
      <c r="B141" s="1115">
        <f t="shared" si="12"/>
        <v>2011</v>
      </c>
      <c r="C141" s="1283">
        <v>90</v>
      </c>
      <c r="D141" s="1283">
        <v>223.6</v>
      </c>
      <c r="E141" s="1116" t="str">
        <f>IF($A141&lt;DATE(2018,7,1),"-",INDEX('I1 - Universal Data'!$E$16:$V$16, MATCH(YEAR(EOMONTH($A141,6)), 'I1 - Universal Data'!$E$14:$V$14, 0)))</f>
        <v>-</v>
      </c>
      <c r="F141" s="1116" t="str">
        <f>IF($A141&lt;DATE(2018,7,1),"-",INDEX('I1 - Universal Data'!$E$15:$V$15, MATCH(YEAR(EOMONTH($A141,6)), 'I1 - Universal Data'!$E$14:$V$14, 0)))</f>
        <v>-</v>
      </c>
      <c r="G141" s="1117">
        <f t="shared" si="13"/>
        <v>90</v>
      </c>
      <c r="H141" s="1117">
        <f t="shared" si="13"/>
        <v>223.6</v>
      </c>
      <c r="U141" s="1105"/>
    </row>
    <row r="142" spans="1:21">
      <c r="A142" s="1114">
        <f t="shared" si="14"/>
        <v>40421</v>
      </c>
      <c r="B142" s="1115">
        <f t="shared" si="12"/>
        <v>2011</v>
      </c>
      <c r="C142" s="1283">
        <v>90.4</v>
      </c>
      <c r="D142" s="1283">
        <v>224.5</v>
      </c>
      <c r="E142" s="1116" t="str">
        <f>IF($A142&lt;DATE(2018,7,1),"-",INDEX('I1 - Universal Data'!$E$16:$V$16, MATCH(YEAR(EOMONTH($A142,6)), 'I1 - Universal Data'!$E$14:$V$14, 0)))</f>
        <v>-</v>
      </c>
      <c r="F142" s="1116" t="str">
        <f>IF($A142&lt;DATE(2018,7,1),"-",INDEX('I1 - Universal Data'!$E$15:$V$15, MATCH(YEAR(EOMONTH($A142,6)), 'I1 - Universal Data'!$E$14:$V$14, 0)))</f>
        <v>-</v>
      </c>
      <c r="G142" s="1117">
        <f t="shared" si="13"/>
        <v>90.4</v>
      </c>
      <c r="H142" s="1117">
        <f t="shared" si="13"/>
        <v>224.5</v>
      </c>
      <c r="U142" s="1105"/>
    </row>
    <row r="143" spans="1:21">
      <c r="A143" s="1114">
        <f t="shared" si="14"/>
        <v>40451</v>
      </c>
      <c r="B143" s="1115">
        <f t="shared" si="12"/>
        <v>2011</v>
      </c>
      <c r="C143" s="1283">
        <v>90.4</v>
      </c>
      <c r="D143" s="1283">
        <v>225.3</v>
      </c>
      <c r="E143" s="1116" t="str">
        <f>IF($A143&lt;DATE(2018,7,1),"-",INDEX('I1 - Universal Data'!$E$16:$V$16, MATCH(YEAR(EOMONTH($A143,6)), 'I1 - Universal Data'!$E$14:$V$14, 0)))</f>
        <v>-</v>
      </c>
      <c r="F143" s="1116" t="str">
        <f>IF($A143&lt;DATE(2018,7,1),"-",INDEX('I1 - Universal Data'!$E$15:$V$15, MATCH(YEAR(EOMONTH($A143,6)), 'I1 - Universal Data'!$E$14:$V$14, 0)))</f>
        <v>-</v>
      </c>
      <c r="G143" s="1117">
        <f t="shared" si="13"/>
        <v>90.4</v>
      </c>
      <c r="H143" s="1117">
        <f t="shared" si="13"/>
        <v>225.3</v>
      </c>
      <c r="U143" s="1105"/>
    </row>
    <row r="144" spans="1:21">
      <c r="A144" s="1114">
        <f t="shared" si="14"/>
        <v>40482</v>
      </c>
      <c r="B144" s="1115">
        <f t="shared" si="12"/>
        <v>2011</v>
      </c>
      <c r="C144" s="1283">
        <v>90.6</v>
      </c>
      <c r="D144" s="1283">
        <v>225.8</v>
      </c>
      <c r="E144" s="1116" t="str">
        <f>IF($A144&lt;DATE(2018,7,1),"-",INDEX('I1 - Universal Data'!$E$16:$V$16, MATCH(YEAR(EOMONTH($A144,6)), 'I1 - Universal Data'!$E$14:$V$14, 0)))</f>
        <v>-</v>
      </c>
      <c r="F144" s="1116" t="str">
        <f>IF($A144&lt;DATE(2018,7,1),"-",INDEX('I1 - Universal Data'!$E$15:$V$15, MATCH(YEAR(EOMONTH($A144,6)), 'I1 - Universal Data'!$E$14:$V$14, 0)))</f>
        <v>-</v>
      </c>
      <c r="G144" s="1117">
        <f t="shared" si="13"/>
        <v>90.6</v>
      </c>
      <c r="H144" s="1117">
        <f t="shared" si="13"/>
        <v>225.8</v>
      </c>
      <c r="U144" s="1105"/>
    </row>
    <row r="145" spans="1:21">
      <c r="A145" s="1114">
        <f t="shared" si="14"/>
        <v>40512</v>
      </c>
      <c r="B145" s="1115">
        <f t="shared" si="12"/>
        <v>2011</v>
      </c>
      <c r="C145" s="1283">
        <v>90.9</v>
      </c>
      <c r="D145" s="1283">
        <v>226.8</v>
      </c>
      <c r="E145" s="1116" t="str">
        <f>IF($A145&lt;DATE(2018,7,1),"-",INDEX('I1 - Universal Data'!$E$16:$V$16, MATCH(YEAR(EOMONTH($A145,6)), 'I1 - Universal Data'!$E$14:$V$14, 0)))</f>
        <v>-</v>
      </c>
      <c r="F145" s="1116" t="str">
        <f>IF($A145&lt;DATE(2018,7,1),"-",INDEX('I1 - Universal Data'!$E$15:$V$15, MATCH(YEAR(EOMONTH($A145,6)), 'I1 - Universal Data'!$E$14:$V$14, 0)))</f>
        <v>-</v>
      </c>
      <c r="G145" s="1117">
        <f t="shared" si="13"/>
        <v>90.9</v>
      </c>
      <c r="H145" s="1117">
        <f t="shared" si="13"/>
        <v>226.8</v>
      </c>
      <c r="U145" s="1105"/>
    </row>
    <row r="146" spans="1:21">
      <c r="A146" s="1114">
        <f t="shared" si="14"/>
        <v>40543</v>
      </c>
      <c r="B146" s="1115">
        <f t="shared" si="12"/>
        <v>2011</v>
      </c>
      <c r="C146" s="1283">
        <v>91.7</v>
      </c>
      <c r="D146" s="1283">
        <v>228.4</v>
      </c>
      <c r="E146" s="1116" t="str">
        <f>IF($A146&lt;DATE(2018,7,1),"-",INDEX('I1 - Universal Data'!$E$16:$V$16, MATCH(YEAR(EOMONTH($A146,6)), 'I1 - Universal Data'!$E$14:$V$14, 0)))</f>
        <v>-</v>
      </c>
      <c r="F146" s="1116" t="str">
        <f>IF($A146&lt;DATE(2018,7,1),"-",INDEX('I1 - Universal Data'!$E$15:$V$15, MATCH(YEAR(EOMONTH($A146,6)), 'I1 - Universal Data'!$E$14:$V$14, 0)))</f>
        <v>-</v>
      </c>
      <c r="G146" s="1117">
        <f t="shared" si="13"/>
        <v>91.7</v>
      </c>
      <c r="H146" s="1117">
        <f t="shared" si="13"/>
        <v>228.4</v>
      </c>
      <c r="U146" s="1105"/>
    </row>
    <row r="147" spans="1:21">
      <c r="A147" s="1114">
        <f t="shared" si="14"/>
        <v>40574</v>
      </c>
      <c r="B147" s="1115">
        <f t="shared" si="12"/>
        <v>2011</v>
      </c>
      <c r="C147" s="1283">
        <v>91.8</v>
      </c>
      <c r="D147" s="1283">
        <v>229</v>
      </c>
      <c r="E147" s="1116" t="str">
        <f>IF($A147&lt;DATE(2018,7,1),"-",INDEX('I1 - Universal Data'!$E$16:$V$16, MATCH(YEAR(EOMONTH($A147,6)), 'I1 - Universal Data'!$E$14:$V$14, 0)))</f>
        <v>-</v>
      </c>
      <c r="F147" s="1116" t="str">
        <f>IF($A147&lt;DATE(2018,7,1),"-",INDEX('I1 - Universal Data'!$E$15:$V$15, MATCH(YEAR(EOMONTH($A147,6)), 'I1 - Universal Data'!$E$14:$V$14, 0)))</f>
        <v>-</v>
      </c>
      <c r="G147" s="1117">
        <f t="shared" si="13"/>
        <v>91.8</v>
      </c>
      <c r="H147" s="1117">
        <f t="shared" si="13"/>
        <v>229</v>
      </c>
      <c r="U147" s="1105"/>
    </row>
    <row r="148" spans="1:21">
      <c r="A148" s="1114">
        <f t="shared" si="14"/>
        <v>40602</v>
      </c>
      <c r="B148" s="1115">
        <f t="shared" si="12"/>
        <v>2011</v>
      </c>
      <c r="C148" s="1283">
        <v>92.3</v>
      </c>
      <c r="D148" s="1283">
        <v>231.3</v>
      </c>
      <c r="E148" s="1116" t="str">
        <f>IF($A148&lt;DATE(2018,7,1),"-",INDEX('I1 - Universal Data'!$E$16:$V$16, MATCH(YEAR(EOMONTH($A148,6)), 'I1 - Universal Data'!$E$14:$V$14, 0)))</f>
        <v>-</v>
      </c>
      <c r="F148" s="1116" t="str">
        <f>IF($A148&lt;DATE(2018,7,1),"-",INDEX('I1 - Universal Data'!$E$15:$V$15, MATCH(YEAR(EOMONTH($A148,6)), 'I1 - Universal Data'!$E$14:$V$14, 0)))</f>
        <v>-</v>
      </c>
      <c r="G148" s="1117">
        <f t="shared" si="13"/>
        <v>92.3</v>
      </c>
      <c r="H148" s="1117">
        <f t="shared" si="13"/>
        <v>231.3</v>
      </c>
      <c r="U148" s="1105"/>
    </row>
    <row r="149" spans="1:21">
      <c r="A149" s="1114">
        <f t="shared" si="14"/>
        <v>40633</v>
      </c>
      <c r="B149" s="1115">
        <f t="shared" si="12"/>
        <v>2011</v>
      </c>
      <c r="C149" s="1283">
        <v>92.6</v>
      </c>
      <c r="D149" s="1283">
        <v>232.5</v>
      </c>
      <c r="E149" s="1116" t="str">
        <f>IF($A149&lt;DATE(2018,7,1),"-",INDEX('I1 - Universal Data'!$E$16:$V$16, MATCH(YEAR(EOMONTH($A149,6)), 'I1 - Universal Data'!$E$14:$V$14, 0)))</f>
        <v>-</v>
      </c>
      <c r="F149" s="1116" t="str">
        <f>IF($A149&lt;DATE(2018,7,1),"-",INDEX('I1 - Universal Data'!$E$15:$V$15, MATCH(YEAR(EOMONTH($A149,6)), 'I1 - Universal Data'!$E$14:$V$14, 0)))</f>
        <v>-</v>
      </c>
      <c r="G149" s="1117">
        <f t="shared" si="13"/>
        <v>92.6</v>
      </c>
      <c r="H149" s="1117">
        <f t="shared" si="13"/>
        <v>232.5</v>
      </c>
      <c r="U149" s="1105"/>
    </row>
    <row r="150" spans="1:21">
      <c r="A150" s="1114">
        <f t="shared" si="14"/>
        <v>40663</v>
      </c>
      <c r="B150" s="1115">
        <f t="shared" si="12"/>
        <v>2012</v>
      </c>
      <c r="C150" s="1283">
        <v>93.3</v>
      </c>
      <c r="D150" s="1283">
        <v>234.4</v>
      </c>
      <c r="E150" s="1116" t="str">
        <f>IF($A150&lt;DATE(2018,7,1),"-",INDEX('I1 - Universal Data'!$E$16:$V$16, MATCH(YEAR(EOMONTH($A150,6)), 'I1 - Universal Data'!$E$14:$V$14, 0)))</f>
        <v>-</v>
      </c>
      <c r="F150" s="1116" t="str">
        <f>IF($A150&lt;DATE(2018,7,1),"-",INDEX('I1 - Universal Data'!$E$15:$V$15, MATCH(YEAR(EOMONTH($A150,6)), 'I1 - Universal Data'!$E$14:$V$14, 0)))</f>
        <v>-</v>
      </c>
      <c r="G150" s="1117">
        <f t="shared" ref="G150:H165" si="15">IF(ISBLANK(C150),G149*((1+E150)^(1/12)),C150)</f>
        <v>93.3</v>
      </c>
      <c r="H150" s="1117">
        <f t="shared" si="15"/>
        <v>234.4</v>
      </c>
      <c r="U150" s="1105"/>
    </row>
    <row r="151" spans="1:21">
      <c r="A151" s="1114">
        <f t="shared" si="14"/>
        <v>40694</v>
      </c>
      <c r="B151" s="1115">
        <f t="shared" si="12"/>
        <v>2012</v>
      </c>
      <c r="C151" s="1283">
        <v>93.5</v>
      </c>
      <c r="D151" s="1283">
        <v>235.2</v>
      </c>
      <c r="E151" s="1116" t="str">
        <f>IF($A151&lt;DATE(2018,7,1),"-",INDEX('I1 - Universal Data'!$E$16:$V$16, MATCH(YEAR(EOMONTH($A151,6)), 'I1 - Universal Data'!$E$14:$V$14, 0)))</f>
        <v>-</v>
      </c>
      <c r="F151" s="1116" t="str">
        <f>IF($A151&lt;DATE(2018,7,1),"-",INDEX('I1 - Universal Data'!$E$15:$V$15, MATCH(YEAR(EOMONTH($A151,6)), 'I1 - Universal Data'!$E$14:$V$14, 0)))</f>
        <v>-</v>
      </c>
      <c r="G151" s="1117">
        <f t="shared" si="15"/>
        <v>93.5</v>
      </c>
      <c r="H151" s="1117">
        <f t="shared" si="15"/>
        <v>235.2</v>
      </c>
      <c r="U151" s="1105"/>
    </row>
    <row r="152" spans="1:21">
      <c r="A152" s="1114">
        <f t="shared" si="14"/>
        <v>40724</v>
      </c>
      <c r="B152" s="1115">
        <f t="shared" si="12"/>
        <v>2012</v>
      </c>
      <c r="C152" s="1283">
        <v>93.5</v>
      </c>
      <c r="D152" s="1283">
        <v>235.2</v>
      </c>
      <c r="E152" s="1116" t="str">
        <f>IF($A152&lt;DATE(2018,7,1),"-",INDEX('I1 - Universal Data'!$E$16:$V$16, MATCH(YEAR(EOMONTH($A152,6)), 'I1 - Universal Data'!$E$14:$V$14, 0)))</f>
        <v>-</v>
      </c>
      <c r="F152" s="1116" t="str">
        <f>IF($A152&lt;DATE(2018,7,1),"-",INDEX('I1 - Universal Data'!$E$15:$V$15, MATCH(YEAR(EOMONTH($A152,6)), 'I1 - Universal Data'!$E$14:$V$14, 0)))</f>
        <v>-</v>
      </c>
      <c r="G152" s="1117">
        <f t="shared" si="15"/>
        <v>93.5</v>
      </c>
      <c r="H152" s="1117">
        <f t="shared" si="15"/>
        <v>235.2</v>
      </c>
      <c r="U152" s="1105"/>
    </row>
    <row r="153" spans="1:21">
      <c r="A153" s="1114">
        <f t="shared" si="14"/>
        <v>40755</v>
      </c>
      <c r="B153" s="1115">
        <f t="shared" si="12"/>
        <v>2012</v>
      </c>
      <c r="C153" s="1283">
        <v>93.5</v>
      </c>
      <c r="D153" s="1283">
        <v>234.7</v>
      </c>
      <c r="E153" s="1116" t="str">
        <f>IF($A153&lt;DATE(2018,7,1),"-",INDEX('I1 - Universal Data'!$E$16:$V$16, MATCH(YEAR(EOMONTH($A153,6)), 'I1 - Universal Data'!$E$14:$V$14, 0)))</f>
        <v>-</v>
      </c>
      <c r="F153" s="1116" t="str">
        <f>IF($A153&lt;DATE(2018,7,1),"-",INDEX('I1 - Universal Data'!$E$15:$V$15, MATCH(YEAR(EOMONTH($A153,6)), 'I1 - Universal Data'!$E$14:$V$14, 0)))</f>
        <v>-</v>
      </c>
      <c r="G153" s="1117">
        <f t="shared" si="15"/>
        <v>93.5</v>
      </c>
      <c r="H153" s="1117">
        <f t="shared" si="15"/>
        <v>234.7</v>
      </c>
      <c r="U153" s="1105"/>
    </row>
    <row r="154" spans="1:21">
      <c r="A154" s="1114">
        <f t="shared" si="14"/>
        <v>40786</v>
      </c>
      <c r="B154" s="1115">
        <f t="shared" si="12"/>
        <v>2012</v>
      </c>
      <c r="C154" s="1283">
        <v>93.9</v>
      </c>
      <c r="D154" s="1283">
        <v>236.1</v>
      </c>
      <c r="E154" s="1116" t="str">
        <f>IF($A154&lt;DATE(2018,7,1),"-",INDEX('I1 - Universal Data'!$E$16:$V$16, MATCH(YEAR(EOMONTH($A154,6)), 'I1 - Universal Data'!$E$14:$V$14, 0)))</f>
        <v>-</v>
      </c>
      <c r="F154" s="1116" t="str">
        <f>IF($A154&lt;DATE(2018,7,1),"-",INDEX('I1 - Universal Data'!$E$15:$V$15, MATCH(YEAR(EOMONTH($A154,6)), 'I1 - Universal Data'!$E$14:$V$14, 0)))</f>
        <v>-</v>
      </c>
      <c r="G154" s="1117">
        <f t="shared" si="15"/>
        <v>93.9</v>
      </c>
      <c r="H154" s="1117">
        <f t="shared" si="15"/>
        <v>236.1</v>
      </c>
      <c r="U154" s="1105"/>
    </row>
    <row r="155" spans="1:21">
      <c r="A155" s="1114">
        <f t="shared" si="14"/>
        <v>40816</v>
      </c>
      <c r="B155" s="1115">
        <f t="shared" si="12"/>
        <v>2012</v>
      </c>
      <c r="C155" s="1283">
        <v>94.5</v>
      </c>
      <c r="D155" s="1283">
        <v>237.9</v>
      </c>
      <c r="E155" s="1116" t="str">
        <f>IF($A155&lt;DATE(2018,7,1),"-",INDEX('I1 - Universal Data'!$E$16:$V$16, MATCH(YEAR(EOMONTH($A155,6)), 'I1 - Universal Data'!$E$14:$V$14, 0)))</f>
        <v>-</v>
      </c>
      <c r="F155" s="1116" t="str">
        <f>IF($A155&lt;DATE(2018,7,1),"-",INDEX('I1 - Universal Data'!$E$15:$V$15, MATCH(YEAR(EOMONTH($A155,6)), 'I1 - Universal Data'!$E$14:$V$14, 0)))</f>
        <v>-</v>
      </c>
      <c r="G155" s="1117">
        <f t="shared" si="15"/>
        <v>94.5</v>
      </c>
      <c r="H155" s="1117">
        <f t="shared" si="15"/>
        <v>237.9</v>
      </c>
      <c r="U155" s="1105"/>
    </row>
    <row r="156" spans="1:21">
      <c r="A156" s="1114">
        <f t="shared" si="14"/>
        <v>40847</v>
      </c>
      <c r="B156" s="1115">
        <f t="shared" si="12"/>
        <v>2012</v>
      </c>
      <c r="C156" s="1283">
        <v>94.5</v>
      </c>
      <c r="D156" s="1283">
        <v>238</v>
      </c>
      <c r="E156" s="1116" t="str">
        <f>IF($A156&lt;DATE(2018,7,1),"-",INDEX('I1 - Universal Data'!$E$16:$V$16, MATCH(YEAR(EOMONTH($A156,6)), 'I1 - Universal Data'!$E$14:$V$14, 0)))</f>
        <v>-</v>
      </c>
      <c r="F156" s="1116" t="str">
        <f>IF($A156&lt;DATE(2018,7,1),"-",INDEX('I1 - Universal Data'!$E$15:$V$15, MATCH(YEAR(EOMONTH($A156,6)), 'I1 - Universal Data'!$E$14:$V$14, 0)))</f>
        <v>-</v>
      </c>
      <c r="G156" s="1117">
        <f t="shared" si="15"/>
        <v>94.5</v>
      </c>
      <c r="H156" s="1117">
        <f t="shared" si="15"/>
        <v>238</v>
      </c>
      <c r="U156" s="1105"/>
    </row>
    <row r="157" spans="1:21">
      <c r="A157" s="1114">
        <f t="shared" si="14"/>
        <v>40877</v>
      </c>
      <c r="B157" s="1115">
        <f t="shared" si="12"/>
        <v>2012</v>
      </c>
      <c r="C157" s="1283">
        <v>94.7</v>
      </c>
      <c r="D157" s="1283">
        <v>238.5</v>
      </c>
      <c r="E157" s="1116" t="str">
        <f>IF($A157&lt;DATE(2018,7,1),"-",INDEX('I1 - Universal Data'!$E$16:$V$16, MATCH(YEAR(EOMONTH($A157,6)), 'I1 - Universal Data'!$E$14:$V$14, 0)))</f>
        <v>-</v>
      </c>
      <c r="F157" s="1116" t="str">
        <f>IF($A157&lt;DATE(2018,7,1),"-",INDEX('I1 - Universal Data'!$E$15:$V$15, MATCH(YEAR(EOMONTH($A157,6)), 'I1 - Universal Data'!$E$14:$V$14, 0)))</f>
        <v>-</v>
      </c>
      <c r="G157" s="1117">
        <f t="shared" si="15"/>
        <v>94.7</v>
      </c>
      <c r="H157" s="1117">
        <f t="shared" si="15"/>
        <v>238.5</v>
      </c>
      <c r="U157" s="1105"/>
    </row>
    <row r="158" spans="1:21">
      <c r="A158" s="1114">
        <f t="shared" si="14"/>
        <v>40908</v>
      </c>
      <c r="B158" s="1115">
        <f t="shared" si="12"/>
        <v>2012</v>
      </c>
      <c r="C158" s="1283">
        <v>95</v>
      </c>
      <c r="D158" s="1283">
        <v>239.4</v>
      </c>
      <c r="E158" s="1116" t="str">
        <f>IF($A158&lt;DATE(2018,7,1),"-",INDEX('I1 - Universal Data'!$E$16:$V$16, MATCH(YEAR(EOMONTH($A158,6)), 'I1 - Universal Data'!$E$14:$V$14, 0)))</f>
        <v>-</v>
      </c>
      <c r="F158" s="1116" t="str">
        <f>IF($A158&lt;DATE(2018,7,1),"-",INDEX('I1 - Universal Data'!$E$15:$V$15, MATCH(YEAR(EOMONTH($A158,6)), 'I1 - Universal Data'!$E$14:$V$14, 0)))</f>
        <v>-</v>
      </c>
      <c r="G158" s="1117">
        <f t="shared" si="15"/>
        <v>95</v>
      </c>
      <c r="H158" s="1117">
        <f t="shared" si="15"/>
        <v>239.4</v>
      </c>
      <c r="U158" s="1105"/>
    </row>
    <row r="159" spans="1:21">
      <c r="A159" s="1114">
        <f t="shared" si="14"/>
        <v>40939</v>
      </c>
      <c r="B159" s="1115">
        <f t="shared" si="12"/>
        <v>2012</v>
      </c>
      <c r="C159" s="1283">
        <v>94.7</v>
      </c>
      <c r="D159" s="1283">
        <v>238</v>
      </c>
      <c r="E159" s="1116" t="str">
        <f>IF($A159&lt;DATE(2018,7,1),"-",INDEX('I1 - Universal Data'!$E$16:$V$16, MATCH(YEAR(EOMONTH($A159,6)), 'I1 - Universal Data'!$E$14:$V$14, 0)))</f>
        <v>-</v>
      </c>
      <c r="F159" s="1116" t="str">
        <f>IF($A159&lt;DATE(2018,7,1),"-",INDEX('I1 - Universal Data'!$E$15:$V$15, MATCH(YEAR(EOMONTH($A159,6)), 'I1 - Universal Data'!$E$14:$V$14, 0)))</f>
        <v>-</v>
      </c>
      <c r="G159" s="1117">
        <f t="shared" si="15"/>
        <v>94.7</v>
      </c>
      <c r="H159" s="1117">
        <f t="shared" si="15"/>
        <v>238</v>
      </c>
      <c r="U159" s="1105"/>
    </row>
    <row r="160" spans="1:21">
      <c r="A160" s="1114">
        <f t="shared" si="14"/>
        <v>40968</v>
      </c>
      <c r="B160" s="1115">
        <f t="shared" si="12"/>
        <v>2012</v>
      </c>
      <c r="C160" s="1283">
        <v>95.2</v>
      </c>
      <c r="D160" s="1283">
        <v>239.9</v>
      </c>
      <c r="E160" s="1116" t="str">
        <f>IF($A160&lt;DATE(2018,7,1),"-",INDEX('I1 - Universal Data'!$E$16:$V$16, MATCH(YEAR(EOMONTH($A160,6)), 'I1 - Universal Data'!$E$14:$V$14, 0)))</f>
        <v>-</v>
      </c>
      <c r="F160" s="1116" t="str">
        <f>IF($A160&lt;DATE(2018,7,1),"-",INDEX('I1 - Universal Data'!$E$15:$V$15, MATCH(YEAR(EOMONTH($A160,6)), 'I1 - Universal Data'!$E$14:$V$14, 0)))</f>
        <v>-</v>
      </c>
      <c r="G160" s="1117">
        <f t="shared" si="15"/>
        <v>95.2</v>
      </c>
      <c r="H160" s="1117">
        <f t="shared" si="15"/>
        <v>239.9</v>
      </c>
      <c r="U160" s="1105"/>
    </row>
    <row r="161" spans="1:21">
      <c r="A161" s="1114">
        <f t="shared" si="14"/>
        <v>40999</v>
      </c>
      <c r="B161" s="1115">
        <f t="shared" si="12"/>
        <v>2012</v>
      </c>
      <c r="C161" s="1283">
        <v>95.4</v>
      </c>
      <c r="D161" s="1283">
        <v>240.8</v>
      </c>
      <c r="E161" s="1116" t="str">
        <f>IF($A161&lt;DATE(2018,7,1),"-",INDEX('I1 - Universal Data'!$E$16:$V$16, MATCH(YEAR(EOMONTH($A161,6)), 'I1 - Universal Data'!$E$14:$V$14, 0)))</f>
        <v>-</v>
      </c>
      <c r="F161" s="1116" t="str">
        <f>IF($A161&lt;DATE(2018,7,1),"-",INDEX('I1 - Universal Data'!$E$15:$V$15, MATCH(YEAR(EOMONTH($A161,6)), 'I1 - Universal Data'!$E$14:$V$14, 0)))</f>
        <v>-</v>
      </c>
      <c r="G161" s="1117">
        <f t="shared" si="15"/>
        <v>95.4</v>
      </c>
      <c r="H161" s="1117">
        <f t="shared" si="15"/>
        <v>240.8</v>
      </c>
      <c r="U161" s="1105"/>
    </row>
    <row r="162" spans="1:21">
      <c r="A162" s="1114">
        <f t="shared" si="14"/>
        <v>41029</v>
      </c>
      <c r="B162" s="1115">
        <f t="shared" si="12"/>
        <v>2013</v>
      </c>
      <c r="C162" s="1283">
        <v>95.9</v>
      </c>
      <c r="D162" s="1283">
        <v>242.5</v>
      </c>
      <c r="E162" s="1116" t="str">
        <f>IF($A162&lt;DATE(2018,7,1),"-",INDEX('I1 - Universal Data'!$E$16:$V$16, MATCH(YEAR(EOMONTH($A162,6)), 'I1 - Universal Data'!$E$14:$V$14, 0)))</f>
        <v>-</v>
      </c>
      <c r="F162" s="1116" t="str">
        <f>IF($A162&lt;DATE(2018,7,1),"-",INDEX('I1 - Universal Data'!$E$15:$V$15, MATCH(YEAR(EOMONTH($A162,6)), 'I1 - Universal Data'!$E$14:$V$14, 0)))</f>
        <v>-</v>
      </c>
      <c r="G162" s="1117">
        <f t="shared" si="15"/>
        <v>95.9</v>
      </c>
      <c r="H162" s="1117">
        <f t="shared" si="15"/>
        <v>242.5</v>
      </c>
      <c r="U162" s="1105"/>
    </row>
    <row r="163" spans="1:21">
      <c r="A163" s="1114">
        <f t="shared" si="14"/>
        <v>41060</v>
      </c>
      <c r="B163" s="1115">
        <f t="shared" si="12"/>
        <v>2013</v>
      </c>
      <c r="C163" s="1283">
        <v>95.9</v>
      </c>
      <c r="D163" s="1283">
        <v>242.4</v>
      </c>
      <c r="E163" s="1116" t="str">
        <f>IF($A163&lt;DATE(2018,7,1),"-",INDEX('I1 - Universal Data'!$E$16:$V$16, MATCH(YEAR(EOMONTH($A163,6)), 'I1 - Universal Data'!$E$14:$V$14, 0)))</f>
        <v>-</v>
      </c>
      <c r="F163" s="1116" t="str">
        <f>IF($A163&lt;DATE(2018,7,1),"-",INDEX('I1 - Universal Data'!$E$15:$V$15, MATCH(YEAR(EOMONTH($A163,6)), 'I1 - Universal Data'!$E$14:$V$14, 0)))</f>
        <v>-</v>
      </c>
      <c r="G163" s="1117">
        <f t="shared" si="15"/>
        <v>95.9</v>
      </c>
      <c r="H163" s="1117">
        <f t="shared" si="15"/>
        <v>242.4</v>
      </c>
      <c r="U163" s="1105"/>
    </row>
    <row r="164" spans="1:21">
      <c r="A164" s="1114">
        <f t="shared" si="14"/>
        <v>41090</v>
      </c>
      <c r="B164" s="1115">
        <f t="shared" si="12"/>
        <v>2013</v>
      </c>
      <c r="C164" s="1283">
        <v>95.6</v>
      </c>
      <c r="D164" s="1283">
        <v>241.8</v>
      </c>
      <c r="E164" s="1116" t="str">
        <f>IF($A164&lt;DATE(2018,7,1),"-",INDEX('I1 - Universal Data'!$E$16:$V$16, MATCH(YEAR(EOMONTH($A164,6)), 'I1 - Universal Data'!$E$14:$V$14, 0)))</f>
        <v>-</v>
      </c>
      <c r="F164" s="1116" t="str">
        <f>IF($A164&lt;DATE(2018,7,1),"-",INDEX('I1 - Universal Data'!$E$15:$V$15, MATCH(YEAR(EOMONTH($A164,6)), 'I1 - Universal Data'!$E$14:$V$14, 0)))</f>
        <v>-</v>
      </c>
      <c r="G164" s="1117">
        <f t="shared" si="15"/>
        <v>95.6</v>
      </c>
      <c r="H164" s="1117">
        <f t="shared" si="15"/>
        <v>241.8</v>
      </c>
      <c r="U164" s="1105"/>
    </row>
    <row r="165" spans="1:21">
      <c r="A165" s="1114">
        <f t="shared" si="14"/>
        <v>41121</v>
      </c>
      <c r="B165" s="1115">
        <f t="shared" si="12"/>
        <v>2013</v>
      </c>
      <c r="C165" s="1283">
        <v>95.7</v>
      </c>
      <c r="D165" s="1283">
        <v>242.1</v>
      </c>
      <c r="E165" s="1116" t="str">
        <f>IF($A165&lt;DATE(2018,7,1),"-",INDEX('I1 - Universal Data'!$E$16:$V$16, MATCH(YEAR(EOMONTH($A165,6)), 'I1 - Universal Data'!$E$14:$V$14, 0)))</f>
        <v>-</v>
      </c>
      <c r="F165" s="1116" t="str">
        <f>IF($A165&lt;DATE(2018,7,1),"-",INDEX('I1 - Universal Data'!$E$15:$V$15, MATCH(YEAR(EOMONTH($A165,6)), 'I1 - Universal Data'!$E$14:$V$14, 0)))</f>
        <v>-</v>
      </c>
      <c r="G165" s="1117">
        <f t="shared" si="15"/>
        <v>95.7</v>
      </c>
      <c r="H165" s="1117">
        <f t="shared" si="15"/>
        <v>242.1</v>
      </c>
      <c r="U165" s="1105"/>
    </row>
    <row r="166" spans="1:21">
      <c r="A166" s="1114">
        <f t="shared" si="14"/>
        <v>41152</v>
      </c>
      <c r="B166" s="1115">
        <f t="shared" si="12"/>
        <v>2013</v>
      </c>
      <c r="C166" s="1283">
        <v>96.1</v>
      </c>
      <c r="D166" s="1283">
        <v>243</v>
      </c>
      <c r="E166" s="1116" t="str">
        <f>IF($A166&lt;DATE(2018,7,1),"-",INDEX('I1 - Universal Data'!$E$16:$V$16, MATCH(YEAR(EOMONTH($A166,6)), 'I1 - Universal Data'!$E$14:$V$14, 0)))</f>
        <v>-</v>
      </c>
      <c r="F166" s="1116" t="str">
        <f>IF($A166&lt;DATE(2018,7,1),"-",INDEX('I1 - Universal Data'!$E$15:$V$15, MATCH(YEAR(EOMONTH($A166,6)), 'I1 - Universal Data'!$E$14:$V$14, 0)))</f>
        <v>-</v>
      </c>
      <c r="G166" s="1117">
        <f t="shared" ref="G166:H181" si="16">IF(ISBLANK(C166),G165*((1+E166)^(1/12)),C166)</f>
        <v>96.1</v>
      </c>
      <c r="H166" s="1117">
        <f t="shared" si="16"/>
        <v>243</v>
      </c>
      <c r="U166" s="1105"/>
    </row>
    <row r="167" spans="1:21">
      <c r="A167" s="1114">
        <f t="shared" si="14"/>
        <v>41182</v>
      </c>
      <c r="B167" s="1115">
        <f t="shared" si="12"/>
        <v>2013</v>
      </c>
      <c r="C167" s="1283">
        <v>96.4</v>
      </c>
      <c r="D167" s="1283">
        <v>244.2</v>
      </c>
      <c r="E167" s="1116" t="str">
        <f>IF($A167&lt;DATE(2018,7,1),"-",INDEX('I1 - Universal Data'!$E$16:$V$16, MATCH(YEAR(EOMONTH($A167,6)), 'I1 - Universal Data'!$E$14:$V$14, 0)))</f>
        <v>-</v>
      </c>
      <c r="F167" s="1116" t="str">
        <f>IF($A167&lt;DATE(2018,7,1),"-",INDEX('I1 - Universal Data'!$E$15:$V$15, MATCH(YEAR(EOMONTH($A167,6)), 'I1 - Universal Data'!$E$14:$V$14, 0)))</f>
        <v>-</v>
      </c>
      <c r="G167" s="1117">
        <f t="shared" si="16"/>
        <v>96.4</v>
      </c>
      <c r="H167" s="1117">
        <f t="shared" si="16"/>
        <v>244.2</v>
      </c>
      <c r="U167" s="1105"/>
    </row>
    <row r="168" spans="1:21">
      <c r="A168" s="1114">
        <f t="shared" si="14"/>
        <v>41213</v>
      </c>
      <c r="B168" s="1115">
        <f t="shared" si="12"/>
        <v>2013</v>
      </c>
      <c r="C168" s="1283">
        <v>96.8</v>
      </c>
      <c r="D168" s="1283">
        <v>245.6</v>
      </c>
      <c r="E168" s="1116" t="str">
        <f>IF($A168&lt;DATE(2018,7,1),"-",INDEX('I1 - Universal Data'!$E$16:$V$16, MATCH(YEAR(EOMONTH($A168,6)), 'I1 - Universal Data'!$E$14:$V$14, 0)))</f>
        <v>-</v>
      </c>
      <c r="F168" s="1116" t="str">
        <f>IF($A168&lt;DATE(2018,7,1),"-",INDEX('I1 - Universal Data'!$E$15:$V$15, MATCH(YEAR(EOMONTH($A168,6)), 'I1 - Universal Data'!$E$14:$V$14, 0)))</f>
        <v>-</v>
      </c>
      <c r="G168" s="1117">
        <f t="shared" si="16"/>
        <v>96.8</v>
      </c>
      <c r="H168" s="1117">
        <f t="shared" si="16"/>
        <v>245.6</v>
      </c>
      <c r="U168" s="1105"/>
    </row>
    <row r="169" spans="1:21">
      <c r="A169" s="1114">
        <f t="shared" si="14"/>
        <v>41243</v>
      </c>
      <c r="B169" s="1115">
        <f t="shared" si="12"/>
        <v>2013</v>
      </c>
      <c r="C169" s="1283">
        <v>97</v>
      </c>
      <c r="D169" s="1283">
        <v>245.6</v>
      </c>
      <c r="E169" s="1116" t="str">
        <f>IF($A169&lt;DATE(2018,7,1),"-",INDEX('I1 - Universal Data'!$E$16:$V$16, MATCH(YEAR(EOMONTH($A169,6)), 'I1 - Universal Data'!$E$14:$V$14, 0)))</f>
        <v>-</v>
      </c>
      <c r="F169" s="1116" t="str">
        <f>IF($A169&lt;DATE(2018,7,1),"-",INDEX('I1 - Universal Data'!$E$15:$V$15, MATCH(YEAR(EOMONTH($A169,6)), 'I1 - Universal Data'!$E$14:$V$14, 0)))</f>
        <v>-</v>
      </c>
      <c r="G169" s="1117">
        <f t="shared" si="16"/>
        <v>97</v>
      </c>
      <c r="H169" s="1117">
        <f t="shared" si="16"/>
        <v>245.6</v>
      </c>
      <c r="U169" s="1105"/>
    </row>
    <row r="170" spans="1:21">
      <c r="A170" s="1114">
        <f t="shared" si="14"/>
        <v>41274</v>
      </c>
      <c r="B170" s="1115">
        <f t="shared" si="12"/>
        <v>2013</v>
      </c>
      <c r="C170" s="1283">
        <v>97.3</v>
      </c>
      <c r="D170" s="1283">
        <v>246.8</v>
      </c>
      <c r="E170" s="1116" t="str">
        <f>IF($A170&lt;DATE(2018,7,1),"-",INDEX('I1 - Universal Data'!$E$16:$V$16, MATCH(YEAR(EOMONTH($A170,6)), 'I1 - Universal Data'!$E$14:$V$14, 0)))</f>
        <v>-</v>
      </c>
      <c r="F170" s="1116" t="str">
        <f>IF($A170&lt;DATE(2018,7,1),"-",INDEX('I1 - Universal Data'!$E$15:$V$15, MATCH(YEAR(EOMONTH($A170,6)), 'I1 - Universal Data'!$E$14:$V$14, 0)))</f>
        <v>-</v>
      </c>
      <c r="G170" s="1117">
        <f t="shared" si="16"/>
        <v>97.3</v>
      </c>
      <c r="H170" s="1117">
        <f t="shared" si="16"/>
        <v>246.8</v>
      </c>
      <c r="U170" s="1105"/>
    </row>
    <row r="171" spans="1:21">
      <c r="A171" s="1114">
        <f t="shared" si="14"/>
        <v>41305</v>
      </c>
      <c r="B171" s="1115">
        <f t="shared" si="12"/>
        <v>2013</v>
      </c>
      <c r="C171" s="1283">
        <v>97</v>
      </c>
      <c r="D171" s="1283">
        <v>245.8</v>
      </c>
      <c r="E171" s="1116" t="str">
        <f>IF($A171&lt;DATE(2018,7,1),"-",INDEX('I1 - Universal Data'!$E$16:$V$16, MATCH(YEAR(EOMONTH($A171,6)), 'I1 - Universal Data'!$E$14:$V$14, 0)))</f>
        <v>-</v>
      </c>
      <c r="F171" s="1116" t="str">
        <f>IF($A171&lt;DATE(2018,7,1),"-",INDEX('I1 - Universal Data'!$E$15:$V$15, MATCH(YEAR(EOMONTH($A171,6)), 'I1 - Universal Data'!$E$14:$V$14, 0)))</f>
        <v>-</v>
      </c>
      <c r="G171" s="1117">
        <f t="shared" si="16"/>
        <v>97</v>
      </c>
      <c r="H171" s="1117">
        <f t="shared" si="16"/>
        <v>245.8</v>
      </c>
      <c r="U171" s="1105"/>
    </row>
    <row r="172" spans="1:21">
      <c r="A172" s="1114">
        <f t="shared" si="14"/>
        <v>41333</v>
      </c>
      <c r="B172" s="1115">
        <f t="shared" si="12"/>
        <v>2013</v>
      </c>
      <c r="C172" s="1283">
        <v>97.5</v>
      </c>
      <c r="D172" s="1283">
        <v>247.6</v>
      </c>
      <c r="E172" s="1116" t="str">
        <f>IF($A172&lt;DATE(2018,7,1),"-",INDEX('I1 - Universal Data'!$E$16:$V$16, MATCH(YEAR(EOMONTH($A172,6)), 'I1 - Universal Data'!$E$14:$V$14, 0)))</f>
        <v>-</v>
      </c>
      <c r="F172" s="1116" t="str">
        <f>IF($A172&lt;DATE(2018,7,1),"-",INDEX('I1 - Universal Data'!$E$15:$V$15, MATCH(YEAR(EOMONTH($A172,6)), 'I1 - Universal Data'!$E$14:$V$14, 0)))</f>
        <v>-</v>
      </c>
      <c r="G172" s="1117">
        <f t="shared" si="16"/>
        <v>97.5</v>
      </c>
      <c r="H172" s="1117">
        <f t="shared" si="16"/>
        <v>247.6</v>
      </c>
      <c r="U172" s="1105"/>
    </row>
    <row r="173" spans="1:21">
      <c r="A173" s="1114">
        <f t="shared" si="14"/>
        <v>41364</v>
      </c>
      <c r="B173" s="1115">
        <f t="shared" si="12"/>
        <v>2013</v>
      </c>
      <c r="C173" s="1283">
        <v>97.8</v>
      </c>
      <c r="D173" s="1283">
        <v>248.7</v>
      </c>
      <c r="E173" s="1116" t="str">
        <f>IF($A173&lt;DATE(2018,7,1),"-",INDEX('I1 - Universal Data'!$E$16:$V$16, MATCH(YEAR(EOMONTH($A173,6)), 'I1 - Universal Data'!$E$14:$V$14, 0)))</f>
        <v>-</v>
      </c>
      <c r="F173" s="1116" t="str">
        <f>IF($A173&lt;DATE(2018,7,1),"-",INDEX('I1 - Universal Data'!$E$15:$V$15, MATCH(YEAR(EOMONTH($A173,6)), 'I1 - Universal Data'!$E$14:$V$14, 0)))</f>
        <v>-</v>
      </c>
      <c r="G173" s="1117">
        <f t="shared" si="16"/>
        <v>97.8</v>
      </c>
      <c r="H173" s="1117">
        <f t="shared" si="16"/>
        <v>248.7</v>
      </c>
      <c r="U173" s="1105"/>
    </row>
    <row r="174" spans="1:21">
      <c r="A174" s="1114">
        <f t="shared" si="14"/>
        <v>41394</v>
      </c>
      <c r="B174" s="1115">
        <f t="shared" si="12"/>
        <v>2014</v>
      </c>
      <c r="C174" s="1283">
        <v>98</v>
      </c>
      <c r="D174" s="1283">
        <v>249.5</v>
      </c>
      <c r="E174" s="1116" t="str">
        <f>IF($A174&lt;DATE(2018,7,1),"-",INDEX('I1 - Universal Data'!$E$16:$V$16, MATCH(YEAR(EOMONTH($A174,6)), 'I1 - Universal Data'!$E$14:$V$14, 0)))</f>
        <v>-</v>
      </c>
      <c r="F174" s="1116" t="str">
        <f>IF($A174&lt;DATE(2018,7,1),"-",INDEX('I1 - Universal Data'!$E$15:$V$15, MATCH(YEAR(EOMONTH($A174,6)), 'I1 - Universal Data'!$E$14:$V$14, 0)))</f>
        <v>-</v>
      </c>
      <c r="G174" s="1117">
        <f t="shared" si="16"/>
        <v>98</v>
      </c>
      <c r="H174" s="1117">
        <f t="shared" si="16"/>
        <v>249.5</v>
      </c>
      <c r="U174" s="1105"/>
    </row>
    <row r="175" spans="1:21">
      <c r="A175" s="1114">
        <f t="shared" si="14"/>
        <v>41425</v>
      </c>
      <c r="B175" s="1115">
        <f t="shared" si="12"/>
        <v>2014</v>
      </c>
      <c r="C175" s="1283">
        <v>98.2</v>
      </c>
      <c r="D175" s="1283">
        <v>250</v>
      </c>
      <c r="E175" s="1116" t="str">
        <f>IF($A175&lt;DATE(2018,7,1),"-",INDEX('I1 - Universal Data'!$E$16:$V$16, MATCH(YEAR(EOMONTH($A175,6)), 'I1 - Universal Data'!$E$14:$V$14, 0)))</f>
        <v>-</v>
      </c>
      <c r="F175" s="1116" t="str">
        <f>IF($A175&lt;DATE(2018,7,1),"-",INDEX('I1 - Universal Data'!$E$15:$V$15, MATCH(YEAR(EOMONTH($A175,6)), 'I1 - Universal Data'!$E$14:$V$14, 0)))</f>
        <v>-</v>
      </c>
      <c r="G175" s="1117">
        <f t="shared" si="16"/>
        <v>98.2</v>
      </c>
      <c r="H175" s="1117">
        <f t="shared" si="16"/>
        <v>250</v>
      </c>
      <c r="U175" s="1105"/>
    </row>
    <row r="176" spans="1:21">
      <c r="A176" s="1114">
        <f t="shared" si="14"/>
        <v>41455</v>
      </c>
      <c r="B176" s="1115">
        <f t="shared" si="12"/>
        <v>2014</v>
      </c>
      <c r="C176" s="1283">
        <v>98</v>
      </c>
      <c r="D176" s="1283">
        <v>249.7</v>
      </c>
      <c r="E176" s="1116" t="str">
        <f>IF($A176&lt;DATE(2018,7,1),"-",INDEX('I1 - Universal Data'!$E$16:$V$16, MATCH(YEAR(EOMONTH($A176,6)), 'I1 - Universal Data'!$E$14:$V$14, 0)))</f>
        <v>-</v>
      </c>
      <c r="F176" s="1116" t="str">
        <f>IF($A176&lt;DATE(2018,7,1),"-",INDEX('I1 - Universal Data'!$E$15:$V$15, MATCH(YEAR(EOMONTH($A176,6)), 'I1 - Universal Data'!$E$14:$V$14, 0)))</f>
        <v>-</v>
      </c>
      <c r="G176" s="1117">
        <f t="shared" si="16"/>
        <v>98</v>
      </c>
      <c r="H176" s="1117">
        <f t="shared" si="16"/>
        <v>249.7</v>
      </c>
      <c r="U176" s="1105"/>
    </row>
    <row r="177" spans="1:21">
      <c r="A177" s="1114">
        <f t="shared" si="14"/>
        <v>41486</v>
      </c>
      <c r="B177" s="1115">
        <f t="shared" si="12"/>
        <v>2014</v>
      </c>
      <c r="C177" s="1283">
        <v>98</v>
      </c>
      <c r="D177" s="1283">
        <v>249.7</v>
      </c>
      <c r="E177" s="1116" t="str">
        <f>IF($A177&lt;DATE(2018,7,1),"-",INDEX('I1 - Universal Data'!$E$16:$V$16, MATCH(YEAR(EOMONTH($A177,6)), 'I1 - Universal Data'!$E$14:$V$14, 0)))</f>
        <v>-</v>
      </c>
      <c r="F177" s="1116" t="str">
        <f>IF($A177&lt;DATE(2018,7,1),"-",INDEX('I1 - Universal Data'!$E$15:$V$15, MATCH(YEAR(EOMONTH($A177,6)), 'I1 - Universal Data'!$E$14:$V$14, 0)))</f>
        <v>-</v>
      </c>
      <c r="G177" s="1117">
        <f t="shared" si="16"/>
        <v>98</v>
      </c>
      <c r="H177" s="1117">
        <f t="shared" si="16"/>
        <v>249.7</v>
      </c>
      <c r="U177" s="1105"/>
    </row>
    <row r="178" spans="1:21">
      <c r="A178" s="1114">
        <f t="shared" si="14"/>
        <v>41517</v>
      </c>
      <c r="B178" s="1115">
        <f t="shared" si="12"/>
        <v>2014</v>
      </c>
      <c r="C178" s="1283">
        <v>98.4</v>
      </c>
      <c r="D178" s="1283">
        <v>251</v>
      </c>
      <c r="E178" s="1116" t="str">
        <f>IF($A178&lt;DATE(2018,7,1),"-",INDEX('I1 - Universal Data'!$E$16:$V$16, MATCH(YEAR(EOMONTH($A178,6)), 'I1 - Universal Data'!$E$14:$V$14, 0)))</f>
        <v>-</v>
      </c>
      <c r="F178" s="1116" t="str">
        <f>IF($A178&lt;DATE(2018,7,1),"-",INDEX('I1 - Universal Data'!$E$15:$V$15, MATCH(YEAR(EOMONTH($A178,6)), 'I1 - Universal Data'!$E$14:$V$14, 0)))</f>
        <v>-</v>
      </c>
      <c r="G178" s="1117">
        <f t="shared" si="16"/>
        <v>98.4</v>
      </c>
      <c r="H178" s="1117">
        <f t="shared" si="16"/>
        <v>251</v>
      </c>
      <c r="U178" s="1105"/>
    </row>
    <row r="179" spans="1:21">
      <c r="A179" s="1114">
        <f t="shared" si="14"/>
        <v>41547</v>
      </c>
      <c r="B179" s="1115">
        <f t="shared" si="12"/>
        <v>2014</v>
      </c>
      <c r="C179" s="1283">
        <v>98.7</v>
      </c>
      <c r="D179" s="1283">
        <v>251.9</v>
      </c>
      <c r="E179" s="1116" t="str">
        <f>IF($A179&lt;DATE(2018,7,1),"-",INDEX('I1 - Universal Data'!$E$16:$V$16, MATCH(YEAR(EOMONTH($A179,6)), 'I1 - Universal Data'!$E$14:$V$14, 0)))</f>
        <v>-</v>
      </c>
      <c r="F179" s="1116" t="str">
        <f>IF($A179&lt;DATE(2018,7,1),"-",INDEX('I1 - Universal Data'!$E$15:$V$15, MATCH(YEAR(EOMONTH($A179,6)), 'I1 - Universal Data'!$E$14:$V$14, 0)))</f>
        <v>-</v>
      </c>
      <c r="G179" s="1117">
        <f t="shared" si="16"/>
        <v>98.7</v>
      </c>
      <c r="H179" s="1117">
        <f t="shared" si="16"/>
        <v>251.9</v>
      </c>
      <c r="U179" s="1105"/>
    </row>
    <row r="180" spans="1:21">
      <c r="A180" s="1114">
        <f t="shared" si="14"/>
        <v>41578</v>
      </c>
      <c r="B180" s="1115">
        <f t="shared" si="12"/>
        <v>2014</v>
      </c>
      <c r="C180" s="1283">
        <v>98.8</v>
      </c>
      <c r="D180" s="1283">
        <v>251.9</v>
      </c>
      <c r="E180" s="1116" t="str">
        <f>IF($A180&lt;DATE(2018,7,1),"-",INDEX('I1 - Universal Data'!$E$16:$V$16, MATCH(YEAR(EOMONTH($A180,6)), 'I1 - Universal Data'!$E$14:$V$14, 0)))</f>
        <v>-</v>
      </c>
      <c r="F180" s="1116" t="str">
        <f>IF($A180&lt;DATE(2018,7,1),"-",INDEX('I1 - Universal Data'!$E$15:$V$15, MATCH(YEAR(EOMONTH($A180,6)), 'I1 - Universal Data'!$E$14:$V$14, 0)))</f>
        <v>-</v>
      </c>
      <c r="G180" s="1117">
        <f t="shared" si="16"/>
        <v>98.8</v>
      </c>
      <c r="H180" s="1117">
        <f t="shared" si="16"/>
        <v>251.9</v>
      </c>
      <c r="U180" s="1105"/>
    </row>
    <row r="181" spans="1:21">
      <c r="A181" s="1114">
        <f t="shared" si="14"/>
        <v>41608</v>
      </c>
      <c r="B181" s="1115">
        <f t="shared" si="12"/>
        <v>2014</v>
      </c>
      <c r="C181" s="1283">
        <v>98.8</v>
      </c>
      <c r="D181" s="1283">
        <v>252.1</v>
      </c>
      <c r="E181" s="1116" t="str">
        <f>IF($A181&lt;DATE(2018,7,1),"-",INDEX('I1 - Universal Data'!$E$16:$V$16, MATCH(YEAR(EOMONTH($A181,6)), 'I1 - Universal Data'!$E$14:$V$14, 0)))</f>
        <v>-</v>
      </c>
      <c r="F181" s="1116" t="str">
        <f>IF($A181&lt;DATE(2018,7,1),"-",INDEX('I1 - Universal Data'!$E$15:$V$15, MATCH(YEAR(EOMONTH($A181,6)), 'I1 - Universal Data'!$E$14:$V$14, 0)))</f>
        <v>-</v>
      </c>
      <c r="G181" s="1117">
        <f t="shared" si="16"/>
        <v>98.8</v>
      </c>
      <c r="H181" s="1117">
        <f t="shared" si="16"/>
        <v>252.1</v>
      </c>
      <c r="U181" s="1105"/>
    </row>
    <row r="182" spans="1:21">
      <c r="A182" s="1114">
        <f t="shared" si="14"/>
        <v>41639</v>
      </c>
      <c r="B182" s="1115">
        <f t="shared" si="12"/>
        <v>2014</v>
      </c>
      <c r="C182" s="1283">
        <v>99.2</v>
      </c>
      <c r="D182" s="1283">
        <v>253.4</v>
      </c>
      <c r="E182" s="1116" t="str">
        <f>IF($A182&lt;DATE(2018,7,1),"-",INDEX('I1 - Universal Data'!$E$16:$V$16, MATCH(YEAR(EOMONTH($A182,6)), 'I1 - Universal Data'!$E$14:$V$14, 0)))</f>
        <v>-</v>
      </c>
      <c r="F182" s="1116" t="str">
        <f>IF($A182&lt;DATE(2018,7,1),"-",INDEX('I1 - Universal Data'!$E$15:$V$15, MATCH(YEAR(EOMONTH($A182,6)), 'I1 - Universal Data'!$E$14:$V$14, 0)))</f>
        <v>-</v>
      </c>
      <c r="G182" s="1117">
        <f t="shared" ref="G182:H197" si="17">IF(ISBLANK(C182),G181*((1+E182)^(1/12)),C182)</f>
        <v>99.2</v>
      </c>
      <c r="H182" s="1117">
        <f t="shared" si="17"/>
        <v>253.4</v>
      </c>
      <c r="U182" s="1105"/>
    </row>
    <row r="183" spans="1:21">
      <c r="A183" s="1114">
        <f t="shared" si="14"/>
        <v>41670</v>
      </c>
      <c r="B183" s="1115">
        <f t="shared" si="12"/>
        <v>2014</v>
      </c>
      <c r="C183" s="1283">
        <v>98.7</v>
      </c>
      <c r="D183" s="1283">
        <v>252.6</v>
      </c>
      <c r="E183" s="1116" t="str">
        <f>IF($A183&lt;DATE(2018,7,1),"-",INDEX('I1 - Universal Data'!$E$16:$V$16, MATCH(YEAR(EOMONTH($A183,6)), 'I1 - Universal Data'!$E$14:$V$14, 0)))</f>
        <v>-</v>
      </c>
      <c r="F183" s="1116" t="str">
        <f>IF($A183&lt;DATE(2018,7,1),"-",INDEX('I1 - Universal Data'!$E$15:$V$15, MATCH(YEAR(EOMONTH($A183,6)), 'I1 - Universal Data'!$E$14:$V$14, 0)))</f>
        <v>-</v>
      </c>
      <c r="G183" s="1117">
        <f t="shared" si="17"/>
        <v>98.7</v>
      </c>
      <c r="H183" s="1117">
        <f t="shared" si="17"/>
        <v>252.6</v>
      </c>
      <c r="U183" s="1105"/>
    </row>
    <row r="184" spans="1:21">
      <c r="A184" s="1114">
        <f t="shared" si="14"/>
        <v>41698</v>
      </c>
      <c r="B184" s="1115">
        <f t="shared" si="12"/>
        <v>2014</v>
      </c>
      <c r="C184" s="1283">
        <v>99.1</v>
      </c>
      <c r="D184" s="1283">
        <v>254.2</v>
      </c>
      <c r="E184" s="1116" t="str">
        <f>IF($A184&lt;DATE(2018,7,1),"-",INDEX('I1 - Universal Data'!$E$16:$V$16, MATCH(YEAR(EOMONTH($A184,6)), 'I1 - Universal Data'!$E$14:$V$14, 0)))</f>
        <v>-</v>
      </c>
      <c r="F184" s="1116" t="str">
        <f>IF($A184&lt;DATE(2018,7,1),"-",INDEX('I1 - Universal Data'!$E$15:$V$15, MATCH(YEAR(EOMONTH($A184,6)), 'I1 - Universal Data'!$E$14:$V$14, 0)))</f>
        <v>-</v>
      </c>
      <c r="G184" s="1117">
        <f t="shared" si="17"/>
        <v>99.1</v>
      </c>
      <c r="H184" s="1117">
        <f t="shared" si="17"/>
        <v>254.2</v>
      </c>
      <c r="U184" s="1105"/>
    </row>
    <row r="185" spans="1:21">
      <c r="A185" s="1114">
        <f t="shared" si="14"/>
        <v>41729</v>
      </c>
      <c r="B185" s="1115">
        <f t="shared" si="12"/>
        <v>2014</v>
      </c>
      <c r="C185" s="1283">
        <v>99.3</v>
      </c>
      <c r="D185" s="1283">
        <v>254.8</v>
      </c>
      <c r="E185" s="1116" t="str">
        <f>IF($A185&lt;DATE(2018,7,1),"-",INDEX('I1 - Universal Data'!$E$16:$V$16, MATCH(YEAR(EOMONTH($A185,6)), 'I1 - Universal Data'!$E$14:$V$14, 0)))</f>
        <v>-</v>
      </c>
      <c r="F185" s="1116" t="str">
        <f>IF($A185&lt;DATE(2018,7,1),"-",INDEX('I1 - Universal Data'!$E$15:$V$15, MATCH(YEAR(EOMONTH($A185,6)), 'I1 - Universal Data'!$E$14:$V$14, 0)))</f>
        <v>-</v>
      </c>
      <c r="G185" s="1117">
        <f t="shared" si="17"/>
        <v>99.3</v>
      </c>
      <c r="H185" s="1117">
        <f t="shared" si="17"/>
        <v>254.8</v>
      </c>
      <c r="U185" s="1105"/>
    </row>
    <row r="186" spans="1:21">
      <c r="A186" s="1114">
        <f t="shared" si="14"/>
        <v>41759</v>
      </c>
      <c r="B186" s="1115">
        <f t="shared" si="12"/>
        <v>2015</v>
      </c>
      <c r="C186" s="1283">
        <v>99.6</v>
      </c>
      <c r="D186" s="1283">
        <v>255.7</v>
      </c>
      <c r="E186" s="1116" t="str">
        <f>IF($A186&lt;DATE(2018,7,1),"-",INDEX('I1 - Universal Data'!$E$16:$V$16, MATCH(YEAR(EOMONTH($A186,6)), 'I1 - Universal Data'!$E$14:$V$14, 0)))</f>
        <v>-</v>
      </c>
      <c r="F186" s="1116" t="str">
        <f>IF($A186&lt;DATE(2018,7,1),"-",INDEX('I1 - Universal Data'!$E$15:$V$15, MATCH(YEAR(EOMONTH($A186,6)), 'I1 - Universal Data'!$E$14:$V$14, 0)))</f>
        <v>-</v>
      </c>
      <c r="G186" s="1117">
        <f t="shared" si="17"/>
        <v>99.6</v>
      </c>
      <c r="H186" s="1117">
        <f t="shared" si="17"/>
        <v>255.7</v>
      </c>
      <c r="U186" s="1105"/>
    </row>
    <row r="187" spans="1:21">
      <c r="A187" s="1114">
        <f t="shared" si="14"/>
        <v>41790</v>
      </c>
      <c r="B187" s="1115">
        <f t="shared" si="12"/>
        <v>2015</v>
      </c>
      <c r="C187" s="1283">
        <v>99.6</v>
      </c>
      <c r="D187" s="1283">
        <v>255.9</v>
      </c>
      <c r="E187" s="1116" t="str">
        <f>IF($A187&lt;DATE(2018,7,1),"-",INDEX('I1 - Universal Data'!$E$16:$V$16, MATCH(YEAR(EOMONTH($A187,6)), 'I1 - Universal Data'!$E$14:$V$14, 0)))</f>
        <v>-</v>
      </c>
      <c r="F187" s="1116" t="str">
        <f>IF($A187&lt;DATE(2018,7,1),"-",INDEX('I1 - Universal Data'!$E$15:$V$15, MATCH(YEAR(EOMONTH($A187,6)), 'I1 - Universal Data'!$E$14:$V$14, 0)))</f>
        <v>-</v>
      </c>
      <c r="G187" s="1117">
        <f t="shared" si="17"/>
        <v>99.6</v>
      </c>
      <c r="H187" s="1117">
        <f t="shared" si="17"/>
        <v>255.9</v>
      </c>
      <c r="U187" s="1105"/>
    </row>
    <row r="188" spans="1:21">
      <c r="A188" s="1114">
        <f t="shared" si="14"/>
        <v>41820</v>
      </c>
      <c r="B188" s="1115">
        <f t="shared" si="12"/>
        <v>2015</v>
      </c>
      <c r="C188" s="1283">
        <v>99.8</v>
      </c>
      <c r="D188" s="1283">
        <v>256.3</v>
      </c>
      <c r="E188" s="1116" t="str">
        <f>IF($A188&lt;DATE(2018,7,1),"-",INDEX('I1 - Universal Data'!$E$16:$V$16, MATCH(YEAR(EOMONTH($A188,6)), 'I1 - Universal Data'!$E$14:$V$14, 0)))</f>
        <v>-</v>
      </c>
      <c r="F188" s="1116" t="str">
        <f>IF($A188&lt;DATE(2018,7,1),"-",INDEX('I1 - Universal Data'!$E$15:$V$15, MATCH(YEAR(EOMONTH($A188,6)), 'I1 - Universal Data'!$E$14:$V$14, 0)))</f>
        <v>-</v>
      </c>
      <c r="G188" s="1117">
        <f t="shared" si="17"/>
        <v>99.8</v>
      </c>
      <c r="H188" s="1117">
        <f t="shared" si="17"/>
        <v>256.3</v>
      </c>
      <c r="U188" s="1105"/>
    </row>
    <row r="189" spans="1:21">
      <c r="A189" s="1114">
        <f t="shared" si="14"/>
        <v>41851</v>
      </c>
      <c r="B189" s="1115">
        <f t="shared" si="12"/>
        <v>2015</v>
      </c>
      <c r="C189" s="1283">
        <v>99.6</v>
      </c>
      <c r="D189" s="1283">
        <v>256</v>
      </c>
      <c r="E189" s="1116" t="str">
        <f>IF($A189&lt;DATE(2018,7,1),"-",INDEX('I1 - Universal Data'!$E$16:$V$16, MATCH(YEAR(EOMONTH($A189,6)), 'I1 - Universal Data'!$E$14:$V$14, 0)))</f>
        <v>-</v>
      </c>
      <c r="F189" s="1116" t="str">
        <f>IF($A189&lt;DATE(2018,7,1),"-",INDEX('I1 - Universal Data'!$E$15:$V$15, MATCH(YEAR(EOMONTH($A189,6)), 'I1 - Universal Data'!$E$14:$V$14, 0)))</f>
        <v>-</v>
      </c>
      <c r="G189" s="1117">
        <f t="shared" si="17"/>
        <v>99.6</v>
      </c>
      <c r="H189" s="1117">
        <f t="shared" si="17"/>
        <v>256</v>
      </c>
      <c r="U189" s="1105"/>
    </row>
    <row r="190" spans="1:21">
      <c r="A190" s="1114">
        <f t="shared" si="14"/>
        <v>41882</v>
      </c>
      <c r="B190" s="1115">
        <f t="shared" si="12"/>
        <v>2015</v>
      </c>
      <c r="C190" s="1283">
        <v>99.9</v>
      </c>
      <c r="D190" s="1283">
        <v>257</v>
      </c>
      <c r="E190" s="1116" t="str">
        <f>IF($A190&lt;DATE(2018,7,1),"-",INDEX('I1 - Universal Data'!$E$16:$V$16, MATCH(YEAR(EOMONTH($A190,6)), 'I1 - Universal Data'!$E$14:$V$14, 0)))</f>
        <v>-</v>
      </c>
      <c r="F190" s="1116" t="str">
        <f>IF($A190&lt;DATE(2018,7,1),"-",INDEX('I1 - Universal Data'!$E$15:$V$15, MATCH(YEAR(EOMONTH($A190,6)), 'I1 - Universal Data'!$E$14:$V$14, 0)))</f>
        <v>-</v>
      </c>
      <c r="G190" s="1117">
        <f t="shared" si="17"/>
        <v>99.9</v>
      </c>
      <c r="H190" s="1117">
        <f t="shared" si="17"/>
        <v>257</v>
      </c>
      <c r="U190" s="1105"/>
    </row>
    <row r="191" spans="1:21">
      <c r="A191" s="1114">
        <f t="shared" si="14"/>
        <v>41912</v>
      </c>
      <c r="B191" s="1115">
        <f t="shared" si="12"/>
        <v>2015</v>
      </c>
      <c r="C191" s="1283">
        <v>100</v>
      </c>
      <c r="D191" s="1283">
        <v>257.60000000000002</v>
      </c>
      <c r="E191" s="1116" t="str">
        <f>IF($A191&lt;DATE(2018,7,1),"-",INDEX('I1 - Universal Data'!$E$16:$V$16, MATCH(YEAR(EOMONTH($A191,6)), 'I1 - Universal Data'!$E$14:$V$14, 0)))</f>
        <v>-</v>
      </c>
      <c r="F191" s="1116" t="str">
        <f>IF($A191&lt;DATE(2018,7,1),"-",INDEX('I1 - Universal Data'!$E$15:$V$15, MATCH(YEAR(EOMONTH($A191,6)), 'I1 - Universal Data'!$E$14:$V$14, 0)))</f>
        <v>-</v>
      </c>
      <c r="G191" s="1117">
        <f t="shared" si="17"/>
        <v>100</v>
      </c>
      <c r="H191" s="1117">
        <f t="shared" si="17"/>
        <v>257.60000000000002</v>
      </c>
      <c r="U191" s="1105"/>
    </row>
    <row r="192" spans="1:21">
      <c r="A192" s="1114">
        <f t="shared" si="14"/>
        <v>41943</v>
      </c>
      <c r="B192" s="1115">
        <f t="shared" si="12"/>
        <v>2015</v>
      </c>
      <c r="C192" s="1283">
        <v>100.1</v>
      </c>
      <c r="D192" s="1283">
        <v>257.7</v>
      </c>
      <c r="E192" s="1116" t="str">
        <f>IF($A192&lt;DATE(2018,7,1),"-",INDEX('I1 - Universal Data'!$E$16:$V$16, MATCH(YEAR(EOMONTH($A192,6)), 'I1 - Universal Data'!$E$14:$V$14, 0)))</f>
        <v>-</v>
      </c>
      <c r="F192" s="1116" t="str">
        <f>IF($A192&lt;DATE(2018,7,1),"-",INDEX('I1 - Universal Data'!$E$15:$V$15, MATCH(YEAR(EOMONTH($A192,6)), 'I1 - Universal Data'!$E$14:$V$14, 0)))</f>
        <v>-</v>
      </c>
      <c r="G192" s="1117">
        <f t="shared" si="17"/>
        <v>100.1</v>
      </c>
      <c r="H192" s="1117">
        <f t="shared" si="17"/>
        <v>257.7</v>
      </c>
      <c r="U192" s="1105"/>
    </row>
    <row r="193" spans="1:21">
      <c r="A193" s="1114">
        <f t="shared" si="14"/>
        <v>41973</v>
      </c>
      <c r="B193" s="1115">
        <f t="shared" si="12"/>
        <v>2015</v>
      </c>
      <c r="C193" s="1283">
        <v>99.9</v>
      </c>
      <c r="D193" s="1283">
        <v>257.10000000000002</v>
      </c>
      <c r="E193" s="1116" t="str">
        <f>IF($A193&lt;DATE(2018,7,1),"-",INDEX('I1 - Universal Data'!$E$16:$V$16, MATCH(YEAR(EOMONTH($A193,6)), 'I1 - Universal Data'!$E$14:$V$14, 0)))</f>
        <v>-</v>
      </c>
      <c r="F193" s="1116" t="str">
        <f>IF($A193&lt;DATE(2018,7,1),"-",INDEX('I1 - Universal Data'!$E$15:$V$15, MATCH(YEAR(EOMONTH($A193,6)), 'I1 - Universal Data'!$E$14:$V$14, 0)))</f>
        <v>-</v>
      </c>
      <c r="G193" s="1117">
        <f t="shared" si="17"/>
        <v>99.9</v>
      </c>
      <c r="H193" s="1117">
        <f t="shared" si="17"/>
        <v>257.10000000000002</v>
      </c>
      <c r="U193" s="1105"/>
    </row>
    <row r="194" spans="1:21">
      <c r="A194" s="1114">
        <f t="shared" si="14"/>
        <v>42004</v>
      </c>
      <c r="B194" s="1115">
        <f t="shared" si="12"/>
        <v>2015</v>
      </c>
      <c r="C194" s="1283">
        <v>99.9</v>
      </c>
      <c r="D194" s="1283">
        <v>257.5</v>
      </c>
      <c r="E194" s="1116" t="str">
        <f>IF($A194&lt;DATE(2018,7,1),"-",INDEX('I1 - Universal Data'!$E$16:$V$16, MATCH(YEAR(EOMONTH($A194,6)), 'I1 - Universal Data'!$E$14:$V$14, 0)))</f>
        <v>-</v>
      </c>
      <c r="F194" s="1116" t="str">
        <f>IF($A194&lt;DATE(2018,7,1),"-",INDEX('I1 - Universal Data'!$E$15:$V$15, MATCH(YEAR(EOMONTH($A194,6)), 'I1 - Universal Data'!$E$14:$V$14, 0)))</f>
        <v>-</v>
      </c>
      <c r="G194" s="1117">
        <f t="shared" si="17"/>
        <v>99.9</v>
      </c>
      <c r="H194" s="1117">
        <f t="shared" si="17"/>
        <v>257.5</v>
      </c>
      <c r="U194" s="1105"/>
    </row>
    <row r="195" spans="1:21">
      <c r="A195" s="1114">
        <f t="shared" si="14"/>
        <v>42035</v>
      </c>
      <c r="B195" s="1115">
        <f t="shared" si="12"/>
        <v>2015</v>
      </c>
      <c r="C195" s="1283">
        <v>99.2</v>
      </c>
      <c r="D195" s="1283">
        <v>255.4</v>
      </c>
      <c r="E195" s="1116" t="str">
        <f>IF($A195&lt;DATE(2018,7,1),"-",INDEX('I1 - Universal Data'!$E$16:$V$16, MATCH(YEAR(EOMONTH($A195,6)), 'I1 - Universal Data'!$E$14:$V$14, 0)))</f>
        <v>-</v>
      </c>
      <c r="F195" s="1116" t="str">
        <f>IF($A195&lt;DATE(2018,7,1),"-",INDEX('I1 - Universal Data'!$E$15:$V$15, MATCH(YEAR(EOMONTH($A195,6)), 'I1 - Universal Data'!$E$14:$V$14, 0)))</f>
        <v>-</v>
      </c>
      <c r="G195" s="1117">
        <f t="shared" si="17"/>
        <v>99.2</v>
      </c>
      <c r="H195" s="1117">
        <f t="shared" si="17"/>
        <v>255.4</v>
      </c>
      <c r="U195" s="1105"/>
    </row>
    <row r="196" spans="1:21">
      <c r="A196" s="1114">
        <f t="shared" si="14"/>
        <v>42063</v>
      </c>
      <c r="B196" s="1115">
        <f t="shared" si="12"/>
        <v>2015</v>
      </c>
      <c r="C196" s="1283">
        <v>99.5</v>
      </c>
      <c r="D196" s="1283">
        <v>256.7</v>
      </c>
      <c r="E196" s="1116" t="str">
        <f>IF($A196&lt;DATE(2018,7,1),"-",INDEX('I1 - Universal Data'!$E$16:$V$16, MATCH(YEAR(EOMONTH($A196,6)), 'I1 - Universal Data'!$E$14:$V$14, 0)))</f>
        <v>-</v>
      </c>
      <c r="F196" s="1116" t="str">
        <f>IF($A196&lt;DATE(2018,7,1),"-",INDEX('I1 - Universal Data'!$E$15:$V$15, MATCH(YEAR(EOMONTH($A196,6)), 'I1 - Universal Data'!$E$14:$V$14, 0)))</f>
        <v>-</v>
      </c>
      <c r="G196" s="1117">
        <f t="shared" si="17"/>
        <v>99.5</v>
      </c>
      <c r="H196" s="1117">
        <f t="shared" si="17"/>
        <v>256.7</v>
      </c>
      <c r="U196" s="1105"/>
    </row>
    <row r="197" spans="1:21">
      <c r="A197" s="1114">
        <f t="shared" si="14"/>
        <v>42094</v>
      </c>
      <c r="B197" s="1115">
        <f t="shared" si="12"/>
        <v>2015</v>
      </c>
      <c r="C197" s="1283">
        <v>99.6</v>
      </c>
      <c r="D197" s="1283">
        <v>257.10000000000002</v>
      </c>
      <c r="E197" s="1116" t="str">
        <f>IF($A197&lt;DATE(2018,7,1),"-",INDEX('I1 - Universal Data'!$E$16:$V$16, MATCH(YEAR(EOMONTH($A197,6)), 'I1 - Universal Data'!$E$14:$V$14, 0)))</f>
        <v>-</v>
      </c>
      <c r="F197" s="1116" t="str">
        <f>IF($A197&lt;DATE(2018,7,1),"-",INDEX('I1 - Universal Data'!$E$15:$V$15, MATCH(YEAR(EOMONTH($A197,6)), 'I1 - Universal Data'!$E$14:$V$14, 0)))</f>
        <v>-</v>
      </c>
      <c r="G197" s="1117">
        <f t="shared" si="17"/>
        <v>99.6</v>
      </c>
      <c r="H197" s="1117">
        <f t="shared" si="17"/>
        <v>257.10000000000002</v>
      </c>
      <c r="U197" s="1105"/>
    </row>
    <row r="198" spans="1:21">
      <c r="A198" s="1114">
        <f t="shared" si="14"/>
        <v>42124</v>
      </c>
      <c r="B198" s="1115">
        <f t="shared" ref="B198:B261" si="18">IF(MONTH(A198)&gt;=4,YEAR(A198)+1,YEAR(A198))</f>
        <v>2016</v>
      </c>
      <c r="C198" s="1283">
        <v>99.9</v>
      </c>
      <c r="D198" s="1283">
        <v>258</v>
      </c>
      <c r="E198" s="1116" t="str">
        <f>IF($A198&lt;DATE(2018,7,1),"-",INDEX('I1 - Universal Data'!$E$16:$V$16, MATCH(YEAR(EOMONTH($A198,6)), 'I1 - Universal Data'!$E$14:$V$14, 0)))</f>
        <v>-</v>
      </c>
      <c r="F198" s="1116" t="str">
        <f>IF($A198&lt;DATE(2018,7,1),"-",INDEX('I1 - Universal Data'!$E$15:$V$15, MATCH(YEAR(EOMONTH($A198,6)), 'I1 - Universal Data'!$E$14:$V$14, 0)))</f>
        <v>-</v>
      </c>
      <c r="G198" s="1117">
        <f t="shared" ref="G198:H213" si="19">IF(ISBLANK(C198),G197*((1+E198)^(1/12)),C198)</f>
        <v>99.9</v>
      </c>
      <c r="H198" s="1117">
        <f t="shared" si="19"/>
        <v>258</v>
      </c>
      <c r="U198" s="1105"/>
    </row>
    <row r="199" spans="1:21">
      <c r="A199" s="1114">
        <f t="shared" ref="A199:A262" si="20">IF(MONTH(A198) = 12, EOMONTH(DATE(YEAR(A198) + 1, 1, 1), 0), EOMONTH(DATE(YEAR(A198), MONTH(A198) + 1, 1), 0))</f>
        <v>42155</v>
      </c>
      <c r="B199" s="1115">
        <f t="shared" si="18"/>
        <v>2016</v>
      </c>
      <c r="C199" s="1283">
        <v>100.1</v>
      </c>
      <c r="D199" s="1283">
        <v>258.5</v>
      </c>
      <c r="E199" s="1116" t="str">
        <f>IF($A199&lt;DATE(2018,7,1),"-",INDEX('I1 - Universal Data'!$E$16:$V$16, MATCH(YEAR(EOMONTH($A199,6)), 'I1 - Universal Data'!$E$14:$V$14, 0)))</f>
        <v>-</v>
      </c>
      <c r="F199" s="1116" t="str">
        <f>IF($A199&lt;DATE(2018,7,1),"-",INDEX('I1 - Universal Data'!$E$15:$V$15, MATCH(YEAR(EOMONTH($A199,6)), 'I1 - Universal Data'!$E$14:$V$14, 0)))</f>
        <v>-</v>
      </c>
      <c r="G199" s="1117">
        <f t="shared" si="19"/>
        <v>100.1</v>
      </c>
      <c r="H199" s="1117">
        <f t="shared" si="19"/>
        <v>258.5</v>
      </c>
      <c r="U199" s="1105"/>
    </row>
    <row r="200" spans="1:21">
      <c r="A200" s="1114">
        <f t="shared" si="20"/>
        <v>42185</v>
      </c>
      <c r="B200" s="1115">
        <f t="shared" si="18"/>
        <v>2016</v>
      </c>
      <c r="C200" s="1283">
        <v>100.1</v>
      </c>
      <c r="D200" s="1283">
        <v>258.89999999999998</v>
      </c>
      <c r="E200" s="1116" t="str">
        <f>IF($A200&lt;DATE(2018,7,1),"-",INDEX('I1 - Universal Data'!$E$16:$V$16, MATCH(YEAR(EOMONTH($A200,6)), 'I1 - Universal Data'!$E$14:$V$14, 0)))</f>
        <v>-</v>
      </c>
      <c r="F200" s="1116" t="str">
        <f>IF($A200&lt;DATE(2018,7,1),"-",INDEX('I1 - Universal Data'!$E$15:$V$15, MATCH(YEAR(EOMONTH($A200,6)), 'I1 - Universal Data'!$E$14:$V$14, 0)))</f>
        <v>-</v>
      </c>
      <c r="G200" s="1117">
        <f t="shared" si="19"/>
        <v>100.1</v>
      </c>
      <c r="H200" s="1117">
        <f t="shared" si="19"/>
        <v>258.89999999999998</v>
      </c>
      <c r="U200" s="1105"/>
    </row>
    <row r="201" spans="1:21">
      <c r="A201" s="1114">
        <f t="shared" si="20"/>
        <v>42216</v>
      </c>
      <c r="B201" s="1115">
        <f t="shared" si="18"/>
        <v>2016</v>
      </c>
      <c r="C201" s="1283">
        <v>100</v>
      </c>
      <c r="D201" s="1283">
        <v>258.60000000000002</v>
      </c>
      <c r="E201" s="1116" t="str">
        <f>IF($A201&lt;DATE(2018,7,1),"-",INDEX('I1 - Universal Data'!$E$16:$V$16, MATCH(YEAR(EOMONTH($A201,6)), 'I1 - Universal Data'!$E$14:$V$14, 0)))</f>
        <v>-</v>
      </c>
      <c r="F201" s="1116" t="str">
        <f>IF($A201&lt;DATE(2018,7,1),"-",INDEX('I1 - Universal Data'!$E$15:$V$15, MATCH(YEAR(EOMONTH($A201,6)), 'I1 - Universal Data'!$E$14:$V$14, 0)))</f>
        <v>-</v>
      </c>
      <c r="G201" s="1117">
        <f t="shared" si="19"/>
        <v>100</v>
      </c>
      <c r="H201" s="1117">
        <f t="shared" si="19"/>
        <v>258.60000000000002</v>
      </c>
      <c r="U201" s="1105"/>
    </row>
    <row r="202" spans="1:21">
      <c r="A202" s="1114">
        <f t="shared" si="20"/>
        <v>42247</v>
      </c>
      <c r="B202" s="1115">
        <f t="shared" si="18"/>
        <v>2016</v>
      </c>
      <c r="C202" s="1283">
        <v>100.3</v>
      </c>
      <c r="D202" s="1283">
        <v>259.8</v>
      </c>
      <c r="E202" s="1116" t="str">
        <f>IF($A202&lt;DATE(2018,7,1),"-",INDEX('I1 - Universal Data'!$E$16:$V$16, MATCH(YEAR(EOMONTH($A202,6)), 'I1 - Universal Data'!$E$14:$V$14, 0)))</f>
        <v>-</v>
      </c>
      <c r="F202" s="1116" t="str">
        <f>IF($A202&lt;DATE(2018,7,1),"-",INDEX('I1 - Universal Data'!$E$15:$V$15, MATCH(YEAR(EOMONTH($A202,6)), 'I1 - Universal Data'!$E$14:$V$14, 0)))</f>
        <v>-</v>
      </c>
      <c r="G202" s="1117">
        <f t="shared" si="19"/>
        <v>100.3</v>
      </c>
      <c r="H202" s="1117">
        <f t="shared" si="19"/>
        <v>259.8</v>
      </c>
      <c r="U202" s="1105"/>
    </row>
    <row r="203" spans="1:21">
      <c r="A203" s="1114">
        <f t="shared" si="20"/>
        <v>42277</v>
      </c>
      <c r="B203" s="1115">
        <f t="shared" si="18"/>
        <v>2016</v>
      </c>
      <c r="C203" s="1283">
        <v>100.2</v>
      </c>
      <c r="D203" s="1283">
        <v>259.60000000000002</v>
      </c>
      <c r="E203" s="1116" t="str">
        <f>IF($A203&lt;DATE(2018,7,1),"-",INDEX('I1 - Universal Data'!$E$16:$V$16, MATCH(YEAR(EOMONTH($A203,6)), 'I1 - Universal Data'!$E$14:$V$14, 0)))</f>
        <v>-</v>
      </c>
      <c r="F203" s="1116" t="str">
        <f>IF($A203&lt;DATE(2018,7,1),"-",INDEX('I1 - Universal Data'!$E$15:$V$15, MATCH(YEAR(EOMONTH($A203,6)), 'I1 - Universal Data'!$E$14:$V$14, 0)))</f>
        <v>-</v>
      </c>
      <c r="G203" s="1117">
        <f t="shared" si="19"/>
        <v>100.2</v>
      </c>
      <c r="H203" s="1117">
        <f t="shared" si="19"/>
        <v>259.60000000000002</v>
      </c>
      <c r="U203" s="1105"/>
    </row>
    <row r="204" spans="1:21">
      <c r="A204" s="1114">
        <f t="shared" si="20"/>
        <v>42308</v>
      </c>
      <c r="B204" s="1115">
        <f t="shared" si="18"/>
        <v>2016</v>
      </c>
      <c r="C204" s="1283">
        <v>100.3</v>
      </c>
      <c r="D204" s="1283">
        <v>259.5</v>
      </c>
      <c r="E204" s="1116" t="str">
        <f>IF($A204&lt;DATE(2018,7,1),"-",INDEX('I1 - Universal Data'!$E$16:$V$16, MATCH(YEAR(EOMONTH($A204,6)), 'I1 - Universal Data'!$E$14:$V$14, 0)))</f>
        <v>-</v>
      </c>
      <c r="F204" s="1116" t="str">
        <f>IF($A204&lt;DATE(2018,7,1),"-",INDEX('I1 - Universal Data'!$E$15:$V$15, MATCH(YEAR(EOMONTH($A204,6)), 'I1 - Universal Data'!$E$14:$V$14, 0)))</f>
        <v>-</v>
      </c>
      <c r="G204" s="1117">
        <f t="shared" si="19"/>
        <v>100.3</v>
      </c>
      <c r="H204" s="1117">
        <f t="shared" si="19"/>
        <v>259.5</v>
      </c>
      <c r="U204" s="1105"/>
    </row>
    <row r="205" spans="1:21">
      <c r="A205" s="1114">
        <f t="shared" si="20"/>
        <v>42338</v>
      </c>
      <c r="B205" s="1115">
        <f t="shared" si="18"/>
        <v>2016</v>
      </c>
      <c r="C205" s="1283">
        <v>100.3</v>
      </c>
      <c r="D205" s="1283">
        <v>259.8</v>
      </c>
      <c r="E205" s="1116" t="str">
        <f>IF($A205&lt;DATE(2018,7,1),"-",INDEX('I1 - Universal Data'!$E$16:$V$16, MATCH(YEAR(EOMONTH($A205,6)), 'I1 - Universal Data'!$E$14:$V$14, 0)))</f>
        <v>-</v>
      </c>
      <c r="F205" s="1116" t="str">
        <f>IF($A205&lt;DATE(2018,7,1),"-",INDEX('I1 - Universal Data'!$E$15:$V$15, MATCH(YEAR(EOMONTH($A205,6)), 'I1 - Universal Data'!$E$14:$V$14, 0)))</f>
        <v>-</v>
      </c>
      <c r="G205" s="1117">
        <f t="shared" si="19"/>
        <v>100.3</v>
      </c>
      <c r="H205" s="1117">
        <f t="shared" si="19"/>
        <v>259.8</v>
      </c>
      <c r="U205" s="1105"/>
    </row>
    <row r="206" spans="1:21">
      <c r="A206" s="1114">
        <f t="shared" si="20"/>
        <v>42369</v>
      </c>
      <c r="B206" s="1115">
        <f t="shared" si="18"/>
        <v>2016</v>
      </c>
      <c r="C206" s="1283">
        <v>100.4</v>
      </c>
      <c r="D206" s="1283">
        <v>260.60000000000002</v>
      </c>
      <c r="E206" s="1116" t="str">
        <f>IF($A206&lt;DATE(2018,7,1),"-",INDEX('I1 - Universal Data'!$E$16:$V$16, MATCH(YEAR(EOMONTH($A206,6)), 'I1 - Universal Data'!$E$14:$V$14, 0)))</f>
        <v>-</v>
      </c>
      <c r="F206" s="1116" t="str">
        <f>IF($A206&lt;DATE(2018,7,1),"-",INDEX('I1 - Universal Data'!$E$15:$V$15, MATCH(YEAR(EOMONTH($A206,6)), 'I1 - Universal Data'!$E$14:$V$14, 0)))</f>
        <v>-</v>
      </c>
      <c r="G206" s="1117">
        <f t="shared" si="19"/>
        <v>100.4</v>
      </c>
      <c r="H206" s="1117">
        <f t="shared" si="19"/>
        <v>260.60000000000002</v>
      </c>
      <c r="U206" s="1105"/>
    </row>
    <row r="207" spans="1:21">
      <c r="A207" s="1114">
        <f t="shared" si="20"/>
        <v>42400</v>
      </c>
      <c r="B207" s="1115">
        <f t="shared" si="18"/>
        <v>2016</v>
      </c>
      <c r="C207" s="1283">
        <v>99.9</v>
      </c>
      <c r="D207" s="1283">
        <v>258.8</v>
      </c>
      <c r="E207" s="1116" t="str">
        <f>IF($A207&lt;DATE(2018,7,1),"-",INDEX('I1 - Universal Data'!$E$16:$V$16, MATCH(YEAR(EOMONTH($A207,6)), 'I1 - Universal Data'!$E$14:$V$14, 0)))</f>
        <v>-</v>
      </c>
      <c r="F207" s="1116" t="str">
        <f>IF($A207&lt;DATE(2018,7,1),"-",INDEX('I1 - Universal Data'!$E$15:$V$15, MATCH(YEAR(EOMONTH($A207,6)), 'I1 - Universal Data'!$E$14:$V$14, 0)))</f>
        <v>-</v>
      </c>
      <c r="G207" s="1117">
        <f t="shared" si="19"/>
        <v>99.9</v>
      </c>
      <c r="H207" s="1117">
        <f t="shared" si="19"/>
        <v>258.8</v>
      </c>
      <c r="U207" s="1105"/>
    </row>
    <row r="208" spans="1:21">
      <c r="A208" s="1114">
        <f t="shared" si="20"/>
        <v>42429</v>
      </c>
      <c r="B208" s="1115">
        <f t="shared" si="18"/>
        <v>2016</v>
      </c>
      <c r="C208" s="1283">
        <v>100.1</v>
      </c>
      <c r="D208" s="1283">
        <v>260</v>
      </c>
      <c r="E208" s="1116" t="str">
        <f>IF($A208&lt;DATE(2018,7,1),"-",INDEX('I1 - Universal Data'!$E$16:$V$16, MATCH(YEAR(EOMONTH($A208,6)), 'I1 - Universal Data'!$E$14:$V$14, 0)))</f>
        <v>-</v>
      </c>
      <c r="F208" s="1116" t="str">
        <f>IF($A208&lt;DATE(2018,7,1),"-",INDEX('I1 - Universal Data'!$E$15:$V$15, MATCH(YEAR(EOMONTH($A208,6)), 'I1 - Universal Data'!$E$14:$V$14, 0)))</f>
        <v>-</v>
      </c>
      <c r="G208" s="1117">
        <f t="shared" si="19"/>
        <v>100.1</v>
      </c>
      <c r="H208" s="1117">
        <f t="shared" si="19"/>
        <v>260</v>
      </c>
      <c r="U208" s="1105"/>
    </row>
    <row r="209" spans="1:21">
      <c r="A209" s="1114">
        <f t="shared" si="20"/>
        <v>42460</v>
      </c>
      <c r="B209" s="1115">
        <f t="shared" si="18"/>
        <v>2016</v>
      </c>
      <c r="C209" s="1283">
        <v>100.4</v>
      </c>
      <c r="D209" s="1283">
        <v>261.10000000000002</v>
      </c>
      <c r="E209" s="1116" t="str">
        <f>IF($A209&lt;DATE(2018,7,1),"-",INDEX('I1 - Universal Data'!$E$16:$V$16, MATCH(YEAR(EOMONTH($A209,6)), 'I1 - Universal Data'!$E$14:$V$14, 0)))</f>
        <v>-</v>
      </c>
      <c r="F209" s="1116" t="str">
        <f>IF($A209&lt;DATE(2018,7,1),"-",INDEX('I1 - Universal Data'!$E$15:$V$15, MATCH(YEAR(EOMONTH($A209,6)), 'I1 - Universal Data'!$E$14:$V$14, 0)))</f>
        <v>-</v>
      </c>
      <c r="G209" s="1117">
        <f t="shared" si="19"/>
        <v>100.4</v>
      </c>
      <c r="H209" s="1117">
        <f t="shared" si="19"/>
        <v>261.10000000000002</v>
      </c>
      <c r="U209" s="1105"/>
    </row>
    <row r="210" spans="1:21">
      <c r="A210" s="1114">
        <f t="shared" si="20"/>
        <v>42490</v>
      </c>
      <c r="B210" s="1115">
        <f t="shared" si="18"/>
        <v>2017</v>
      </c>
      <c r="C210" s="1283">
        <v>100.6</v>
      </c>
      <c r="D210" s="1283">
        <v>261.39999999999998</v>
      </c>
      <c r="E210" s="1116" t="str">
        <f>IF($A210&lt;DATE(2018,7,1),"-",INDEX('I1 - Universal Data'!$E$16:$V$16, MATCH(YEAR(EOMONTH($A210,6)), 'I1 - Universal Data'!$E$14:$V$14, 0)))</f>
        <v>-</v>
      </c>
      <c r="F210" s="1116" t="str">
        <f>IF($A210&lt;DATE(2018,7,1),"-",INDEX('I1 - Universal Data'!$E$15:$V$15, MATCH(YEAR(EOMONTH($A210,6)), 'I1 - Universal Data'!$E$14:$V$14, 0)))</f>
        <v>-</v>
      </c>
      <c r="G210" s="1117">
        <f t="shared" si="19"/>
        <v>100.6</v>
      </c>
      <c r="H210" s="1117">
        <f t="shared" si="19"/>
        <v>261.39999999999998</v>
      </c>
      <c r="U210" s="1105"/>
    </row>
    <row r="211" spans="1:21">
      <c r="A211" s="1114">
        <f t="shared" si="20"/>
        <v>42521</v>
      </c>
      <c r="B211" s="1115">
        <f t="shared" si="18"/>
        <v>2017</v>
      </c>
      <c r="C211" s="1283">
        <v>100.8</v>
      </c>
      <c r="D211" s="1283">
        <v>262.10000000000002</v>
      </c>
      <c r="E211" s="1116" t="str">
        <f>IF($A211&lt;DATE(2018,7,1),"-",INDEX('I1 - Universal Data'!$E$16:$V$16, MATCH(YEAR(EOMONTH($A211,6)), 'I1 - Universal Data'!$E$14:$V$14, 0)))</f>
        <v>-</v>
      </c>
      <c r="F211" s="1116" t="str">
        <f>IF($A211&lt;DATE(2018,7,1),"-",INDEX('I1 - Universal Data'!$E$15:$V$15, MATCH(YEAR(EOMONTH($A211,6)), 'I1 - Universal Data'!$E$14:$V$14, 0)))</f>
        <v>-</v>
      </c>
      <c r="G211" s="1117">
        <f t="shared" si="19"/>
        <v>100.8</v>
      </c>
      <c r="H211" s="1117">
        <f t="shared" si="19"/>
        <v>262.10000000000002</v>
      </c>
      <c r="U211" s="1105"/>
    </row>
    <row r="212" spans="1:21">
      <c r="A212" s="1114">
        <f t="shared" si="20"/>
        <v>42551</v>
      </c>
      <c r="B212" s="1115">
        <f t="shared" si="18"/>
        <v>2017</v>
      </c>
      <c r="C212" s="1283">
        <v>101</v>
      </c>
      <c r="D212" s="1283">
        <v>263.10000000000002</v>
      </c>
      <c r="E212" s="1116" t="str">
        <f>IF($A212&lt;DATE(2018,7,1),"-",INDEX('I1 - Universal Data'!$E$16:$V$16, MATCH(YEAR(EOMONTH($A212,6)), 'I1 - Universal Data'!$E$14:$V$14, 0)))</f>
        <v>-</v>
      </c>
      <c r="F212" s="1116" t="str">
        <f>IF($A212&lt;DATE(2018,7,1),"-",INDEX('I1 - Universal Data'!$E$15:$V$15, MATCH(YEAR(EOMONTH($A212,6)), 'I1 - Universal Data'!$E$14:$V$14, 0)))</f>
        <v>-</v>
      </c>
      <c r="G212" s="1117">
        <f t="shared" si="19"/>
        <v>101</v>
      </c>
      <c r="H212" s="1117">
        <f t="shared" si="19"/>
        <v>263.10000000000002</v>
      </c>
      <c r="U212" s="1105"/>
    </row>
    <row r="213" spans="1:21">
      <c r="A213" s="1114">
        <f t="shared" si="20"/>
        <v>42582</v>
      </c>
      <c r="B213" s="1115">
        <f t="shared" si="18"/>
        <v>2017</v>
      </c>
      <c r="C213" s="1283">
        <v>100.9</v>
      </c>
      <c r="D213" s="1283">
        <v>263.39999999999998</v>
      </c>
      <c r="E213" s="1116" t="str">
        <f>IF($A213&lt;DATE(2018,7,1),"-",INDEX('I1 - Universal Data'!$E$16:$V$16, MATCH(YEAR(EOMONTH($A213,6)), 'I1 - Universal Data'!$E$14:$V$14, 0)))</f>
        <v>-</v>
      </c>
      <c r="F213" s="1116" t="str">
        <f>IF($A213&lt;DATE(2018,7,1),"-",INDEX('I1 - Universal Data'!$E$15:$V$15, MATCH(YEAR(EOMONTH($A213,6)), 'I1 - Universal Data'!$E$14:$V$14, 0)))</f>
        <v>-</v>
      </c>
      <c r="G213" s="1117">
        <f t="shared" si="19"/>
        <v>100.9</v>
      </c>
      <c r="H213" s="1117">
        <f t="shared" si="19"/>
        <v>263.39999999999998</v>
      </c>
      <c r="U213" s="1105"/>
    </row>
    <row r="214" spans="1:21">
      <c r="A214" s="1114">
        <f t="shared" si="20"/>
        <v>42613</v>
      </c>
      <c r="B214" s="1115">
        <f t="shared" si="18"/>
        <v>2017</v>
      </c>
      <c r="C214" s="1283">
        <v>101.2</v>
      </c>
      <c r="D214" s="1283">
        <v>264.39999999999998</v>
      </c>
      <c r="E214" s="1116" t="str">
        <f>IF($A214&lt;DATE(2018,7,1),"-",INDEX('I1 - Universal Data'!$E$16:$V$16, MATCH(YEAR(EOMONTH($A214,6)), 'I1 - Universal Data'!$E$14:$V$14, 0)))</f>
        <v>-</v>
      </c>
      <c r="F214" s="1116" t="str">
        <f>IF($A214&lt;DATE(2018,7,1),"-",INDEX('I1 - Universal Data'!$E$15:$V$15, MATCH(YEAR(EOMONTH($A214,6)), 'I1 - Universal Data'!$E$14:$V$14, 0)))</f>
        <v>-</v>
      </c>
      <c r="G214" s="1117">
        <f t="shared" ref="G214:H229" si="21">IF(ISBLANK(C214),G213*((1+E214)^(1/12)),C214)</f>
        <v>101.2</v>
      </c>
      <c r="H214" s="1117">
        <f t="shared" si="21"/>
        <v>264.39999999999998</v>
      </c>
      <c r="U214" s="1105"/>
    </row>
    <row r="215" spans="1:21">
      <c r="A215" s="1114">
        <f t="shared" si="20"/>
        <v>42643</v>
      </c>
      <c r="B215" s="1115">
        <f t="shared" si="18"/>
        <v>2017</v>
      </c>
      <c r="C215" s="1283">
        <v>101.5</v>
      </c>
      <c r="D215" s="1283">
        <v>264.89999999999998</v>
      </c>
      <c r="E215" s="1116" t="str">
        <f>IF($A215&lt;DATE(2018,7,1),"-",INDEX('I1 - Universal Data'!$E$16:$V$16, MATCH(YEAR(EOMONTH($A215,6)), 'I1 - Universal Data'!$E$14:$V$14, 0)))</f>
        <v>-</v>
      </c>
      <c r="F215" s="1116" t="str">
        <f>IF($A215&lt;DATE(2018,7,1),"-",INDEX('I1 - Universal Data'!$E$15:$V$15, MATCH(YEAR(EOMONTH($A215,6)), 'I1 - Universal Data'!$E$14:$V$14, 0)))</f>
        <v>-</v>
      </c>
      <c r="G215" s="1117">
        <f t="shared" si="21"/>
        <v>101.5</v>
      </c>
      <c r="H215" s="1117">
        <f t="shared" si="21"/>
        <v>264.89999999999998</v>
      </c>
      <c r="U215" s="1105"/>
    </row>
    <row r="216" spans="1:21">
      <c r="A216" s="1114">
        <f t="shared" si="20"/>
        <v>42674</v>
      </c>
      <c r="B216" s="1115">
        <f t="shared" si="18"/>
        <v>2017</v>
      </c>
      <c r="C216" s="1283">
        <v>101.6</v>
      </c>
      <c r="D216" s="1283">
        <v>264.8</v>
      </c>
      <c r="E216" s="1116" t="str">
        <f>IF($A216&lt;DATE(2018,7,1),"-",INDEX('I1 - Universal Data'!$E$16:$V$16, MATCH(YEAR(EOMONTH($A216,6)), 'I1 - Universal Data'!$E$14:$V$14, 0)))</f>
        <v>-</v>
      </c>
      <c r="F216" s="1116" t="str">
        <f>IF($A216&lt;DATE(2018,7,1),"-",INDEX('I1 - Universal Data'!$E$15:$V$15, MATCH(YEAR(EOMONTH($A216,6)), 'I1 - Universal Data'!$E$14:$V$14, 0)))</f>
        <v>-</v>
      </c>
      <c r="G216" s="1117">
        <f t="shared" si="21"/>
        <v>101.6</v>
      </c>
      <c r="H216" s="1117">
        <f t="shared" si="21"/>
        <v>264.8</v>
      </c>
      <c r="U216" s="1105"/>
    </row>
    <row r="217" spans="1:21">
      <c r="A217" s="1114">
        <f t="shared" si="20"/>
        <v>42704</v>
      </c>
      <c r="B217" s="1115">
        <f t="shared" si="18"/>
        <v>2017</v>
      </c>
      <c r="C217" s="1283">
        <v>101.8</v>
      </c>
      <c r="D217" s="1283">
        <v>265.5</v>
      </c>
      <c r="E217" s="1116" t="str">
        <f>IF($A217&lt;DATE(2018,7,1),"-",INDEX('I1 - Universal Data'!$E$16:$V$16, MATCH(YEAR(EOMONTH($A217,6)), 'I1 - Universal Data'!$E$14:$V$14, 0)))</f>
        <v>-</v>
      </c>
      <c r="F217" s="1116" t="str">
        <f>IF($A217&lt;DATE(2018,7,1),"-",INDEX('I1 - Universal Data'!$E$15:$V$15, MATCH(YEAR(EOMONTH($A217,6)), 'I1 - Universal Data'!$E$14:$V$14, 0)))</f>
        <v>-</v>
      </c>
      <c r="G217" s="1117">
        <f t="shared" si="21"/>
        <v>101.8</v>
      </c>
      <c r="H217" s="1117">
        <f t="shared" si="21"/>
        <v>265.5</v>
      </c>
      <c r="U217" s="1105"/>
    </row>
    <row r="218" spans="1:21">
      <c r="A218" s="1114">
        <f t="shared" si="20"/>
        <v>42735</v>
      </c>
      <c r="B218" s="1115">
        <f t="shared" si="18"/>
        <v>2017</v>
      </c>
      <c r="C218" s="1283">
        <v>102.2</v>
      </c>
      <c r="D218" s="1283">
        <v>267.10000000000002</v>
      </c>
      <c r="E218" s="1116" t="str">
        <f>IF($A218&lt;DATE(2018,7,1),"-",INDEX('I1 - Universal Data'!$E$16:$V$16, MATCH(YEAR(EOMONTH($A218,6)), 'I1 - Universal Data'!$E$14:$V$14, 0)))</f>
        <v>-</v>
      </c>
      <c r="F218" s="1116" t="str">
        <f>IF($A218&lt;DATE(2018,7,1),"-",INDEX('I1 - Universal Data'!$E$15:$V$15, MATCH(YEAR(EOMONTH($A218,6)), 'I1 - Universal Data'!$E$14:$V$14, 0)))</f>
        <v>-</v>
      </c>
      <c r="G218" s="1117">
        <f t="shared" si="21"/>
        <v>102.2</v>
      </c>
      <c r="H218" s="1117">
        <f t="shared" si="21"/>
        <v>267.10000000000002</v>
      </c>
      <c r="U218" s="1105"/>
    </row>
    <row r="219" spans="1:21">
      <c r="A219" s="1114">
        <f t="shared" si="20"/>
        <v>42766</v>
      </c>
      <c r="B219" s="1115">
        <f t="shared" si="18"/>
        <v>2017</v>
      </c>
      <c r="C219" s="1283">
        <v>101.8</v>
      </c>
      <c r="D219" s="1283">
        <v>265.5</v>
      </c>
      <c r="E219" s="1116" t="str">
        <f>IF($A219&lt;DATE(2018,7,1),"-",INDEX('I1 - Universal Data'!$E$16:$V$16, MATCH(YEAR(EOMONTH($A219,6)), 'I1 - Universal Data'!$E$14:$V$14, 0)))</f>
        <v>-</v>
      </c>
      <c r="F219" s="1116" t="str">
        <f>IF($A219&lt;DATE(2018,7,1),"-",INDEX('I1 - Universal Data'!$E$15:$V$15, MATCH(YEAR(EOMONTH($A219,6)), 'I1 - Universal Data'!$E$14:$V$14, 0)))</f>
        <v>-</v>
      </c>
      <c r="G219" s="1117">
        <f t="shared" si="21"/>
        <v>101.8</v>
      </c>
      <c r="H219" s="1117">
        <f t="shared" si="21"/>
        <v>265.5</v>
      </c>
      <c r="U219" s="1105"/>
    </row>
    <row r="220" spans="1:21">
      <c r="A220" s="1114">
        <f t="shared" si="20"/>
        <v>42794</v>
      </c>
      <c r="B220" s="1115">
        <f t="shared" si="18"/>
        <v>2017</v>
      </c>
      <c r="C220" s="1283">
        <v>102.4</v>
      </c>
      <c r="D220" s="1283">
        <v>268.39999999999998</v>
      </c>
      <c r="E220" s="1116" t="str">
        <f>IF($A220&lt;DATE(2018,7,1),"-",INDEX('I1 - Universal Data'!$E$16:$V$16, MATCH(YEAR(EOMONTH($A220,6)), 'I1 - Universal Data'!$E$14:$V$14, 0)))</f>
        <v>-</v>
      </c>
      <c r="F220" s="1116" t="str">
        <f>IF($A220&lt;DATE(2018,7,1),"-",INDEX('I1 - Universal Data'!$E$15:$V$15, MATCH(YEAR(EOMONTH($A220,6)), 'I1 - Universal Data'!$E$14:$V$14, 0)))</f>
        <v>-</v>
      </c>
      <c r="G220" s="1117">
        <f t="shared" si="21"/>
        <v>102.4</v>
      </c>
      <c r="H220" s="1117">
        <f t="shared" si="21"/>
        <v>268.39999999999998</v>
      </c>
      <c r="U220" s="1105"/>
    </row>
    <row r="221" spans="1:21">
      <c r="A221" s="1114">
        <f t="shared" si="20"/>
        <v>42825</v>
      </c>
      <c r="B221" s="1115">
        <f t="shared" si="18"/>
        <v>2017</v>
      </c>
      <c r="C221" s="1283">
        <v>102.7</v>
      </c>
      <c r="D221" s="1283">
        <v>269.3</v>
      </c>
      <c r="E221" s="1116" t="str">
        <f>IF($A221&lt;DATE(2018,7,1),"-",INDEX('I1 - Universal Data'!$E$16:$V$16, MATCH(YEAR(EOMONTH($A221,6)), 'I1 - Universal Data'!$E$14:$V$14, 0)))</f>
        <v>-</v>
      </c>
      <c r="F221" s="1116" t="str">
        <f>IF($A221&lt;DATE(2018,7,1),"-",INDEX('I1 - Universal Data'!$E$15:$V$15, MATCH(YEAR(EOMONTH($A221,6)), 'I1 - Universal Data'!$E$14:$V$14, 0)))</f>
        <v>-</v>
      </c>
      <c r="G221" s="1117">
        <f t="shared" si="21"/>
        <v>102.7</v>
      </c>
      <c r="H221" s="1117">
        <f t="shared" si="21"/>
        <v>269.3</v>
      </c>
      <c r="U221" s="1105"/>
    </row>
    <row r="222" spans="1:21">
      <c r="A222" s="1114">
        <f t="shared" si="20"/>
        <v>42855</v>
      </c>
      <c r="B222" s="1115">
        <f t="shared" si="18"/>
        <v>2018</v>
      </c>
      <c r="C222" s="1283">
        <v>103.2</v>
      </c>
      <c r="D222" s="1283">
        <v>270.60000000000002</v>
      </c>
      <c r="E222" s="1116" t="str">
        <f>IF($A222&lt;DATE(2018,7,1),"-",INDEX('I1 - Universal Data'!$E$16:$V$16, MATCH(YEAR(EOMONTH($A222,6)), 'I1 - Universal Data'!$E$14:$V$14, 0)))</f>
        <v>-</v>
      </c>
      <c r="F222" s="1116" t="str">
        <f>IF($A222&lt;DATE(2018,7,1),"-",INDEX('I1 - Universal Data'!$E$15:$V$15, MATCH(YEAR(EOMONTH($A222,6)), 'I1 - Universal Data'!$E$14:$V$14, 0)))</f>
        <v>-</v>
      </c>
      <c r="G222" s="1117">
        <f t="shared" si="21"/>
        <v>103.2</v>
      </c>
      <c r="H222" s="1117">
        <f t="shared" si="21"/>
        <v>270.60000000000002</v>
      </c>
      <c r="U222" s="1105"/>
    </row>
    <row r="223" spans="1:21">
      <c r="A223" s="1114">
        <f t="shared" si="20"/>
        <v>42886</v>
      </c>
      <c r="B223" s="1115">
        <f t="shared" si="18"/>
        <v>2018</v>
      </c>
      <c r="C223" s="1283">
        <v>103.5</v>
      </c>
      <c r="D223" s="1283">
        <v>271.7</v>
      </c>
      <c r="E223" s="1116" t="str">
        <f>IF($A223&lt;DATE(2018,7,1),"-",INDEX('I1 - Universal Data'!$E$16:$V$16, MATCH(YEAR(EOMONTH($A223,6)), 'I1 - Universal Data'!$E$14:$V$14, 0)))</f>
        <v>-</v>
      </c>
      <c r="F223" s="1116" t="str">
        <f>IF($A223&lt;DATE(2018,7,1),"-",INDEX('I1 - Universal Data'!$E$15:$V$15, MATCH(YEAR(EOMONTH($A223,6)), 'I1 - Universal Data'!$E$14:$V$14, 0)))</f>
        <v>-</v>
      </c>
      <c r="G223" s="1117">
        <f t="shared" si="21"/>
        <v>103.5</v>
      </c>
      <c r="H223" s="1117">
        <f t="shared" si="21"/>
        <v>271.7</v>
      </c>
      <c r="U223" s="1105"/>
    </row>
    <row r="224" spans="1:21">
      <c r="A224" s="1114">
        <f t="shared" si="20"/>
        <v>42916</v>
      </c>
      <c r="B224" s="1115">
        <f t="shared" si="18"/>
        <v>2018</v>
      </c>
      <c r="C224" s="1283">
        <v>103.5</v>
      </c>
      <c r="D224" s="1283">
        <v>272.3</v>
      </c>
      <c r="E224" s="1116" t="str">
        <f>IF($A224&lt;DATE(2018,7,1),"-",INDEX('I1 - Universal Data'!$E$16:$V$16, MATCH(YEAR(EOMONTH($A224,6)), 'I1 - Universal Data'!$E$14:$V$14, 0)))</f>
        <v>-</v>
      </c>
      <c r="F224" s="1116" t="str">
        <f>IF($A224&lt;DATE(2018,7,1),"-",INDEX('I1 - Universal Data'!$E$15:$V$15, MATCH(YEAR(EOMONTH($A224,6)), 'I1 - Universal Data'!$E$14:$V$14, 0)))</f>
        <v>-</v>
      </c>
      <c r="G224" s="1117">
        <f t="shared" si="21"/>
        <v>103.5</v>
      </c>
      <c r="H224" s="1117">
        <f t="shared" si="21"/>
        <v>272.3</v>
      </c>
      <c r="U224" s="1105"/>
    </row>
    <row r="225" spans="1:21">
      <c r="A225" s="1114">
        <f t="shared" si="20"/>
        <v>42947</v>
      </c>
      <c r="B225" s="1115">
        <f t="shared" si="18"/>
        <v>2018</v>
      </c>
      <c r="C225" s="1283">
        <v>103.5</v>
      </c>
      <c r="D225" s="1283">
        <v>272.89999999999998</v>
      </c>
      <c r="E225" s="1116" t="str">
        <f>IF($A225&lt;DATE(2018,7,1),"-",INDEX('I1 - Universal Data'!$E$16:$V$16, MATCH(YEAR(EOMONTH($A225,6)), 'I1 - Universal Data'!$E$14:$V$14, 0)))</f>
        <v>-</v>
      </c>
      <c r="F225" s="1116" t="str">
        <f>IF($A225&lt;DATE(2018,7,1),"-",INDEX('I1 - Universal Data'!$E$15:$V$15, MATCH(YEAR(EOMONTH($A225,6)), 'I1 - Universal Data'!$E$14:$V$14, 0)))</f>
        <v>-</v>
      </c>
      <c r="G225" s="1117">
        <f t="shared" si="21"/>
        <v>103.5</v>
      </c>
      <c r="H225" s="1117">
        <f t="shared" si="21"/>
        <v>272.89999999999998</v>
      </c>
      <c r="U225" s="1105"/>
    </row>
    <row r="226" spans="1:21">
      <c r="A226" s="1114">
        <f t="shared" si="20"/>
        <v>42978</v>
      </c>
      <c r="B226" s="1115">
        <f t="shared" si="18"/>
        <v>2018</v>
      </c>
      <c r="C226" s="1283">
        <v>104</v>
      </c>
      <c r="D226" s="1283">
        <v>274.7</v>
      </c>
      <c r="E226" s="1116" t="str">
        <f>IF($A226&lt;DATE(2018,7,1),"-",INDEX('I1 - Universal Data'!$E$16:$V$16, MATCH(YEAR(EOMONTH($A226,6)), 'I1 - Universal Data'!$E$14:$V$14, 0)))</f>
        <v>-</v>
      </c>
      <c r="F226" s="1116" t="str">
        <f>IF($A226&lt;DATE(2018,7,1),"-",INDEX('I1 - Universal Data'!$E$15:$V$15, MATCH(YEAR(EOMONTH($A226,6)), 'I1 - Universal Data'!$E$14:$V$14, 0)))</f>
        <v>-</v>
      </c>
      <c r="G226" s="1117">
        <f t="shared" si="21"/>
        <v>104</v>
      </c>
      <c r="H226" s="1117">
        <f t="shared" si="21"/>
        <v>274.7</v>
      </c>
      <c r="U226" s="1105"/>
    </row>
    <row r="227" spans="1:21">
      <c r="A227" s="1114">
        <f t="shared" si="20"/>
        <v>43008</v>
      </c>
      <c r="B227" s="1115">
        <f t="shared" si="18"/>
        <v>2018</v>
      </c>
      <c r="C227" s="1283">
        <v>104.3</v>
      </c>
      <c r="D227" s="1283">
        <v>275.10000000000002</v>
      </c>
      <c r="E227" s="1116" t="str">
        <f>IF($A227&lt;DATE(2018,7,1),"-",INDEX('I1 - Universal Data'!$E$16:$V$16, MATCH(YEAR(EOMONTH($A227,6)), 'I1 - Universal Data'!$E$14:$V$14, 0)))</f>
        <v>-</v>
      </c>
      <c r="F227" s="1116" t="str">
        <f>IF($A227&lt;DATE(2018,7,1),"-",INDEX('I1 - Universal Data'!$E$15:$V$15, MATCH(YEAR(EOMONTH($A227,6)), 'I1 - Universal Data'!$E$14:$V$14, 0)))</f>
        <v>-</v>
      </c>
      <c r="G227" s="1117">
        <f t="shared" si="21"/>
        <v>104.3</v>
      </c>
      <c r="H227" s="1117">
        <f t="shared" si="21"/>
        <v>275.10000000000002</v>
      </c>
      <c r="U227" s="1105"/>
    </row>
    <row r="228" spans="1:21">
      <c r="A228" s="1114">
        <f t="shared" si="20"/>
        <v>43039</v>
      </c>
      <c r="B228" s="1115">
        <f t="shared" si="18"/>
        <v>2018</v>
      </c>
      <c r="C228" s="1283">
        <v>104.4</v>
      </c>
      <c r="D228" s="1283">
        <v>275.3</v>
      </c>
      <c r="E228" s="1116" t="str">
        <f>IF($A228&lt;DATE(2018,7,1),"-",INDEX('I1 - Universal Data'!$E$16:$V$16, MATCH(YEAR(EOMONTH($A228,6)), 'I1 - Universal Data'!$E$14:$V$14, 0)))</f>
        <v>-</v>
      </c>
      <c r="F228" s="1116" t="str">
        <f>IF($A228&lt;DATE(2018,7,1),"-",INDEX('I1 - Universal Data'!$E$15:$V$15, MATCH(YEAR(EOMONTH($A228,6)), 'I1 - Universal Data'!$E$14:$V$14, 0)))</f>
        <v>-</v>
      </c>
      <c r="G228" s="1117">
        <f t="shared" si="21"/>
        <v>104.4</v>
      </c>
      <c r="H228" s="1117">
        <f t="shared" si="21"/>
        <v>275.3</v>
      </c>
      <c r="U228" s="1105"/>
    </row>
    <row r="229" spans="1:21">
      <c r="A229" s="1114">
        <f t="shared" si="20"/>
        <v>43069</v>
      </c>
      <c r="B229" s="1115">
        <f t="shared" si="18"/>
        <v>2018</v>
      </c>
      <c r="C229" s="1283">
        <v>104.7</v>
      </c>
      <c r="D229" s="1283">
        <v>275.8</v>
      </c>
      <c r="E229" s="1116" t="str">
        <f>IF($A229&lt;DATE(2018,7,1),"-",INDEX('I1 - Universal Data'!$E$16:$V$16, MATCH(YEAR(EOMONTH($A229,6)), 'I1 - Universal Data'!$E$14:$V$14, 0)))</f>
        <v>-</v>
      </c>
      <c r="F229" s="1116" t="str">
        <f>IF($A229&lt;DATE(2018,7,1),"-",INDEX('I1 - Universal Data'!$E$15:$V$15, MATCH(YEAR(EOMONTH($A229,6)), 'I1 - Universal Data'!$E$14:$V$14, 0)))</f>
        <v>-</v>
      </c>
      <c r="G229" s="1117">
        <f t="shared" si="21"/>
        <v>104.7</v>
      </c>
      <c r="H229" s="1117">
        <f t="shared" si="21"/>
        <v>275.8</v>
      </c>
      <c r="U229" s="1105"/>
    </row>
    <row r="230" spans="1:21">
      <c r="A230" s="1114">
        <f t="shared" si="20"/>
        <v>43100</v>
      </c>
      <c r="B230" s="1115">
        <f t="shared" si="18"/>
        <v>2018</v>
      </c>
      <c r="C230" s="1283">
        <v>105</v>
      </c>
      <c r="D230" s="1283">
        <v>278.10000000000002</v>
      </c>
      <c r="E230" s="1116" t="str">
        <f>IF($A230&lt;DATE(2018,7,1),"-",INDEX('I1 - Universal Data'!$E$16:$V$16, MATCH(YEAR(EOMONTH($A230,6)), 'I1 - Universal Data'!$E$14:$V$14, 0)))</f>
        <v>-</v>
      </c>
      <c r="F230" s="1116" t="str">
        <f>IF($A230&lt;DATE(2018,7,1),"-",INDEX('I1 - Universal Data'!$E$15:$V$15, MATCH(YEAR(EOMONTH($A230,6)), 'I1 - Universal Data'!$E$14:$V$14, 0)))</f>
        <v>-</v>
      </c>
      <c r="G230" s="1117">
        <f t="shared" ref="G230:H245" si="22">IF(ISBLANK(C230),G229*((1+E230)^(1/12)),C230)</f>
        <v>105</v>
      </c>
      <c r="H230" s="1117">
        <f t="shared" si="22"/>
        <v>278.10000000000002</v>
      </c>
      <c r="U230" s="1105"/>
    </row>
    <row r="231" spans="1:21">
      <c r="A231" s="1114">
        <f t="shared" si="20"/>
        <v>43131</v>
      </c>
      <c r="B231" s="1115">
        <f t="shared" si="18"/>
        <v>2018</v>
      </c>
      <c r="C231" s="1283">
        <v>104.5</v>
      </c>
      <c r="D231" s="1283">
        <v>276</v>
      </c>
      <c r="E231" s="1116" t="str">
        <f>IF($A231&lt;DATE(2018,7,1),"-",INDEX('I1 - Universal Data'!$E$16:$V$16, MATCH(YEAR(EOMONTH($A231,6)), 'I1 - Universal Data'!$E$14:$V$14, 0)))</f>
        <v>-</v>
      </c>
      <c r="F231" s="1116" t="str">
        <f>IF($A231&lt;DATE(2018,7,1),"-",INDEX('I1 - Universal Data'!$E$15:$V$15, MATCH(YEAR(EOMONTH($A231,6)), 'I1 - Universal Data'!$E$14:$V$14, 0)))</f>
        <v>-</v>
      </c>
      <c r="G231" s="1117">
        <f t="shared" si="22"/>
        <v>104.5</v>
      </c>
      <c r="H231" s="1117">
        <f t="shared" si="22"/>
        <v>276</v>
      </c>
      <c r="U231" s="1105"/>
    </row>
    <row r="232" spans="1:21">
      <c r="A232" s="1114">
        <f t="shared" si="20"/>
        <v>43159</v>
      </c>
      <c r="B232" s="1115">
        <f t="shared" si="18"/>
        <v>2018</v>
      </c>
      <c r="C232" s="1283">
        <v>104.9</v>
      </c>
      <c r="D232" s="1283">
        <v>278.10000000000002</v>
      </c>
      <c r="E232" s="1116" t="str">
        <f>IF($A232&lt;DATE(2018,7,1),"-",INDEX('I1 - Universal Data'!$E$16:$V$16, MATCH(YEAR(EOMONTH($A232,6)), 'I1 - Universal Data'!$E$14:$V$14, 0)))</f>
        <v>-</v>
      </c>
      <c r="F232" s="1116" t="str">
        <f>IF($A232&lt;DATE(2018,7,1),"-",INDEX('I1 - Universal Data'!$E$15:$V$15, MATCH(YEAR(EOMONTH($A232,6)), 'I1 - Universal Data'!$E$14:$V$14, 0)))</f>
        <v>-</v>
      </c>
      <c r="G232" s="1117">
        <f t="shared" si="22"/>
        <v>104.9</v>
      </c>
      <c r="H232" s="1117">
        <f t="shared" si="22"/>
        <v>278.10000000000002</v>
      </c>
      <c r="U232" s="1105"/>
    </row>
    <row r="233" spans="1:21">
      <c r="A233" s="1114">
        <f t="shared" si="20"/>
        <v>43190</v>
      </c>
      <c r="B233" s="1115">
        <f t="shared" si="18"/>
        <v>2018</v>
      </c>
      <c r="C233" s="1283">
        <v>105.1</v>
      </c>
      <c r="D233" s="1283">
        <v>278.3</v>
      </c>
      <c r="E233" s="1116" t="str">
        <f>IF($A233&lt;DATE(2018,7,1),"-",INDEX('I1 - Universal Data'!$E$16:$V$16, MATCH(YEAR(EOMONTH($A233,6)), 'I1 - Universal Data'!$E$14:$V$14, 0)))</f>
        <v>-</v>
      </c>
      <c r="F233" s="1116" t="str">
        <f>IF($A233&lt;DATE(2018,7,1),"-",INDEX('I1 - Universal Data'!$E$15:$V$15, MATCH(YEAR(EOMONTH($A233,6)), 'I1 - Universal Data'!$E$14:$V$14, 0)))</f>
        <v>-</v>
      </c>
      <c r="G233" s="1117">
        <f t="shared" si="22"/>
        <v>105.1</v>
      </c>
      <c r="H233" s="1117">
        <f t="shared" si="22"/>
        <v>278.3</v>
      </c>
      <c r="U233" s="1105"/>
    </row>
    <row r="234" spans="1:21">
      <c r="A234" s="1114">
        <f t="shared" si="20"/>
        <v>43220</v>
      </c>
      <c r="B234" s="1115">
        <f t="shared" si="18"/>
        <v>2019</v>
      </c>
      <c r="C234" s="1283">
        <v>105.5</v>
      </c>
      <c r="D234" s="1283">
        <v>279.7</v>
      </c>
      <c r="E234" s="1116" t="str">
        <f>IF($A234&lt;DATE(2018,7,1),"-",INDEX('I1 - Universal Data'!$E$16:$V$16, MATCH(YEAR(EOMONTH($A234,6)), 'I1 - Universal Data'!$E$14:$V$14, 0)))</f>
        <v>-</v>
      </c>
      <c r="F234" s="1116" t="str">
        <f>IF($A234&lt;DATE(2018,7,1),"-",INDEX('I1 - Universal Data'!$E$15:$V$15, MATCH(YEAR(EOMONTH($A234,6)), 'I1 - Universal Data'!$E$14:$V$14, 0)))</f>
        <v>-</v>
      </c>
      <c r="G234" s="1117">
        <f t="shared" si="22"/>
        <v>105.5</v>
      </c>
      <c r="H234" s="1117">
        <f t="shared" si="22"/>
        <v>279.7</v>
      </c>
      <c r="U234" s="1105"/>
    </row>
    <row r="235" spans="1:21">
      <c r="A235" s="1114">
        <f t="shared" si="20"/>
        <v>43251</v>
      </c>
      <c r="B235" s="1115">
        <f t="shared" si="18"/>
        <v>2019</v>
      </c>
      <c r="C235" s="1283">
        <v>105.9</v>
      </c>
      <c r="D235" s="1283">
        <v>280.7</v>
      </c>
      <c r="E235" s="1116" t="str">
        <f>IF($A235&lt;DATE(2018,7,1),"-",INDEX('I1 - Universal Data'!$E$16:$V$16, MATCH(YEAR(EOMONTH($A235,6)), 'I1 - Universal Data'!$E$14:$V$14, 0)))</f>
        <v>-</v>
      </c>
      <c r="F235" s="1116" t="str">
        <f>IF($A235&lt;DATE(2018,7,1),"-",INDEX('I1 - Universal Data'!$E$15:$V$15, MATCH(YEAR(EOMONTH($A235,6)), 'I1 - Universal Data'!$E$14:$V$14, 0)))</f>
        <v>-</v>
      </c>
      <c r="G235" s="1117">
        <f t="shared" si="22"/>
        <v>105.9</v>
      </c>
      <c r="H235" s="1117">
        <f t="shared" si="22"/>
        <v>280.7</v>
      </c>
      <c r="U235" s="1105"/>
    </row>
    <row r="236" spans="1:21">
      <c r="A236" s="1114">
        <f t="shared" si="20"/>
        <v>43281</v>
      </c>
      <c r="B236" s="1115">
        <f t="shared" si="18"/>
        <v>2019</v>
      </c>
      <c r="C236" s="1283">
        <v>105.9</v>
      </c>
      <c r="D236" s="1283">
        <v>281.5</v>
      </c>
      <c r="E236" s="1116" t="str">
        <f>IF($A236&lt;DATE(2018,7,1),"-",INDEX('I1 - Universal Data'!$E$16:$V$16, MATCH(YEAR(EOMONTH($A236,6)), 'I1 - Universal Data'!$E$14:$V$14, 0)))</f>
        <v>-</v>
      </c>
      <c r="F236" s="1116" t="str">
        <f>IF($A236&lt;DATE(2018,7,1),"-",INDEX('I1 - Universal Data'!$E$15:$V$15, MATCH(YEAR(EOMONTH($A236,6)), 'I1 - Universal Data'!$E$14:$V$14, 0)))</f>
        <v>-</v>
      </c>
      <c r="G236" s="1117">
        <f t="shared" si="22"/>
        <v>105.9</v>
      </c>
      <c r="H236" s="1117">
        <f t="shared" si="22"/>
        <v>281.5</v>
      </c>
      <c r="U236" s="1105"/>
    </row>
    <row r="237" spans="1:21">
      <c r="A237" s="1114">
        <f t="shared" si="20"/>
        <v>43312</v>
      </c>
      <c r="B237" s="1115">
        <f t="shared" si="18"/>
        <v>2019</v>
      </c>
      <c r="C237" s="1283">
        <v>105.9</v>
      </c>
      <c r="D237" s="1283">
        <v>281.7</v>
      </c>
      <c r="E237" s="1116">
        <f>IF($A237&lt;DATE(2018,7,1),"-",INDEX('I1 - Universal Data'!$E$16:$V$16, MATCH(YEAR(EOMONTH($A237,6)), 'I1 - Universal Data'!$E$14:$V$14, 0)))</f>
        <v>1.7910205867057716E-2</v>
      </c>
      <c r="F237" s="1116">
        <f>IF($A237&lt;DATE(2018,7,1),"-",INDEX('I1 - Universal Data'!$E$15:$V$15, MATCH(YEAR(EOMONTH($A237,6)), 'I1 - Universal Data'!$E$14:$V$14, 0)))</f>
        <v>2.5628884588821732E-2</v>
      </c>
      <c r="G237" s="1117">
        <f t="shared" si="22"/>
        <v>105.9</v>
      </c>
      <c r="H237" s="1117">
        <f t="shared" si="22"/>
        <v>281.7</v>
      </c>
      <c r="U237" s="1105"/>
    </row>
    <row r="238" spans="1:21">
      <c r="A238" s="1114">
        <f t="shared" si="20"/>
        <v>43343</v>
      </c>
      <c r="B238" s="1115">
        <f t="shared" si="18"/>
        <v>2019</v>
      </c>
      <c r="C238" s="1283">
        <v>106.5</v>
      </c>
      <c r="D238" s="1283">
        <v>284.2</v>
      </c>
      <c r="E238" s="1116">
        <f>IF($A238&lt;DATE(2018,7,1),"-",INDEX('I1 - Universal Data'!$E$16:$V$16, MATCH(YEAR(EOMONTH($A238,6)), 'I1 - Universal Data'!$E$14:$V$14, 0)))</f>
        <v>1.7910205867057716E-2</v>
      </c>
      <c r="F238" s="1116">
        <f>IF($A238&lt;DATE(2018,7,1),"-",INDEX('I1 - Universal Data'!$E$15:$V$15, MATCH(YEAR(EOMONTH($A238,6)), 'I1 - Universal Data'!$E$14:$V$14, 0)))</f>
        <v>2.5628884588821732E-2</v>
      </c>
      <c r="G238" s="1117">
        <f t="shared" si="22"/>
        <v>106.5</v>
      </c>
      <c r="H238" s="1117">
        <f t="shared" si="22"/>
        <v>284.2</v>
      </c>
      <c r="U238" s="1105"/>
    </row>
    <row r="239" spans="1:21">
      <c r="A239" s="1114">
        <f t="shared" si="20"/>
        <v>43373</v>
      </c>
      <c r="B239" s="1115">
        <f t="shared" si="18"/>
        <v>2019</v>
      </c>
      <c r="C239" s="1283">
        <v>106.6</v>
      </c>
      <c r="D239" s="1283">
        <v>284.10000000000002</v>
      </c>
      <c r="E239" s="1116">
        <f>IF($A239&lt;DATE(2018,7,1),"-",INDEX('I1 - Universal Data'!$E$16:$V$16, MATCH(YEAR(EOMONTH($A239,6)), 'I1 - Universal Data'!$E$14:$V$14, 0)))</f>
        <v>1.7910205867057716E-2</v>
      </c>
      <c r="F239" s="1116">
        <f>IF($A239&lt;DATE(2018,7,1),"-",INDEX('I1 - Universal Data'!$E$15:$V$15, MATCH(YEAR(EOMONTH($A239,6)), 'I1 - Universal Data'!$E$14:$V$14, 0)))</f>
        <v>2.5628884588821732E-2</v>
      </c>
      <c r="G239" s="1117">
        <f t="shared" si="22"/>
        <v>106.6</v>
      </c>
      <c r="H239" s="1117">
        <f t="shared" si="22"/>
        <v>284.10000000000002</v>
      </c>
      <c r="U239" s="1105"/>
    </row>
    <row r="240" spans="1:21">
      <c r="A240" s="1114">
        <f t="shared" si="20"/>
        <v>43404</v>
      </c>
      <c r="B240" s="1115">
        <f t="shared" si="18"/>
        <v>2019</v>
      </c>
      <c r="C240" s="1283">
        <v>106.7</v>
      </c>
      <c r="D240" s="1283">
        <v>284.5</v>
      </c>
      <c r="E240" s="1116">
        <f>IF($A240&lt;DATE(2018,7,1),"-",INDEX('I1 - Universal Data'!$E$16:$V$16, MATCH(YEAR(EOMONTH($A240,6)), 'I1 - Universal Data'!$E$14:$V$14, 0)))</f>
        <v>1.7910205867057716E-2</v>
      </c>
      <c r="F240" s="1116">
        <f>IF($A240&lt;DATE(2018,7,1),"-",INDEX('I1 - Universal Data'!$E$15:$V$15, MATCH(YEAR(EOMONTH($A240,6)), 'I1 - Universal Data'!$E$14:$V$14, 0)))</f>
        <v>2.5628884588821732E-2</v>
      </c>
      <c r="G240" s="1117">
        <f t="shared" si="22"/>
        <v>106.7</v>
      </c>
      <c r="H240" s="1117">
        <f t="shared" si="22"/>
        <v>284.5</v>
      </c>
      <c r="U240" s="1105"/>
    </row>
    <row r="241" spans="1:21">
      <c r="A241" s="1114">
        <f t="shared" si="20"/>
        <v>43434</v>
      </c>
      <c r="B241" s="1115">
        <f t="shared" si="18"/>
        <v>2019</v>
      </c>
      <c r="C241" s="1283">
        <v>106.9</v>
      </c>
      <c r="D241" s="1283">
        <v>284.60000000000002</v>
      </c>
      <c r="E241" s="1116">
        <f>IF($A241&lt;DATE(2018,7,1),"-",INDEX('I1 - Universal Data'!$E$16:$V$16, MATCH(YEAR(EOMONTH($A241,6)), 'I1 - Universal Data'!$E$14:$V$14, 0)))</f>
        <v>1.7910205867057716E-2</v>
      </c>
      <c r="F241" s="1116">
        <f>IF($A241&lt;DATE(2018,7,1),"-",INDEX('I1 - Universal Data'!$E$15:$V$15, MATCH(YEAR(EOMONTH($A241,6)), 'I1 - Universal Data'!$E$14:$V$14, 0)))</f>
        <v>2.5628884588821732E-2</v>
      </c>
      <c r="G241" s="1117">
        <f t="shared" si="22"/>
        <v>106.9</v>
      </c>
      <c r="H241" s="1117">
        <f t="shared" si="22"/>
        <v>284.60000000000002</v>
      </c>
      <c r="U241" s="1105"/>
    </row>
    <row r="242" spans="1:21">
      <c r="A242" s="1114">
        <f t="shared" si="20"/>
        <v>43465</v>
      </c>
      <c r="B242" s="1115">
        <f t="shared" si="18"/>
        <v>2019</v>
      </c>
      <c r="C242" s="1283">
        <v>107.1</v>
      </c>
      <c r="D242" s="1283">
        <v>285.60000000000002</v>
      </c>
      <c r="E242" s="1116">
        <f>IF($A242&lt;DATE(2018,7,1),"-",INDEX('I1 - Universal Data'!$E$16:$V$16, MATCH(YEAR(EOMONTH($A242,6)), 'I1 - Universal Data'!$E$14:$V$14, 0)))</f>
        <v>1.7910205867057716E-2</v>
      </c>
      <c r="F242" s="1116">
        <f>IF($A242&lt;DATE(2018,7,1),"-",INDEX('I1 - Universal Data'!$E$15:$V$15, MATCH(YEAR(EOMONTH($A242,6)), 'I1 - Universal Data'!$E$14:$V$14, 0)))</f>
        <v>2.5628884588821732E-2</v>
      </c>
      <c r="G242" s="1117">
        <f t="shared" si="22"/>
        <v>107.1</v>
      </c>
      <c r="H242" s="1117">
        <f t="shared" si="22"/>
        <v>285.60000000000002</v>
      </c>
      <c r="U242" s="1105"/>
    </row>
    <row r="243" spans="1:21">
      <c r="A243" s="1114">
        <f t="shared" si="20"/>
        <v>43496</v>
      </c>
      <c r="B243" s="1115">
        <f t="shared" si="18"/>
        <v>2019</v>
      </c>
      <c r="C243" s="1283">
        <v>106.4</v>
      </c>
      <c r="D243" s="1283">
        <v>283</v>
      </c>
      <c r="E243" s="1116">
        <f>IF($A243&lt;DATE(2018,7,1),"-",INDEX('I1 - Universal Data'!$E$16:$V$16, MATCH(YEAR(EOMONTH($A243,6)), 'I1 - Universal Data'!$E$14:$V$14, 0)))</f>
        <v>1.7910205867057716E-2</v>
      </c>
      <c r="F243" s="1116">
        <f>IF($A243&lt;DATE(2018,7,1),"-",INDEX('I1 - Universal Data'!$E$15:$V$15, MATCH(YEAR(EOMONTH($A243,6)), 'I1 - Universal Data'!$E$14:$V$14, 0)))</f>
        <v>2.5628884588821732E-2</v>
      </c>
      <c r="G243" s="1117">
        <f t="shared" si="22"/>
        <v>106.4</v>
      </c>
      <c r="H243" s="1117">
        <f t="shared" si="22"/>
        <v>283</v>
      </c>
      <c r="U243" s="1105"/>
    </row>
    <row r="244" spans="1:21">
      <c r="A244" s="1114">
        <f t="shared" si="20"/>
        <v>43524</v>
      </c>
      <c r="B244" s="1115">
        <f t="shared" si="18"/>
        <v>2019</v>
      </c>
      <c r="C244" s="1283">
        <v>106.8</v>
      </c>
      <c r="D244" s="1283">
        <v>285</v>
      </c>
      <c r="E244" s="1116">
        <f>IF($A244&lt;DATE(2018,7,1),"-",INDEX('I1 - Universal Data'!$E$16:$V$16, MATCH(YEAR(EOMONTH($A244,6)), 'I1 - Universal Data'!$E$14:$V$14, 0)))</f>
        <v>1.7910205867057716E-2</v>
      </c>
      <c r="F244" s="1116">
        <f>IF($A244&lt;DATE(2018,7,1),"-",INDEX('I1 - Universal Data'!$E$15:$V$15, MATCH(YEAR(EOMONTH($A244,6)), 'I1 - Universal Data'!$E$14:$V$14, 0)))</f>
        <v>2.5628884588821732E-2</v>
      </c>
      <c r="G244" s="1117">
        <f t="shared" si="22"/>
        <v>106.8</v>
      </c>
      <c r="H244" s="1117">
        <f t="shared" si="22"/>
        <v>285</v>
      </c>
      <c r="U244" s="1105"/>
    </row>
    <row r="245" spans="1:21">
      <c r="A245" s="1114">
        <f t="shared" si="20"/>
        <v>43555</v>
      </c>
      <c r="B245" s="1115">
        <f t="shared" si="18"/>
        <v>2019</v>
      </c>
      <c r="C245" s="1283">
        <v>107</v>
      </c>
      <c r="D245" s="1283">
        <v>285.10000000000002</v>
      </c>
      <c r="E245" s="1116">
        <f>IF($A245&lt;DATE(2018,7,1),"-",INDEX('I1 - Universal Data'!$E$16:$V$16, MATCH(YEAR(EOMONTH($A245,6)), 'I1 - Universal Data'!$E$14:$V$14, 0)))</f>
        <v>1.7910205867057716E-2</v>
      </c>
      <c r="F245" s="1116">
        <f>IF($A245&lt;DATE(2018,7,1),"-",INDEX('I1 - Universal Data'!$E$15:$V$15, MATCH(YEAR(EOMONTH($A245,6)), 'I1 - Universal Data'!$E$14:$V$14, 0)))</f>
        <v>2.5628884588821732E-2</v>
      </c>
      <c r="G245" s="1117">
        <f t="shared" si="22"/>
        <v>107</v>
      </c>
      <c r="H245" s="1117">
        <f t="shared" si="22"/>
        <v>285.10000000000002</v>
      </c>
      <c r="U245" s="1105"/>
    </row>
    <row r="246" spans="1:21">
      <c r="A246" s="1114">
        <f t="shared" si="20"/>
        <v>43585</v>
      </c>
      <c r="B246" s="1115">
        <f t="shared" si="18"/>
        <v>2020</v>
      </c>
      <c r="C246" s="1283">
        <v>107.6</v>
      </c>
      <c r="D246" s="1283">
        <v>288.2</v>
      </c>
      <c r="E246" s="1116">
        <f>IF($A246&lt;DATE(2018,7,1),"-",INDEX('I1 - Universal Data'!$E$16:$V$16, MATCH(YEAR(EOMONTH($A246,6)), 'I1 - Universal Data'!$E$14:$V$14, 0)))</f>
        <v>1.7910205867057716E-2</v>
      </c>
      <c r="F246" s="1116">
        <f>IF($A246&lt;DATE(2018,7,1),"-",INDEX('I1 - Universal Data'!$E$15:$V$15, MATCH(YEAR(EOMONTH($A246,6)), 'I1 - Universal Data'!$E$14:$V$14, 0)))</f>
        <v>2.5628884588821732E-2</v>
      </c>
      <c r="G246" s="1117">
        <f t="shared" ref="G246:H261" si="23">IF(ISBLANK(C246),G245*((1+E246)^(1/12)),C246)</f>
        <v>107.6</v>
      </c>
      <c r="H246" s="1117">
        <f t="shared" si="23"/>
        <v>288.2</v>
      </c>
      <c r="T246" s="1106"/>
      <c r="U246" s="1105"/>
    </row>
    <row r="247" spans="1:21">
      <c r="A247" s="1114">
        <f t="shared" si="20"/>
        <v>43616</v>
      </c>
      <c r="B247" s="1115">
        <f t="shared" si="18"/>
        <v>2020</v>
      </c>
      <c r="C247" s="1283">
        <v>107.9</v>
      </c>
      <c r="D247" s="1283">
        <v>289.2</v>
      </c>
      <c r="E247" s="1116">
        <f>IF($A247&lt;DATE(2018,7,1),"-",INDEX('I1 - Universal Data'!$E$16:$V$16, MATCH(YEAR(EOMONTH($A247,6)), 'I1 - Universal Data'!$E$14:$V$14, 0)))</f>
        <v>1.7910205867057716E-2</v>
      </c>
      <c r="F247" s="1116">
        <f>IF($A247&lt;DATE(2018,7,1),"-",INDEX('I1 - Universal Data'!$E$15:$V$15, MATCH(YEAR(EOMONTH($A247,6)), 'I1 - Universal Data'!$E$14:$V$14, 0)))</f>
        <v>2.5628884588821732E-2</v>
      </c>
      <c r="G247" s="1117">
        <f t="shared" si="23"/>
        <v>107.9</v>
      </c>
      <c r="H247" s="1117">
        <f t="shared" si="23"/>
        <v>289.2</v>
      </c>
      <c r="T247" s="1106"/>
      <c r="U247" s="1105"/>
    </row>
    <row r="248" spans="1:21">
      <c r="A248" s="1114">
        <f t="shared" si="20"/>
        <v>43646</v>
      </c>
      <c r="B248" s="1115">
        <f t="shared" si="18"/>
        <v>2020</v>
      </c>
      <c r="C248" s="1283">
        <v>107.9</v>
      </c>
      <c r="D248" s="1283">
        <v>289.60000000000002</v>
      </c>
      <c r="E248" s="1116">
        <f>IF($A248&lt;DATE(2018,7,1),"-",INDEX('I1 - Universal Data'!$E$16:$V$16, MATCH(YEAR(EOMONTH($A248,6)), 'I1 - Universal Data'!$E$14:$V$14, 0)))</f>
        <v>1.7910205867057716E-2</v>
      </c>
      <c r="F248" s="1116">
        <f>IF($A248&lt;DATE(2018,7,1),"-",INDEX('I1 - Universal Data'!$E$15:$V$15, MATCH(YEAR(EOMONTH($A248,6)), 'I1 - Universal Data'!$E$14:$V$14, 0)))</f>
        <v>2.5628884588821732E-2</v>
      </c>
      <c r="G248" s="1117">
        <f t="shared" si="23"/>
        <v>107.9</v>
      </c>
      <c r="H248" s="1117">
        <f t="shared" si="23"/>
        <v>289.60000000000002</v>
      </c>
      <c r="T248" s="1106"/>
      <c r="U248" s="1105"/>
    </row>
    <row r="249" spans="1:21">
      <c r="A249" s="1114">
        <f t="shared" si="20"/>
        <v>43677</v>
      </c>
      <c r="B249" s="1115">
        <f t="shared" si="18"/>
        <v>2020</v>
      </c>
      <c r="C249" s="1283">
        <v>108</v>
      </c>
      <c r="D249" s="1283">
        <v>289.5</v>
      </c>
      <c r="E249" s="1116">
        <f>IF($A249&lt;DATE(2018,7,1),"-",INDEX('I1 - Universal Data'!$E$16:$V$16, MATCH(YEAR(EOMONTH($A249,6)), 'I1 - Universal Data'!$E$14:$V$14, 0)))</f>
        <v>8.5065402820156955E-3</v>
      </c>
      <c r="F249" s="1116">
        <f>IF($A249&lt;DATE(2018,7,1),"-",INDEX('I1 - Universal Data'!$E$15:$V$15, MATCH(YEAR(EOMONTH($A249,6)), 'I1 - Universal Data'!$E$14:$V$14, 0)))</f>
        <v>1.5033471260387898E-2</v>
      </c>
      <c r="G249" s="1117">
        <f t="shared" si="23"/>
        <v>108</v>
      </c>
      <c r="H249" s="1117">
        <f t="shared" si="23"/>
        <v>289.5</v>
      </c>
      <c r="T249" s="1106"/>
      <c r="U249" s="1105"/>
    </row>
    <row r="250" spans="1:21">
      <c r="A250" s="1114">
        <f t="shared" si="20"/>
        <v>43708</v>
      </c>
      <c r="B250" s="1115">
        <f t="shared" si="18"/>
        <v>2020</v>
      </c>
      <c r="C250" s="1283">
        <v>108.3</v>
      </c>
      <c r="D250" s="1283">
        <v>291.7</v>
      </c>
      <c r="E250" s="1116">
        <f>IF($A250&lt;DATE(2018,7,1),"-",INDEX('I1 - Universal Data'!$E$16:$V$16, MATCH(YEAR(EOMONTH($A250,6)), 'I1 - Universal Data'!$E$14:$V$14, 0)))</f>
        <v>8.5065402820156955E-3</v>
      </c>
      <c r="F250" s="1116">
        <f>IF($A250&lt;DATE(2018,7,1),"-",INDEX('I1 - Universal Data'!$E$15:$V$15, MATCH(YEAR(EOMONTH($A250,6)), 'I1 - Universal Data'!$E$14:$V$14, 0)))</f>
        <v>1.5033471260387898E-2</v>
      </c>
      <c r="G250" s="1117">
        <f t="shared" si="23"/>
        <v>108.3</v>
      </c>
      <c r="H250" s="1117">
        <f t="shared" si="23"/>
        <v>291.7</v>
      </c>
      <c r="T250" s="1106"/>
      <c r="U250" s="1105"/>
    </row>
    <row r="251" spans="1:21">
      <c r="A251" s="1114">
        <f t="shared" si="20"/>
        <v>43738</v>
      </c>
      <c r="B251" s="1115">
        <f t="shared" si="18"/>
        <v>2020</v>
      </c>
      <c r="C251" s="1283">
        <v>108.4</v>
      </c>
      <c r="D251" s="1283">
        <v>291</v>
      </c>
      <c r="E251" s="1116">
        <f>IF($A251&lt;DATE(2018,7,1),"-",INDEX('I1 - Universal Data'!$E$16:$V$16, MATCH(YEAR(EOMONTH($A251,6)), 'I1 - Universal Data'!$E$14:$V$14, 0)))</f>
        <v>8.5065402820156955E-3</v>
      </c>
      <c r="F251" s="1116">
        <f>IF($A251&lt;DATE(2018,7,1),"-",INDEX('I1 - Universal Data'!$E$15:$V$15, MATCH(YEAR(EOMONTH($A251,6)), 'I1 - Universal Data'!$E$14:$V$14, 0)))</f>
        <v>1.5033471260387898E-2</v>
      </c>
      <c r="G251" s="1117">
        <f t="shared" si="23"/>
        <v>108.4</v>
      </c>
      <c r="H251" s="1117">
        <f t="shared" si="23"/>
        <v>291</v>
      </c>
      <c r="T251" s="1106"/>
      <c r="U251" s="1105"/>
    </row>
    <row r="252" spans="1:21">
      <c r="A252" s="1114">
        <f t="shared" si="20"/>
        <v>43769</v>
      </c>
      <c r="B252" s="1115">
        <f t="shared" si="18"/>
        <v>2020</v>
      </c>
      <c r="C252" s="1283">
        <v>108.3</v>
      </c>
      <c r="D252" s="1283">
        <v>290.39999999999998</v>
      </c>
      <c r="E252" s="1116">
        <f>IF($A252&lt;DATE(2018,7,1),"-",INDEX('I1 - Universal Data'!$E$16:$V$16, MATCH(YEAR(EOMONTH($A252,6)), 'I1 - Universal Data'!$E$14:$V$14, 0)))</f>
        <v>8.5065402820156955E-3</v>
      </c>
      <c r="F252" s="1116">
        <f>IF($A252&lt;DATE(2018,7,1),"-",INDEX('I1 - Universal Data'!$E$15:$V$15, MATCH(YEAR(EOMONTH($A252,6)), 'I1 - Universal Data'!$E$14:$V$14, 0)))</f>
        <v>1.5033471260387898E-2</v>
      </c>
      <c r="G252" s="1117">
        <f t="shared" si="23"/>
        <v>108.3</v>
      </c>
      <c r="H252" s="1117">
        <f t="shared" si="23"/>
        <v>290.39999999999998</v>
      </c>
      <c r="T252" s="1106"/>
      <c r="U252" s="1105"/>
    </row>
    <row r="253" spans="1:21">
      <c r="A253" s="1114">
        <f t="shared" si="20"/>
        <v>43799</v>
      </c>
      <c r="B253" s="1115">
        <f t="shared" si="18"/>
        <v>2020</v>
      </c>
      <c r="C253" s="1283">
        <v>108.5</v>
      </c>
      <c r="D253" s="1283">
        <v>291</v>
      </c>
      <c r="E253" s="1116">
        <f>IF($A253&lt;DATE(2018,7,1),"-",INDEX('I1 - Universal Data'!$E$16:$V$16, MATCH(YEAR(EOMONTH($A253,6)), 'I1 - Universal Data'!$E$14:$V$14, 0)))</f>
        <v>8.5065402820156955E-3</v>
      </c>
      <c r="F253" s="1116">
        <f>IF($A253&lt;DATE(2018,7,1),"-",INDEX('I1 - Universal Data'!$E$15:$V$15, MATCH(YEAR(EOMONTH($A253,6)), 'I1 - Universal Data'!$E$14:$V$14, 0)))</f>
        <v>1.5033471260387898E-2</v>
      </c>
      <c r="G253" s="1117">
        <f t="shared" si="23"/>
        <v>108.5</v>
      </c>
      <c r="H253" s="1117">
        <f t="shared" si="23"/>
        <v>291</v>
      </c>
      <c r="T253" s="1106"/>
      <c r="U253" s="1105"/>
    </row>
    <row r="254" spans="1:21">
      <c r="A254" s="1114">
        <f t="shared" si="20"/>
        <v>43830</v>
      </c>
      <c r="B254" s="1115">
        <f t="shared" si="18"/>
        <v>2020</v>
      </c>
      <c r="C254" s="1283">
        <v>108.5</v>
      </c>
      <c r="D254" s="1283">
        <v>291.89999999999998</v>
      </c>
      <c r="E254" s="1116">
        <f>IF($A254&lt;DATE(2018,7,1),"-",INDEX('I1 - Universal Data'!$E$16:$V$16, MATCH(YEAR(EOMONTH($A254,6)), 'I1 - Universal Data'!$E$14:$V$14, 0)))</f>
        <v>8.5065402820156955E-3</v>
      </c>
      <c r="F254" s="1116">
        <f>IF($A254&lt;DATE(2018,7,1),"-",INDEX('I1 - Universal Data'!$E$15:$V$15, MATCH(YEAR(EOMONTH($A254,6)), 'I1 - Universal Data'!$E$14:$V$14, 0)))</f>
        <v>1.5033471260387898E-2</v>
      </c>
      <c r="G254" s="1117">
        <f t="shared" si="23"/>
        <v>108.5</v>
      </c>
      <c r="H254" s="1117">
        <f t="shared" si="23"/>
        <v>291.89999999999998</v>
      </c>
      <c r="T254" s="1106"/>
      <c r="U254" s="1105"/>
    </row>
    <row r="255" spans="1:21">
      <c r="A255" s="1114">
        <f t="shared" si="20"/>
        <v>43861</v>
      </c>
      <c r="B255" s="1115">
        <f t="shared" si="18"/>
        <v>2020</v>
      </c>
      <c r="C255" s="1283">
        <v>108.3</v>
      </c>
      <c r="D255" s="1283">
        <v>290.60000000000002</v>
      </c>
      <c r="E255" s="1116">
        <f>IF($A255&lt;DATE(2018,7,1),"-",INDEX('I1 - Universal Data'!$E$16:$V$16, MATCH(YEAR(EOMONTH($A255,6)), 'I1 - Universal Data'!$E$14:$V$14, 0)))</f>
        <v>8.5065402820156955E-3</v>
      </c>
      <c r="F255" s="1116">
        <f>IF($A255&lt;DATE(2018,7,1),"-",INDEX('I1 - Universal Data'!$E$15:$V$15, MATCH(YEAR(EOMONTH($A255,6)), 'I1 - Universal Data'!$E$14:$V$14, 0)))</f>
        <v>1.5033471260387898E-2</v>
      </c>
      <c r="G255" s="1117">
        <f t="shared" si="23"/>
        <v>108.3</v>
      </c>
      <c r="H255" s="1117">
        <f t="shared" si="23"/>
        <v>290.60000000000002</v>
      </c>
      <c r="T255" s="1106"/>
      <c r="U255" s="1105"/>
    </row>
    <row r="256" spans="1:21">
      <c r="A256" s="1114">
        <f t="shared" si="20"/>
        <v>43890</v>
      </c>
      <c r="B256" s="1115">
        <f t="shared" si="18"/>
        <v>2020</v>
      </c>
      <c r="C256" s="1283">
        <v>108.6</v>
      </c>
      <c r="D256" s="1283">
        <v>292</v>
      </c>
      <c r="E256" s="1116">
        <f>IF($A256&lt;DATE(2018,7,1),"-",INDEX('I1 - Universal Data'!$E$16:$V$16, MATCH(YEAR(EOMONTH($A256,6)), 'I1 - Universal Data'!$E$14:$V$14, 0)))</f>
        <v>8.5065402820156955E-3</v>
      </c>
      <c r="F256" s="1116">
        <f>IF($A256&lt;DATE(2018,7,1),"-",INDEX('I1 - Universal Data'!$E$15:$V$15, MATCH(YEAR(EOMONTH($A256,6)), 'I1 - Universal Data'!$E$14:$V$14, 0)))</f>
        <v>1.5033471260387898E-2</v>
      </c>
      <c r="G256" s="1117">
        <f t="shared" si="23"/>
        <v>108.6</v>
      </c>
      <c r="H256" s="1117">
        <f t="shared" si="23"/>
        <v>292</v>
      </c>
      <c r="T256" s="1106"/>
      <c r="U256" s="114"/>
    </row>
    <row r="257" spans="1:21">
      <c r="A257" s="1114">
        <f t="shared" si="20"/>
        <v>43921</v>
      </c>
      <c r="B257" s="1115">
        <f t="shared" si="18"/>
        <v>2020</v>
      </c>
      <c r="C257" s="1283">
        <v>108.6</v>
      </c>
      <c r="D257" s="1283">
        <v>292.60000000000002</v>
      </c>
      <c r="E257" s="1116">
        <f>IF($A257&lt;DATE(2018,7,1),"-",INDEX('I1 - Universal Data'!$E$16:$V$16, MATCH(YEAR(EOMONTH($A257,6)), 'I1 - Universal Data'!$E$14:$V$14, 0)))</f>
        <v>8.5065402820156955E-3</v>
      </c>
      <c r="F257" s="1116">
        <f>IF($A257&lt;DATE(2018,7,1),"-",INDEX('I1 - Universal Data'!$E$15:$V$15, MATCH(YEAR(EOMONTH($A257,6)), 'I1 - Universal Data'!$E$14:$V$14, 0)))</f>
        <v>1.5033471260387898E-2</v>
      </c>
      <c r="G257" s="1117">
        <f t="shared" si="23"/>
        <v>108.6</v>
      </c>
      <c r="H257" s="1117">
        <f t="shared" si="23"/>
        <v>292.60000000000002</v>
      </c>
      <c r="T257" s="1106"/>
      <c r="U257" s="114"/>
    </row>
    <row r="258" spans="1:21">
      <c r="A258" s="1114">
        <f t="shared" si="20"/>
        <v>43951</v>
      </c>
      <c r="B258" s="1115">
        <f t="shared" si="18"/>
        <v>2021</v>
      </c>
      <c r="C258" s="1283">
        <v>108.6</v>
      </c>
      <c r="D258" s="1283">
        <v>292.60000000000002</v>
      </c>
      <c r="E258" s="1116">
        <f>IF($A258&lt;DATE(2018,7,1),"-",INDEX('I1 - Universal Data'!$E$16:$V$16, MATCH(YEAR(EOMONTH($A258,6)), 'I1 - Universal Data'!$E$14:$V$14, 0)))</f>
        <v>8.5065402820156955E-3</v>
      </c>
      <c r="F258" s="1116">
        <f>IF($A258&lt;DATE(2018,7,1),"-",INDEX('I1 - Universal Data'!$E$15:$V$15, MATCH(YEAR(EOMONTH($A258,6)), 'I1 - Universal Data'!$E$14:$V$14, 0)))</f>
        <v>1.5033471260387898E-2</v>
      </c>
      <c r="G258" s="1117">
        <f t="shared" si="23"/>
        <v>108.6</v>
      </c>
      <c r="H258" s="1117">
        <f t="shared" si="23"/>
        <v>292.60000000000002</v>
      </c>
      <c r="T258" s="1106"/>
      <c r="U258" s="114"/>
    </row>
    <row r="259" spans="1:21">
      <c r="A259" s="1114">
        <f t="shared" si="20"/>
        <v>43982</v>
      </c>
      <c r="B259" s="1115">
        <f t="shared" si="18"/>
        <v>2021</v>
      </c>
      <c r="C259" s="1283">
        <v>108.6</v>
      </c>
      <c r="D259" s="1283">
        <v>292.2</v>
      </c>
      <c r="E259" s="1116">
        <f>IF($A259&lt;DATE(2018,7,1),"-",INDEX('I1 - Universal Data'!$E$16:$V$16, MATCH(YEAR(EOMONTH($A259,6)), 'I1 - Universal Data'!$E$14:$V$14, 0)))</f>
        <v>8.5065402820156955E-3</v>
      </c>
      <c r="F259" s="1116">
        <f>IF($A259&lt;DATE(2018,7,1),"-",INDEX('I1 - Universal Data'!$E$15:$V$15, MATCH(YEAR(EOMONTH($A259,6)), 'I1 - Universal Data'!$E$14:$V$14, 0)))</f>
        <v>1.5033471260387898E-2</v>
      </c>
      <c r="G259" s="1117">
        <f t="shared" si="23"/>
        <v>108.6</v>
      </c>
      <c r="H259" s="1117">
        <f t="shared" si="23"/>
        <v>292.2</v>
      </c>
      <c r="T259" s="1106"/>
      <c r="U259" s="114"/>
    </row>
    <row r="260" spans="1:21">
      <c r="A260" s="1114">
        <f t="shared" si="20"/>
        <v>44012</v>
      </c>
      <c r="B260" s="1115">
        <f t="shared" si="18"/>
        <v>2021</v>
      </c>
      <c r="C260" s="1283">
        <v>108.8</v>
      </c>
      <c r="D260" s="1283">
        <v>292.7</v>
      </c>
      <c r="E260" s="1116">
        <f>IF($A260&lt;DATE(2018,7,1),"-",INDEX('I1 - Universal Data'!$E$16:$V$16, MATCH(YEAR(EOMONTH($A260,6)), 'I1 - Universal Data'!$E$14:$V$14, 0)))</f>
        <v>8.5065402820156955E-3</v>
      </c>
      <c r="F260" s="1116">
        <f>IF($A260&lt;DATE(2018,7,1),"-",INDEX('I1 - Universal Data'!$E$15:$V$15, MATCH(YEAR(EOMONTH($A260,6)), 'I1 - Universal Data'!$E$14:$V$14, 0)))</f>
        <v>1.5033471260387898E-2</v>
      </c>
      <c r="G260" s="1117">
        <f t="shared" si="23"/>
        <v>108.8</v>
      </c>
      <c r="H260" s="1117">
        <f t="shared" si="23"/>
        <v>292.7</v>
      </c>
      <c r="T260" s="1106"/>
      <c r="U260" s="114"/>
    </row>
    <row r="261" spans="1:21">
      <c r="A261" s="1114">
        <f t="shared" si="20"/>
        <v>44043</v>
      </c>
      <c r="B261" s="1115">
        <f t="shared" si="18"/>
        <v>2021</v>
      </c>
      <c r="C261" s="1283">
        <v>109.2</v>
      </c>
      <c r="D261" s="1283">
        <v>294.2</v>
      </c>
      <c r="E261" s="1116">
        <f>IF($A261&lt;DATE(2018,7,1),"-",INDEX('I1 - Universal Data'!$E$16:$V$16, MATCH(YEAR(EOMONTH($A261,6)), 'I1 - Universal Data'!$E$14:$V$14, 0)))</f>
        <v>2.5882219500718229E-2</v>
      </c>
      <c r="F261" s="1116">
        <f>IF($A261&lt;DATE(2018,7,1),"-",INDEX('I1 - Universal Data'!$E$15:$V$15, MATCH(YEAR(EOMONTH($A261,6)), 'I1 - Universal Data'!$E$14:$V$14, 0)))</f>
        <v>4.0452569031158125E-2</v>
      </c>
      <c r="G261" s="1117">
        <f t="shared" si="23"/>
        <v>109.2</v>
      </c>
      <c r="H261" s="1117">
        <f t="shared" si="23"/>
        <v>294.2</v>
      </c>
      <c r="T261" s="1106"/>
      <c r="U261" s="114"/>
    </row>
    <row r="262" spans="1:21">
      <c r="A262" s="1114">
        <f t="shared" si="20"/>
        <v>44074</v>
      </c>
      <c r="B262" s="1115">
        <f t="shared" ref="B262:B325" si="24">IF(MONTH(A262)&gt;=4,YEAR(A262)+1,YEAR(A262))</f>
        <v>2021</v>
      </c>
      <c r="C262" s="1283">
        <v>108.8</v>
      </c>
      <c r="D262" s="1283">
        <v>293.3</v>
      </c>
      <c r="E262" s="1116">
        <f>IF($A262&lt;DATE(2018,7,1),"-",INDEX('I1 - Universal Data'!$E$16:$V$16, MATCH(YEAR(EOMONTH($A262,6)), 'I1 - Universal Data'!$E$14:$V$14, 0)))</f>
        <v>2.5882219500718229E-2</v>
      </c>
      <c r="F262" s="1116">
        <f>IF($A262&lt;DATE(2018,7,1),"-",INDEX('I1 - Universal Data'!$E$15:$V$15, MATCH(YEAR(EOMONTH($A262,6)), 'I1 - Universal Data'!$E$14:$V$14, 0)))</f>
        <v>4.0452569031158125E-2</v>
      </c>
      <c r="G262" s="1117">
        <f t="shared" ref="G262:H277" si="25">IF(ISBLANK(C262),G261*((1+E262)^(1/12)),C262)</f>
        <v>108.8</v>
      </c>
      <c r="H262" s="1117">
        <f t="shared" si="25"/>
        <v>293.3</v>
      </c>
      <c r="T262" s="1106"/>
      <c r="U262" s="114"/>
    </row>
    <row r="263" spans="1:21">
      <c r="A263" s="1114">
        <f t="shared" ref="A263:A326" si="26">IF(MONTH(A262) = 12, EOMONTH(DATE(YEAR(A262) + 1, 1, 1), 0), EOMONTH(DATE(YEAR(A262), MONTH(A262) + 1, 1), 0))</f>
        <v>44104</v>
      </c>
      <c r="B263" s="1115">
        <f t="shared" si="24"/>
        <v>2021</v>
      </c>
      <c r="C263" s="1283">
        <v>109.2</v>
      </c>
      <c r="D263" s="1283">
        <v>294.3</v>
      </c>
      <c r="E263" s="1116">
        <f>IF($A263&lt;DATE(2018,7,1),"-",INDEX('I1 - Universal Data'!$E$16:$V$16, MATCH(YEAR(EOMONTH($A263,6)), 'I1 - Universal Data'!$E$14:$V$14, 0)))</f>
        <v>2.5882219500718229E-2</v>
      </c>
      <c r="F263" s="1116">
        <f>IF($A263&lt;DATE(2018,7,1),"-",INDEX('I1 - Universal Data'!$E$15:$V$15, MATCH(YEAR(EOMONTH($A263,6)), 'I1 - Universal Data'!$E$14:$V$14, 0)))</f>
        <v>4.0452569031158125E-2</v>
      </c>
      <c r="G263" s="1117">
        <f t="shared" si="25"/>
        <v>109.2</v>
      </c>
      <c r="H263" s="1117">
        <f t="shared" si="25"/>
        <v>294.3</v>
      </c>
      <c r="T263" s="1106"/>
      <c r="U263" s="114"/>
    </row>
    <row r="264" spans="1:21">
      <c r="A264" s="1114">
        <f t="shared" si="26"/>
        <v>44135</v>
      </c>
      <c r="B264" s="1115">
        <f t="shared" si="24"/>
        <v>2021</v>
      </c>
      <c r="C264" s="1283">
        <v>109.2</v>
      </c>
      <c r="D264" s="1283">
        <v>294.3</v>
      </c>
      <c r="E264" s="1116">
        <f>IF($A264&lt;DATE(2018,7,1),"-",INDEX('I1 - Universal Data'!$E$16:$V$16, MATCH(YEAR(EOMONTH($A264,6)), 'I1 - Universal Data'!$E$14:$V$14, 0)))</f>
        <v>2.5882219500718229E-2</v>
      </c>
      <c r="F264" s="1116">
        <f>IF($A264&lt;DATE(2018,7,1),"-",INDEX('I1 - Universal Data'!$E$15:$V$15, MATCH(YEAR(EOMONTH($A264,6)), 'I1 - Universal Data'!$E$14:$V$14, 0)))</f>
        <v>4.0452569031158125E-2</v>
      </c>
      <c r="G264" s="1117">
        <f t="shared" si="25"/>
        <v>109.2</v>
      </c>
      <c r="H264" s="1117">
        <f t="shared" si="25"/>
        <v>294.3</v>
      </c>
      <c r="T264" s="1106"/>
      <c r="U264" s="114"/>
    </row>
    <row r="265" spans="1:21">
      <c r="A265" s="1114">
        <f t="shared" si="26"/>
        <v>44165</v>
      </c>
      <c r="B265" s="1115">
        <f t="shared" si="24"/>
        <v>2021</v>
      </c>
      <c r="C265" s="1283">
        <v>109.1</v>
      </c>
      <c r="D265" s="1283">
        <v>293.5</v>
      </c>
      <c r="E265" s="1116">
        <f>IF($A265&lt;DATE(2018,7,1),"-",INDEX('I1 - Universal Data'!$E$16:$V$16, MATCH(YEAR(EOMONTH($A265,6)), 'I1 - Universal Data'!$E$14:$V$14, 0)))</f>
        <v>2.5882219500718229E-2</v>
      </c>
      <c r="F265" s="1116">
        <f>IF($A265&lt;DATE(2018,7,1),"-",INDEX('I1 - Universal Data'!$E$15:$V$15, MATCH(YEAR(EOMONTH($A265,6)), 'I1 - Universal Data'!$E$14:$V$14, 0)))</f>
        <v>4.0452569031158125E-2</v>
      </c>
      <c r="G265" s="1117">
        <f t="shared" si="25"/>
        <v>109.1</v>
      </c>
      <c r="H265" s="1117">
        <f t="shared" si="25"/>
        <v>293.5</v>
      </c>
      <c r="T265" s="1106"/>
      <c r="U265" s="1107"/>
    </row>
    <row r="266" spans="1:21">
      <c r="A266" s="1114">
        <f t="shared" si="26"/>
        <v>44196</v>
      </c>
      <c r="B266" s="1115">
        <f t="shared" si="24"/>
        <v>2021</v>
      </c>
      <c r="C266" s="1283">
        <v>109.4</v>
      </c>
      <c r="D266" s="1283">
        <v>295.39999999999998</v>
      </c>
      <c r="E266" s="1116">
        <f>IF($A266&lt;DATE(2018,7,1),"-",INDEX('I1 - Universal Data'!$E$16:$V$16, MATCH(YEAR(EOMONTH($A266,6)), 'I1 - Universal Data'!$E$14:$V$14, 0)))</f>
        <v>2.5882219500718229E-2</v>
      </c>
      <c r="F266" s="1116">
        <f>IF($A266&lt;DATE(2018,7,1),"-",INDEX('I1 - Universal Data'!$E$15:$V$15, MATCH(YEAR(EOMONTH($A266,6)), 'I1 - Universal Data'!$E$14:$V$14, 0)))</f>
        <v>4.0452569031158125E-2</v>
      </c>
      <c r="G266" s="1117">
        <f t="shared" si="25"/>
        <v>109.4</v>
      </c>
      <c r="H266" s="1117">
        <f t="shared" si="25"/>
        <v>295.39999999999998</v>
      </c>
      <c r="T266" s="1106"/>
      <c r="U266" s="114"/>
    </row>
    <row r="267" spans="1:21">
      <c r="A267" s="1114">
        <f t="shared" si="26"/>
        <v>44227</v>
      </c>
      <c r="B267" s="1115">
        <f t="shared" si="24"/>
        <v>2021</v>
      </c>
      <c r="C267" s="1283">
        <v>109.3</v>
      </c>
      <c r="D267" s="1283">
        <v>294.60000000000002</v>
      </c>
      <c r="E267" s="1116">
        <f>IF($A267&lt;DATE(2018,7,1),"-",INDEX('I1 - Universal Data'!$E$16:$V$16, MATCH(YEAR(EOMONTH($A267,6)), 'I1 - Universal Data'!$E$14:$V$14, 0)))</f>
        <v>2.5882219500718229E-2</v>
      </c>
      <c r="F267" s="1116">
        <f>IF($A267&lt;DATE(2018,7,1),"-",INDEX('I1 - Universal Data'!$E$15:$V$15, MATCH(YEAR(EOMONTH($A267,6)), 'I1 - Universal Data'!$E$14:$V$14, 0)))</f>
        <v>4.0452569031158125E-2</v>
      </c>
      <c r="G267" s="1117">
        <f t="shared" si="25"/>
        <v>109.3</v>
      </c>
      <c r="H267" s="1117">
        <f t="shared" si="25"/>
        <v>294.60000000000002</v>
      </c>
      <c r="T267" s="1106"/>
      <c r="U267" s="114"/>
    </row>
    <row r="268" spans="1:21">
      <c r="A268" s="1114">
        <f t="shared" si="26"/>
        <v>44255</v>
      </c>
      <c r="B268" s="1115">
        <f t="shared" si="24"/>
        <v>2021</v>
      </c>
      <c r="C268" s="1283">
        <v>109.4</v>
      </c>
      <c r="D268" s="1283">
        <v>296</v>
      </c>
      <c r="E268" s="1116">
        <f>IF($A268&lt;DATE(2018,7,1),"-",INDEX('I1 - Universal Data'!$E$16:$V$16, MATCH(YEAR(EOMONTH($A268,6)), 'I1 - Universal Data'!$E$14:$V$14, 0)))</f>
        <v>2.5882219500718229E-2</v>
      </c>
      <c r="F268" s="1116">
        <f>IF($A268&lt;DATE(2018,7,1),"-",INDEX('I1 - Universal Data'!$E$15:$V$15, MATCH(YEAR(EOMONTH($A268,6)), 'I1 - Universal Data'!$E$14:$V$14, 0)))</f>
        <v>4.0452569031158125E-2</v>
      </c>
      <c r="G268" s="1117">
        <f t="shared" si="25"/>
        <v>109.4</v>
      </c>
      <c r="H268" s="1117">
        <f t="shared" si="25"/>
        <v>296</v>
      </c>
      <c r="I268" s="1108"/>
      <c r="T268" s="1106"/>
      <c r="U268" s="114"/>
    </row>
    <row r="269" spans="1:21">
      <c r="A269" s="1114">
        <f t="shared" si="26"/>
        <v>44286</v>
      </c>
      <c r="B269" s="1115">
        <f t="shared" si="24"/>
        <v>2021</v>
      </c>
      <c r="C269" s="1283">
        <v>109.7</v>
      </c>
      <c r="D269" s="1283">
        <v>296.89999999999998</v>
      </c>
      <c r="E269" s="1116">
        <f>IF($A269&lt;DATE(2018,7,1),"-",INDEX('I1 - Universal Data'!$E$16:$V$16, MATCH(YEAR(EOMONTH($A269,6)), 'I1 - Universal Data'!$E$14:$V$14, 0)))</f>
        <v>2.5882219500718229E-2</v>
      </c>
      <c r="F269" s="1116">
        <f>IF($A269&lt;DATE(2018,7,1),"-",INDEX('I1 - Universal Data'!$E$15:$V$15, MATCH(YEAR(EOMONTH($A269,6)), 'I1 - Universal Data'!$E$14:$V$14, 0)))</f>
        <v>4.0452569031158125E-2</v>
      </c>
      <c r="G269" s="1117">
        <f t="shared" si="25"/>
        <v>109.7</v>
      </c>
      <c r="H269" s="1117">
        <f t="shared" si="25"/>
        <v>296.89999999999998</v>
      </c>
      <c r="I269" s="1108"/>
      <c r="T269" s="1106"/>
      <c r="U269" s="114"/>
    </row>
    <row r="270" spans="1:21">
      <c r="A270" s="1114">
        <f t="shared" si="26"/>
        <v>44316</v>
      </c>
      <c r="B270" s="1115">
        <f t="shared" si="24"/>
        <v>2022</v>
      </c>
      <c r="C270" s="1283">
        <v>110.4</v>
      </c>
      <c r="D270" s="1283">
        <v>301.10000000000002</v>
      </c>
      <c r="E270" s="1116">
        <f>IF($A270&lt;DATE(2018,7,1),"-",INDEX('I1 - Universal Data'!$E$16:$V$16, MATCH(YEAR(EOMONTH($A270,6)), 'I1 - Universal Data'!$E$14:$V$14, 0)))</f>
        <v>2.5882219500718229E-2</v>
      </c>
      <c r="F270" s="1116">
        <f>IF($A270&lt;DATE(2018,7,1),"-",INDEX('I1 - Universal Data'!$E$15:$V$15, MATCH(YEAR(EOMONTH($A270,6)), 'I1 - Universal Data'!$E$14:$V$14, 0)))</f>
        <v>4.0452569031158125E-2</v>
      </c>
      <c r="G270" s="1117">
        <f t="shared" si="25"/>
        <v>110.4</v>
      </c>
      <c r="H270" s="1117">
        <f t="shared" si="25"/>
        <v>301.10000000000002</v>
      </c>
      <c r="I270" s="1108"/>
      <c r="T270" s="1106"/>
      <c r="U270" s="1107"/>
    </row>
    <row r="271" spans="1:21">
      <c r="A271" s="1114">
        <f t="shared" si="26"/>
        <v>44347</v>
      </c>
      <c r="B271" s="1115">
        <f t="shared" si="24"/>
        <v>2022</v>
      </c>
      <c r="C271" s="1283">
        <v>111</v>
      </c>
      <c r="D271" s="1283">
        <v>301.89999999999998</v>
      </c>
      <c r="E271" s="1116">
        <f>IF($A271&lt;DATE(2018,7,1),"-",INDEX('I1 - Universal Data'!$E$16:$V$16, MATCH(YEAR(EOMONTH($A271,6)), 'I1 - Universal Data'!$E$14:$V$14, 0)))</f>
        <v>2.5882219500718229E-2</v>
      </c>
      <c r="F271" s="1116">
        <f>IF($A271&lt;DATE(2018,7,1),"-",INDEX('I1 - Universal Data'!$E$15:$V$15, MATCH(YEAR(EOMONTH($A271,6)), 'I1 - Universal Data'!$E$14:$V$14, 0)))</f>
        <v>4.0452569031158125E-2</v>
      </c>
      <c r="G271" s="1117">
        <f t="shared" si="25"/>
        <v>111</v>
      </c>
      <c r="H271" s="1117">
        <f t="shared" si="25"/>
        <v>301.89999999999998</v>
      </c>
      <c r="I271" s="1108"/>
      <c r="T271" s="1106"/>
      <c r="U271" s="1107"/>
    </row>
    <row r="272" spans="1:21">
      <c r="A272" s="1114">
        <f t="shared" si="26"/>
        <v>44377</v>
      </c>
      <c r="B272" s="1115">
        <f t="shared" si="24"/>
        <v>2022</v>
      </c>
      <c r="C272" s="1283">
        <v>111.4</v>
      </c>
      <c r="D272" s="1283">
        <v>304</v>
      </c>
      <c r="E272" s="1116">
        <f>IF($A272&lt;DATE(2018,7,1),"-",INDEX('I1 - Universal Data'!$E$16:$V$16, MATCH(YEAR(EOMONTH($A272,6)), 'I1 - Universal Data'!$E$14:$V$14, 0)))</f>
        <v>2.5882219500718229E-2</v>
      </c>
      <c r="F272" s="1116">
        <f>IF($A272&lt;DATE(2018,7,1),"-",INDEX('I1 - Universal Data'!$E$15:$V$15, MATCH(YEAR(EOMONTH($A272,6)), 'I1 - Universal Data'!$E$14:$V$14, 0)))</f>
        <v>4.0452569031158125E-2</v>
      </c>
      <c r="G272" s="1117">
        <f t="shared" si="25"/>
        <v>111.4</v>
      </c>
      <c r="H272" s="1117">
        <f t="shared" si="25"/>
        <v>304</v>
      </c>
      <c r="I272" s="1108"/>
      <c r="U272" s="1107"/>
    </row>
    <row r="273" spans="1:21">
      <c r="A273" s="1114">
        <f t="shared" si="26"/>
        <v>44408</v>
      </c>
      <c r="B273" s="1115">
        <f t="shared" si="24"/>
        <v>2022</v>
      </c>
      <c r="C273" s="1283">
        <v>111.4</v>
      </c>
      <c r="D273" s="1283">
        <v>305.5</v>
      </c>
      <c r="E273" s="1116">
        <f>IF($A273&lt;DATE(2018,7,1),"-",INDEX('I1 - Universal Data'!$E$16:$V$16, MATCH(YEAR(EOMONTH($A273,6)), 'I1 - Universal Data'!$E$14:$V$14, 0)))</f>
        <v>9.0667455547039033E-2</v>
      </c>
      <c r="F273" s="1116">
        <f>IF($A273&lt;DATE(2018,7,1),"-",INDEX('I1 - Universal Data'!$E$15:$V$15, MATCH(YEAR(EOMONTH($A273,6)), 'I1 - Universal Data'!$E$14:$V$14, 0)))</f>
        <v>0.11584699426229506</v>
      </c>
      <c r="G273" s="1117">
        <f t="shared" si="25"/>
        <v>111.4</v>
      </c>
      <c r="H273" s="1117">
        <f t="shared" si="25"/>
        <v>305.5</v>
      </c>
      <c r="I273" s="1108"/>
      <c r="U273" s="1107"/>
    </row>
    <row r="274" spans="1:21">
      <c r="A274" s="1114">
        <f t="shared" si="26"/>
        <v>44439</v>
      </c>
      <c r="B274" s="1115">
        <f t="shared" si="24"/>
        <v>2022</v>
      </c>
      <c r="C274" s="1283">
        <v>112.1</v>
      </c>
      <c r="D274" s="1283">
        <v>307.39999999999998</v>
      </c>
      <c r="E274" s="1116">
        <f>IF($A274&lt;DATE(2018,7,1),"-",INDEX('I1 - Universal Data'!$E$16:$V$16, MATCH(YEAR(EOMONTH($A274,6)), 'I1 - Universal Data'!$E$14:$V$14, 0)))</f>
        <v>9.0667455547039033E-2</v>
      </c>
      <c r="F274" s="1116">
        <f>IF($A274&lt;DATE(2018,7,1),"-",INDEX('I1 - Universal Data'!$E$15:$V$15, MATCH(YEAR(EOMONTH($A274,6)), 'I1 - Universal Data'!$E$14:$V$14, 0)))</f>
        <v>0.11584699426229506</v>
      </c>
      <c r="G274" s="1117">
        <f t="shared" si="25"/>
        <v>112.1</v>
      </c>
      <c r="H274" s="1117">
        <f t="shared" si="25"/>
        <v>307.39999999999998</v>
      </c>
      <c r="I274" s="1108"/>
      <c r="U274" s="1107"/>
    </row>
    <row r="275" spans="1:21">
      <c r="A275" s="1114">
        <f t="shared" si="26"/>
        <v>44469</v>
      </c>
      <c r="B275" s="1115">
        <f t="shared" si="24"/>
        <v>2022</v>
      </c>
      <c r="C275" s="1283">
        <v>112.4</v>
      </c>
      <c r="D275" s="1283">
        <v>308.60000000000002</v>
      </c>
      <c r="E275" s="1116">
        <f>IF($A275&lt;DATE(2018,7,1),"-",INDEX('I1 - Universal Data'!$E$16:$V$16, MATCH(YEAR(EOMONTH($A275,6)), 'I1 - Universal Data'!$E$14:$V$14, 0)))</f>
        <v>9.0667455547039033E-2</v>
      </c>
      <c r="F275" s="1116">
        <f>IF($A275&lt;DATE(2018,7,1),"-",INDEX('I1 - Universal Data'!$E$15:$V$15, MATCH(YEAR(EOMONTH($A275,6)), 'I1 - Universal Data'!$E$14:$V$14, 0)))</f>
        <v>0.11584699426229506</v>
      </c>
      <c r="G275" s="1117">
        <f t="shared" si="25"/>
        <v>112.4</v>
      </c>
      <c r="H275" s="1117">
        <f t="shared" si="25"/>
        <v>308.60000000000002</v>
      </c>
      <c r="I275" s="1108"/>
      <c r="U275" s="1107"/>
    </row>
    <row r="276" spans="1:21">
      <c r="A276" s="1114">
        <f t="shared" si="26"/>
        <v>44500</v>
      </c>
      <c r="B276" s="1115">
        <f t="shared" si="24"/>
        <v>2022</v>
      </c>
      <c r="C276" s="1283">
        <v>113.4</v>
      </c>
      <c r="D276" s="1283">
        <v>312</v>
      </c>
      <c r="E276" s="1116">
        <f>IF($A276&lt;DATE(2018,7,1),"-",INDEX('I1 - Universal Data'!$E$16:$V$16, MATCH(YEAR(EOMONTH($A276,6)), 'I1 - Universal Data'!$E$14:$V$14, 0)))</f>
        <v>9.0667455547039033E-2</v>
      </c>
      <c r="F276" s="1116">
        <f>IF($A276&lt;DATE(2018,7,1),"-",INDEX('I1 - Universal Data'!$E$15:$V$15, MATCH(YEAR(EOMONTH($A276,6)), 'I1 - Universal Data'!$E$14:$V$14, 0)))</f>
        <v>0.11584699426229506</v>
      </c>
      <c r="G276" s="1117">
        <f t="shared" si="25"/>
        <v>113.4</v>
      </c>
      <c r="H276" s="1117">
        <f t="shared" si="25"/>
        <v>312</v>
      </c>
      <c r="I276" s="1108"/>
      <c r="U276" s="1107"/>
    </row>
    <row r="277" spans="1:21">
      <c r="A277" s="1114">
        <f t="shared" si="26"/>
        <v>44530</v>
      </c>
      <c r="B277" s="1115">
        <f t="shared" si="24"/>
        <v>2022</v>
      </c>
      <c r="C277" s="1283">
        <v>114.1</v>
      </c>
      <c r="D277" s="1283">
        <v>314.3</v>
      </c>
      <c r="E277" s="1116">
        <f>IF($A277&lt;DATE(2018,7,1),"-",INDEX('I1 - Universal Data'!$E$16:$V$16, MATCH(YEAR(EOMONTH($A277,6)), 'I1 - Universal Data'!$E$14:$V$14, 0)))</f>
        <v>9.0667455547039033E-2</v>
      </c>
      <c r="F277" s="1116">
        <f>IF($A277&lt;DATE(2018,7,1),"-",INDEX('I1 - Universal Data'!$E$15:$V$15, MATCH(YEAR(EOMONTH($A277,6)), 'I1 - Universal Data'!$E$14:$V$14, 0)))</f>
        <v>0.11584699426229506</v>
      </c>
      <c r="G277" s="1117">
        <f t="shared" si="25"/>
        <v>114.1</v>
      </c>
      <c r="H277" s="1117">
        <f t="shared" si="25"/>
        <v>314.3</v>
      </c>
      <c r="I277" s="1108"/>
      <c r="U277" s="1107"/>
    </row>
    <row r="278" spans="1:21">
      <c r="A278" s="1114">
        <f t="shared" si="26"/>
        <v>44561</v>
      </c>
      <c r="B278" s="1115">
        <f t="shared" si="24"/>
        <v>2022</v>
      </c>
      <c r="C278" s="1283">
        <v>114.7</v>
      </c>
      <c r="D278" s="1283">
        <v>317.7</v>
      </c>
      <c r="E278" s="1116">
        <f>IF($A278&lt;DATE(2018,7,1),"-",INDEX('I1 - Universal Data'!$E$16:$V$16, MATCH(YEAR(EOMONTH($A278,6)), 'I1 - Universal Data'!$E$14:$V$14, 0)))</f>
        <v>9.0667455547039033E-2</v>
      </c>
      <c r="F278" s="1116">
        <f>IF($A278&lt;DATE(2018,7,1),"-",INDEX('I1 - Universal Data'!$E$15:$V$15, MATCH(YEAR(EOMONTH($A278,6)), 'I1 - Universal Data'!$E$14:$V$14, 0)))</f>
        <v>0.11584699426229506</v>
      </c>
      <c r="G278" s="1117">
        <f t="shared" ref="G278:H293" si="27">IF(ISBLANK(C278),G277*((1+E278)^(1/12)),C278)</f>
        <v>114.7</v>
      </c>
      <c r="H278" s="1117">
        <f t="shared" si="27"/>
        <v>317.7</v>
      </c>
      <c r="I278" s="1108"/>
      <c r="U278" s="1107"/>
    </row>
    <row r="279" spans="1:21">
      <c r="A279" s="1114">
        <f t="shared" si="26"/>
        <v>44592</v>
      </c>
      <c r="B279" s="1115">
        <f t="shared" si="24"/>
        <v>2022</v>
      </c>
      <c r="C279" s="1283">
        <v>114.6</v>
      </c>
      <c r="D279" s="1283">
        <v>317.7</v>
      </c>
      <c r="E279" s="1116">
        <f>IF($A279&lt;DATE(2018,7,1),"-",INDEX('I1 - Universal Data'!$E$16:$V$16, MATCH(YEAR(EOMONTH($A279,6)), 'I1 - Universal Data'!$E$14:$V$14, 0)))</f>
        <v>9.0667455547039033E-2</v>
      </c>
      <c r="F279" s="1116">
        <f>IF($A279&lt;DATE(2018,7,1),"-",INDEX('I1 - Universal Data'!$E$15:$V$15, MATCH(YEAR(EOMONTH($A279,6)), 'I1 - Universal Data'!$E$14:$V$14, 0)))</f>
        <v>0.11584699426229506</v>
      </c>
      <c r="G279" s="1117">
        <f t="shared" si="27"/>
        <v>114.6</v>
      </c>
      <c r="H279" s="1117">
        <f t="shared" si="27"/>
        <v>317.7</v>
      </c>
      <c r="I279" s="1108"/>
      <c r="U279" s="1107"/>
    </row>
    <row r="280" spans="1:21">
      <c r="A280" s="1114">
        <f t="shared" si="26"/>
        <v>44620</v>
      </c>
      <c r="B280" s="1115">
        <f t="shared" si="24"/>
        <v>2022</v>
      </c>
      <c r="C280" s="1283">
        <v>115.4</v>
      </c>
      <c r="D280" s="1283">
        <v>320.2</v>
      </c>
      <c r="E280" s="1116">
        <f>IF($A280&lt;DATE(2018,7,1),"-",INDEX('I1 - Universal Data'!$E$16:$V$16, MATCH(YEAR(EOMONTH($A280,6)), 'I1 - Universal Data'!$E$14:$V$14, 0)))</f>
        <v>9.0667455547039033E-2</v>
      </c>
      <c r="F280" s="1116">
        <f>IF($A280&lt;DATE(2018,7,1),"-",INDEX('I1 - Universal Data'!$E$15:$V$15, MATCH(YEAR(EOMONTH($A280,6)), 'I1 - Universal Data'!$E$14:$V$14, 0)))</f>
        <v>0.11584699426229506</v>
      </c>
      <c r="G280" s="1117">
        <f t="shared" si="27"/>
        <v>115.4</v>
      </c>
      <c r="H280" s="1117">
        <f t="shared" si="27"/>
        <v>320.2</v>
      </c>
      <c r="U280" s="1107"/>
    </row>
    <row r="281" spans="1:21">
      <c r="A281" s="1114">
        <f t="shared" si="26"/>
        <v>44651</v>
      </c>
      <c r="B281" s="1115">
        <f t="shared" si="24"/>
        <v>2022</v>
      </c>
      <c r="C281" s="1283">
        <v>116.5</v>
      </c>
      <c r="D281" s="1283">
        <v>323.5</v>
      </c>
      <c r="E281" s="1116">
        <f>IF($A281&lt;DATE(2018,7,1),"-",INDEX('I1 - Universal Data'!$E$16:$V$16, MATCH(YEAR(EOMONTH($A281,6)), 'I1 - Universal Data'!$E$14:$V$14, 0)))</f>
        <v>9.0667455547039033E-2</v>
      </c>
      <c r="F281" s="1116">
        <f>IF($A281&lt;DATE(2018,7,1),"-",INDEX('I1 - Universal Data'!$E$15:$V$15, MATCH(YEAR(EOMONTH($A281,6)), 'I1 - Universal Data'!$E$14:$V$14, 0)))</f>
        <v>0.11584699426229506</v>
      </c>
      <c r="G281" s="1117">
        <f t="shared" si="27"/>
        <v>116.5</v>
      </c>
      <c r="H281" s="1117">
        <f t="shared" si="27"/>
        <v>323.5</v>
      </c>
      <c r="U281" s="1107"/>
    </row>
    <row r="282" spans="1:21">
      <c r="A282" s="1114">
        <f t="shared" si="26"/>
        <v>44681</v>
      </c>
      <c r="B282" s="1115">
        <f t="shared" si="24"/>
        <v>2023</v>
      </c>
      <c r="C282" s="1283">
        <v>119</v>
      </c>
      <c r="D282" s="1283">
        <v>334.6</v>
      </c>
      <c r="E282" s="1116">
        <f>IF($A282&lt;DATE(2018,7,1),"-",INDEX('I1 - Universal Data'!$E$16:$V$16, MATCH(YEAR(EOMONTH($A282,6)), 'I1 - Universal Data'!$E$14:$V$14, 0)))</f>
        <v>9.0667455547039033E-2</v>
      </c>
      <c r="F282" s="1116">
        <f>IF($A282&lt;DATE(2018,7,1),"-",INDEX('I1 - Universal Data'!$E$15:$V$15, MATCH(YEAR(EOMONTH($A282,6)), 'I1 - Universal Data'!$E$14:$V$14, 0)))</f>
        <v>0.11584699426229506</v>
      </c>
      <c r="G282" s="1117">
        <f t="shared" si="27"/>
        <v>119</v>
      </c>
      <c r="H282" s="1117">
        <f t="shared" si="27"/>
        <v>334.6</v>
      </c>
      <c r="U282" s="114"/>
    </row>
    <row r="283" spans="1:21">
      <c r="A283" s="1114">
        <f t="shared" si="26"/>
        <v>44712</v>
      </c>
      <c r="B283" s="1115">
        <f t="shared" si="24"/>
        <v>2023</v>
      </c>
      <c r="C283" s="1283">
        <v>119.7</v>
      </c>
      <c r="D283" s="1283">
        <v>337.1</v>
      </c>
      <c r="E283" s="1116">
        <f>IF($A283&lt;DATE(2018,7,1),"-",INDEX('I1 - Universal Data'!$E$16:$V$16, MATCH(YEAR(EOMONTH($A283,6)), 'I1 - Universal Data'!$E$14:$V$14, 0)))</f>
        <v>9.0667455547039033E-2</v>
      </c>
      <c r="F283" s="1116">
        <f>IF($A283&lt;DATE(2018,7,1),"-",INDEX('I1 - Universal Data'!$E$15:$V$15, MATCH(YEAR(EOMONTH($A283,6)), 'I1 - Universal Data'!$E$14:$V$14, 0)))</f>
        <v>0.11584699426229506</v>
      </c>
      <c r="G283" s="1117">
        <f t="shared" si="27"/>
        <v>119.7</v>
      </c>
      <c r="H283" s="1117">
        <f t="shared" si="27"/>
        <v>337.1</v>
      </c>
      <c r="U283" s="114"/>
    </row>
    <row r="284" spans="1:21">
      <c r="A284" s="1114">
        <f t="shared" si="26"/>
        <v>44742</v>
      </c>
      <c r="B284" s="1115">
        <f t="shared" si="24"/>
        <v>2023</v>
      </c>
      <c r="C284" s="1283">
        <v>120.5</v>
      </c>
      <c r="D284" s="1283">
        <v>340</v>
      </c>
      <c r="E284" s="1116">
        <f>IF($A284&lt;DATE(2018,7,1),"-",INDEX('I1 - Universal Data'!$E$16:$V$16, MATCH(YEAR(EOMONTH($A284,6)), 'I1 - Universal Data'!$E$14:$V$14, 0)))</f>
        <v>9.0667455547039033E-2</v>
      </c>
      <c r="F284" s="1116">
        <f>IF($A284&lt;DATE(2018,7,1),"-",INDEX('I1 - Universal Data'!$E$15:$V$15, MATCH(YEAR(EOMONTH($A284,6)), 'I1 - Universal Data'!$E$14:$V$14, 0)))</f>
        <v>0.11584699426229506</v>
      </c>
      <c r="G284" s="1117">
        <f t="shared" si="27"/>
        <v>120.5</v>
      </c>
      <c r="H284" s="1117">
        <f t="shared" si="27"/>
        <v>340</v>
      </c>
      <c r="U284" s="114"/>
    </row>
    <row r="285" spans="1:21">
      <c r="A285" s="1114">
        <f t="shared" si="26"/>
        <v>44773</v>
      </c>
      <c r="B285" s="1115">
        <f t="shared" si="24"/>
        <v>2023</v>
      </c>
      <c r="C285" s="1283">
        <v>121.2</v>
      </c>
      <c r="D285" s="1283">
        <v>343.2</v>
      </c>
      <c r="E285" s="1116">
        <f>IF($A285&lt;DATE(2018,7,1),"-",INDEX('I1 - Universal Data'!$E$16:$V$16, MATCH(YEAR(EOMONTH($A285,6)), 'I1 - Universal Data'!$E$14:$V$14, 0)))</f>
        <v>7.3032807433557098E-2</v>
      </c>
      <c r="F285" s="1116">
        <f>IF($A285&lt;DATE(2018,7,1),"-",INDEX('I1 - Universal Data'!$E$15:$V$15, MATCH(YEAR(EOMONTH($A285,6)), 'I1 - Universal Data'!$E$14:$V$14, 0)))</f>
        <v>9.6914789201007601E-2</v>
      </c>
      <c r="G285" s="1117">
        <f t="shared" si="27"/>
        <v>121.2</v>
      </c>
      <c r="H285" s="1117">
        <f t="shared" si="27"/>
        <v>343.2</v>
      </c>
      <c r="U285" s="114"/>
    </row>
    <row r="286" spans="1:21">
      <c r="A286" s="1114">
        <f t="shared" si="26"/>
        <v>44804</v>
      </c>
      <c r="B286" s="1115">
        <f t="shared" si="24"/>
        <v>2023</v>
      </c>
      <c r="C286" s="1283">
        <v>121.8</v>
      </c>
      <c r="D286" s="1283">
        <v>345.2</v>
      </c>
      <c r="E286" s="1116">
        <f>IF($A286&lt;DATE(2018,7,1),"-",INDEX('I1 - Universal Data'!$E$16:$V$16, MATCH(YEAR(EOMONTH($A286,6)), 'I1 - Universal Data'!$E$14:$V$14, 0)))</f>
        <v>7.3032807433557098E-2</v>
      </c>
      <c r="F286" s="1116">
        <f>IF($A286&lt;DATE(2018,7,1),"-",INDEX('I1 - Universal Data'!$E$15:$V$15, MATCH(YEAR(EOMONTH($A286,6)), 'I1 - Universal Data'!$E$14:$V$14, 0)))</f>
        <v>9.6914789201007601E-2</v>
      </c>
      <c r="G286" s="1117">
        <f t="shared" si="27"/>
        <v>121.8</v>
      </c>
      <c r="H286" s="1117">
        <f t="shared" si="27"/>
        <v>345.2</v>
      </c>
      <c r="U286" s="114"/>
    </row>
    <row r="287" spans="1:21">
      <c r="A287" s="1114">
        <f t="shared" si="26"/>
        <v>44834</v>
      </c>
      <c r="B287" s="1115">
        <f t="shared" si="24"/>
        <v>2023</v>
      </c>
      <c r="C287" s="1283">
        <v>122.3</v>
      </c>
      <c r="D287" s="1283">
        <v>347.6</v>
      </c>
      <c r="E287" s="1116">
        <f>IF($A287&lt;DATE(2018,7,1),"-",INDEX('I1 - Universal Data'!$E$16:$V$16, MATCH(YEAR(EOMONTH($A287,6)), 'I1 - Universal Data'!$E$14:$V$14, 0)))</f>
        <v>7.3032807433557098E-2</v>
      </c>
      <c r="F287" s="1116">
        <f>IF($A287&lt;DATE(2018,7,1),"-",INDEX('I1 - Universal Data'!$E$15:$V$15, MATCH(YEAR(EOMONTH($A287,6)), 'I1 - Universal Data'!$E$14:$V$14, 0)))</f>
        <v>9.6914789201007601E-2</v>
      </c>
      <c r="G287" s="1117">
        <f t="shared" si="27"/>
        <v>122.3</v>
      </c>
      <c r="H287" s="1117">
        <f t="shared" si="27"/>
        <v>347.6</v>
      </c>
      <c r="U287" s="114"/>
    </row>
    <row r="288" spans="1:21">
      <c r="A288" s="1114">
        <f t="shared" si="26"/>
        <v>44865</v>
      </c>
      <c r="B288" s="1115">
        <f t="shared" si="24"/>
        <v>2023</v>
      </c>
      <c r="C288" s="1283">
        <v>124.3</v>
      </c>
      <c r="D288" s="1283">
        <v>356.2</v>
      </c>
      <c r="E288" s="1116">
        <f>IF($A288&lt;DATE(2018,7,1),"-",INDEX('I1 - Universal Data'!$E$16:$V$16, MATCH(YEAR(EOMONTH($A288,6)), 'I1 - Universal Data'!$E$14:$V$14, 0)))</f>
        <v>7.3032807433557098E-2</v>
      </c>
      <c r="F288" s="1116">
        <f>IF($A288&lt;DATE(2018,7,1),"-",INDEX('I1 - Universal Data'!$E$15:$V$15, MATCH(YEAR(EOMONTH($A288,6)), 'I1 - Universal Data'!$E$14:$V$14, 0)))</f>
        <v>9.6914789201007601E-2</v>
      </c>
      <c r="G288" s="1117">
        <f t="shared" si="27"/>
        <v>124.3</v>
      </c>
      <c r="H288" s="1117">
        <f t="shared" si="27"/>
        <v>356.2</v>
      </c>
      <c r="U288" s="114"/>
    </row>
    <row r="289" spans="1:21">
      <c r="A289" s="1114">
        <f t="shared" si="26"/>
        <v>44895</v>
      </c>
      <c r="B289" s="1115">
        <f t="shared" si="24"/>
        <v>2023</v>
      </c>
      <c r="C289" s="1283">
        <v>124.8</v>
      </c>
      <c r="D289" s="1283">
        <v>358.3</v>
      </c>
      <c r="E289" s="1116">
        <f>IF($A289&lt;DATE(2018,7,1),"-",INDEX('I1 - Universal Data'!$E$16:$V$16, MATCH(YEAR(EOMONTH($A289,6)), 'I1 - Universal Data'!$E$14:$V$14, 0)))</f>
        <v>7.3032807433557098E-2</v>
      </c>
      <c r="F289" s="1116">
        <f>IF($A289&lt;DATE(2018,7,1),"-",INDEX('I1 - Universal Data'!$E$15:$V$15, MATCH(YEAR(EOMONTH($A289,6)), 'I1 - Universal Data'!$E$14:$V$14, 0)))</f>
        <v>9.6914789201007601E-2</v>
      </c>
      <c r="G289" s="1117">
        <f t="shared" si="27"/>
        <v>124.8</v>
      </c>
      <c r="H289" s="1117">
        <f t="shared" si="27"/>
        <v>358.3</v>
      </c>
      <c r="U289" s="114"/>
    </row>
    <row r="290" spans="1:21">
      <c r="A290" s="1114">
        <f t="shared" si="26"/>
        <v>44926</v>
      </c>
      <c r="B290" s="1115">
        <f t="shared" si="24"/>
        <v>2023</v>
      </c>
      <c r="C290" s="1283">
        <v>125.3</v>
      </c>
      <c r="D290" s="1283">
        <v>360.4</v>
      </c>
      <c r="E290" s="1116">
        <f>IF($A290&lt;DATE(2018,7,1),"-",INDEX('I1 - Universal Data'!$E$16:$V$16, MATCH(YEAR(EOMONTH($A290,6)), 'I1 - Universal Data'!$E$14:$V$14, 0)))</f>
        <v>7.3032807433557098E-2</v>
      </c>
      <c r="F290" s="1116">
        <f>IF($A290&lt;DATE(2018,7,1),"-",INDEX('I1 - Universal Data'!$E$15:$V$15, MATCH(YEAR(EOMONTH($A290,6)), 'I1 - Universal Data'!$E$14:$V$14, 0)))</f>
        <v>9.6914789201007601E-2</v>
      </c>
      <c r="G290" s="1117">
        <f t="shared" si="27"/>
        <v>125.3</v>
      </c>
      <c r="H290" s="1117">
        <f t="shared" si="27"/>
        <v>360.4</v>
      </c>
      <c r="U290" s="114"/>
    </row>
    <row r="291" spans="1:21">
      <c r="A291" s="1114">
        <f t="shared" si="26"/>
        <v>44957</v>
      </c>
      <c r="B291" s="1115">
        <f t="shared" si="24"/>
        <v>2023</v>
      </c>
      <c r="C291" s="1283">
        <v>124.8</v>
      </c>
      <c r="D291" s="1283">
        <v>360.3</v>
      </c>
      <c r="E291" s="1116">
        <f>IF($A291&lt;DATE(2018,7,1),"-",INDEX('I1 - Universal Data'!$E$16:$V$16, MATCH(YEAR(EOMONTH($A291,6)), 'I1 - Universal Data'!$E$14:$V$14, 0)))</f>
        <v>7.3032807433557098E-2</v>
      </c>
      <c r="F291" s="1116">
        <f>IF($A291&lt;DATE(2018,7,1),"-",INDEX('I1 - Universal Data'!$E$15:$V$15, MATCH(YEAR(EOMONTH($A291,6)), 'I1 - Universal Data'!$E$14:$V$14, 0)))</f>
        <v>9.6914789201007601E-2</v>
      </c>
      <c r="G291" s="1117">
        <f t="shared" si="27"/>
        <v>124.8</v>
      </c>
      <c r="H291" s="1117">
        <f t="shared" si="27"/>
        <v>360.3</v>
      </c>
      <c r="U291" s="114"/>
    </row>
    <row r="292" spans="1:21">
      <c r="A292" s="1114">
        <f t="shared" si="26"/>
        <v>44985</v>
      </c>
      <c r="B292" s="1115">
        <f t="shared" si="24"/>
        <v>2023</v>
      </c>
      <c r="C292" s="1283">
        <v>126</v>
      </c>
      <c r="D292" s="1283">
        <v>364.5</v>
      </c>
      <c r="E292" s="1116">
        <f>IF($A292&lt;DATE(2018,7,1),"-",INDEX('I1 - Universal Data'!$E$16:$V$16, MATCH(YEAR(EOMONTH($A292,6)), 'I1 - Universal Data'!$E$14:$V$14, 0)))</f>
        <v>7.3032807433557098E-2</v>
      </c>
      <c r="F292" s="1116">
        <f>IF($A292&lt;DATE(2018,7,1),"-",INDEX('I1 - Universal Data'!$E$15:$V$15, MATCH(YEAR(EOMONTH($A292,6)), 'I1 - Universal Data'!$E$14:$V$14, 0)))</f>
        <v>9.6914789201007601E-2</v>
      </c>
      <c r="G292" s="1117">
        <f t="shared" si="27"/>
        <v>126</v>
      </c>
      <c r="H292" s="1117">
        <f t="shared" si="27"/>
        <v>364.5</v>
      </c>
      <c r="U292" s="114"/>
    </row>
    <row r="293" spans="1:21">
      <c r="A293" s="1114">
        <f t="shared" si="26"/>
        <v>45016</v>
      </c>
      <c r="B293" s="1115">
        <f t="shared" si="24"/>
        <v>2023</v>
      </c>
      <c r="C293" s="1283">
        <v>126.8</v>
      </c>
      <c r="D293" s="1283">
        <v>367.2</v>
      </c>
      <c r="E293" s="1116">
        <f>IF($A293&lt;DATE(2018,7,1),"-",INDEX('I1 - Universal Data'!$E$16:$V$16, MATCH(YEAR(EOMONTH($A293,6)), 'I1 - Universal Data'!$E$14:$V$14, 0)))</f>
        <v>7.3032807433557098E-2</v>
      </c>
      <c r="F293" s="1116">
        <f>IF($A293&lt;DATE(2018,7,1),"-",INDEX('I1 - Universal Data'!$E$15:$V$15, MATCH(YEAR(EOMONTH($A293,6)), 'I1 - Universal Data'!$E$14:$V$14, 0)))</f>
        <v>9.6914789201007601E-2</v>
      </c>
      <c r="G293" s="1117">
        <f t="shared" si="27"/>
        <v>126.8</v>
      </c>
      <c r="H293" s="1117">
        <f t="shared" si="27"/>
        <v>367.2</v>
      </c>
      <c r="U293" s="114"/>
    </row>
    <row r="294" spans="1:21">
      <c r="A294" s="1114">
        <f t="shared" si="26"/>
        <v>45046</v>
      </c>
      <c r="B294" s="1115">
        <f t="shared" si="24"/>
        <v>2024</v>
      </c>
      <c r="C294" s="1283">
        <v>128.30000000000001</v>
      </c>
      <c r="D294" s="1283">
        <v>372.8</v>
      </c>
      <c r="E294" s="1116">
        <f>IF($A294&lt;DATE(2018,7,1),"-",INDEX('I1 - Universal Data'!$E$16:$V$16, MATCH(YEAR(EOMONTH($A294,6)), 'I1 - Universal Data'!$E$14:$V$14, 0)))</f>
        <v>7.3032807433557098E-2</v>
      </c>
      <c r="F294" s="1116">
        <f>IF($A294&lt;DATE(2018,7,1),"-",INDEX('I1 - Universal Data'!$E$15:$V$15, MATCH(YEAR(EOMONTH($A294,6)), 'I1 - Universal Data'!$E$14:$V$14, 0)))</f>
        <v>9.6914789201007601E-2</v>
      </c>
      <c r="G294" s="1117">
        <f t="shared" ref="G294:H309" si="28">IF(ISBLANK(C294),G293*((1+E294)^(1/12)),C294)</f>
        <v>128.30000000000001</v>
      </c>
      <c r="H294" s="1117">
        <f t="shared" si="28"/>
        <v>372.8</v>
      </c>
      <c r="U294" s="1105"/>
    </row>
    <row r="295" spans="1:21">
      <c r="A295" s="1114">
        <f t="shared" si="26"/>
        <v>45077</v>
      </c>
      <c r="B295" s="1115">
        <f t="shared" si="24"/>
        <v>2024</v>
      </c>
      <c r="C295" s="1283">
        <v>129.1</v>
      </c>
      <c r="D295" s="1283">
        <v>375.3</v>
      </c>
      <c r="E295" s="1116">
        <f>IF($A295&lt;DATE(2018,7,1),"-",INDEX('I1 - Universal Data'!$E$16:$V$16, MATCH(YEAR(EOMONTH($A295,6)), 'I1 - Universal Data'!$E$14:$V$14, 0)))</f>
        <v>7.3032807433557098E-2</v>
      </c>
      <c r="F295" s="1116">
        <f>IF($A295&lt;DATE(2018,7,1),"-",INDEX('I1 - Universal Data'!$E$15:$V$15, MATCH(YEAR(EOMONTH($A295,6)), 'I1 - Universal Data'!$E$14:$V$14, 0)))</f>
        <v>9.6914789201007601E-2</v>
      </c>
      <c r="G295" s="1117">
        <f t="shared" si="28"/>
        <v>129.1</v>
      </c>
      <c r="H295" s="1117">
        <f t="shared" si="28"/>
        <v>375.3</v>
      </c>
      <c r="U295" s="1105"/>
    </row>
    <row r="296" spans="1:21">
      <c r="A296" s="1114">
        <f t="shared" si="26"/>
        <v>45107</v>
      </c>
      <c r="B296" s="1115">
        <f t="shared" si="24"/>
        <v>2024</v>
      </c>
      <c r="C296" s="1283">
        <v>129.4</v>
      </c>
      <c r="D296" s="1283">
        <v>376.4</v>
      </c>
      <c r="E296" s="1116">
        <f>IF($A296&lt;DATE(2018,7,1),"-",INDEX('I1 - Universal Data'!$E$16:$V$16, MATCH(YEAR(EOMONTH($A296,6)), 'I1 - Universal Data'!$E$14:$V$14, 0)))</f>
        <v>7.3032807433557098E-2</v>
      </c>
      <c r="F296" s="1116">
        <f>IF($A296&lt;DATE(2018,7,1),"-",INDEX('I1 - Universal Data'!$E$15:$V$15, MATCH(YEAR(EOMONTH($A296,6)), 'I1 - Universal Data'!$E$14:$V$14, 0)))</f>
        <v>9.6914789201007601E-2</v>
      </c>
      <c r="G296" s="1117">
        <f t="shared" si="28"/>
        <v>129.4</v>
      </c>
      <c r="H296" s="1117">
        <f t="shared" si="28"/>
        <v>376.4</v>
      </c>
      <c r="U296" s="1105"/>
    </row>
    <row r="297" spans="1:21">
      <c r="A297" s="1114">
        <f t="shared" si="26"/>
        <v>45138</v>
      </c>
      <c r="B297" s="1115">
        <f t="shared" si="24"/>
        <v>2024</v>
      </c>
      <c r="C297" s="1283">
        <v>129</v>
      </c>
      <c r="D297" s="1283">
        <v>374.2</v>
      </c>
      <c r="E297" s="1116">
        <f>IF($A297&lt;DATE(2018,7,1),"-",INDEX('I1 - Universal Data'!$E$16:$V$16, MATCH(YEAR(EOMONTH($A297,6)), 'I1 - Universal Data'!$E$14:$V$14, 0)))</f>
        <v>2.1902133306788099E-2</v>
      </c>
      <c r="F297" s="1116">
        <f>IF($A297&lt;DATE(2018,7,1),"-",INDEX('I1 - Universal Data'!$E$15:$V$15, MATCH(YEAR(EOMONTH($A297,6)), 'I1 - Universal Data'!$E$14:$V$14, 0)))</f>
        <v>3.1356893625321E-2</v>
      </c>
      <c r="G297" s="1117">
        <f t="shared" si="28"/>
        <v>129</v>
      </c>
      <c r="H297" s="1117">
        <f t="shared" si="28"/>
        <v>374.2</v>
      </c>
      <c r="U297" s="1105"/>
    </row>
    <row r="298" spans="1:21">
      <c r="A298" s="1114">
        <f t="shared" si="26"/>
        <v>45169</v>
      </c>
      <c r="B298" s="1115">
        <f t="shared" si="24"/>
        <v>2024</v>
      </c>
      <c r="C298" s="1283">
        <v>129.4</v>
      </c>
      <c r="D298" s="1283">
        <v>376.6</v>
      </c>
      <c r="E298" s="1116">
        <f>IF($A298&lt;DATE(2018,7,1),"-",INDEX('I1 - Universal Data'!$E$16:$V$16, MATCH(YEAR(EOMONTH($A298,6)), 'I1 - Universal Data'!$E$14:$V$14, 0)))</f>
        <v>2.1902133306788099E-2</v>
      </c>
      <c r="F298" s="1116">
        <f>IF($A298&lt;DATE(2018,7,1),"-",INDEX('I1 - Universal Data'!$E$15:$V$15, MATCH(YEAR(EOMONTH($A298,6)), 'I1 - Universal Data'!$E$14:$V$14, 0)))</f>
        <v>3.1356893625321E-2</v>
      </c>
      <c r="G298" s="1117">
        <f t="shared" si="28"/>
        <v>129.4</v>
      </c>
      <c r="H298" s="1117">
        <f t="shared" si="28"/>
        <v>376.6</v>
      </c>
      <c r="U298" s="1105"/>
    </row>
    <row r="299" spans="1:21">
      <c r="A299" s="1114">
        <f t="shared" si="26"/>
        <v>45199</v>
      </c>
      <c r="B299" s="1115">
        <f t="shared" si="24"/>
        <v>2024</v>
      </c>
      <c r="C299" s="1283">
        <v>130.1</v>
      </c>
      <c r="D299" s="1283">
        <v>378.4</v>
      </c>
      <c r="E299" s="1116">
        <f>IF($A299&lt;DATE(2018,7,1),"-",INDEX('I1 - Universal Data'!$E$16:$V$16, MATCH(YEAR(EOMONTH($A299,6)), 'I1 - Universal Data'!$E$14:$V$14, 0)))</f>
        <v>2.1902133306788099E-2</v>
      </c>
      <c r="F299" s="1116">
        <f>IF($A299&lt;DATE(2018,7,1),"-",INDEX('I1 - Universal Data'!$E$15:$V$15, MATCH(YEAR(EOMONTH($A299,6)), 'I1 - Universal Data'!$E$14:$V$14, 0)))</f>
        <v>3.1356893625321E-2</v>
      </c>
      <c r="G299" s="1117">
        <f t="shared" si="28"/>
        <v>130.1</v>
      </c>
      <c r="H299" s="1117">
        <f t="shared" si="28"/>
        <v>378.4</v>
      </c>
      <c r="U299" s="1105"/>
    </row>
    <row r="300" spans="1:21">
      <c r="A300" s="1114">
        <f t="shared" si="26"/>
        <v>45230</v>
      </c>
      <c r="B300" s="1115">
        <f t="shared" si="24"/>
        <v>2024</v>
      </c>
      <c r="C300" s="1283">
        <v>130.19999999999999</v>
      </c>
      <c r="D300" s="1283">
        <v>377.8</v>
      </c>
      <c r="E300" s="1116">
        <f>IF($A300&lt;DATE(2018,7,1),"-",INDEX('I1 - Universal Data'!$E$16:$V$16, MATCH(YEAR(EOMONTH($A300,6)), 'I1 - Universal Data'!$E$14:$V$14, 0)))</f>
        <v>2.1902133306788099E-2</v>
      </c>
      <c r="F300" s="1116">
        <f>IF($A300&lt;DATE(2018,7,1),"-",INDEX('I1 - Universal Data'!$E$15:$V$15, MATCH(YEAR(EOMONTH($A300,6)), 'I1 - Universal Data'!$E$14:$V$14, 0)))</f>
        <v>3.1356893625321E-2</v>
      </c>
      <c r="G300" s="1117">
        <f t="shared" si="28"/>
        <v>130.19999999999999</v>
      </c>
      <c r="H300" s="1117">
        <f t="shared" si="28"/>
        <v>377.8</v>
      </c>
      <c r="U300" s="1105"/>
    </row>
    <row r="301" spans="1:21">
      <c r="A301" s="1114">
        <f t="shared" si="26"/>
        <v>45260</v>
      </c>
      <c r="B301" s="1115">
        <f t="shared" si="24"/>
        <v>2024</v>
      </c>
      <c r="C301" s="1283">
        <v>130</v>
      </c>
      <c r="D301" s="1283">
        <v>377.3</v>
      </c>
      <c r="E301" s="1116">
        <f>IF($A301&lt;DATE(2018,7,1),"-",INDEX('I1 - Universal Data'!$E$16:$V$16, MATCH(YEAR(EOMONTH($A301,6)), 'I1 - Universal Data'!$E$14:$V$14, 0)))</f>
        <v>2.1902133306788099E-2</v>
      </c>
      <c r="F301" s="1116">
        <f>IF($A301&lt;DATE(2018,7,1),"-",INDEX('I1 - Universal Data'!$E$15:$V$15, MATCH(YEAR(EOMONTH($A301,6)), 'I1 - Universal Data'!$E$14:$V$14, 0)))</f>
        <v>3.1356893625321E-2</v>
      </c>
      <c r="G301" s="1117">
        <f t="shared" si="28"/>
        <v>130</v>
      </c>
      <c r="H301" s="1117">
        <f t="shared" si="28"/>
        <v>377.3</v>
      </c>
      <c r="U301" s="1105"/>
    </row>
    <row r="302" spans="1:21">
      <c r="A302" s="1114">
        <f t="shared" si="26"/>
        <v>45291</v>
      </c>
      <c r="B302" s="1115">
        <f t="shared" si="24"/>
        <v>2024</v>
      </c>
      <c r="C302" s="1283">
        <v>130.5</v>
      </c>
      <c r="D302" s="1283">
        <v>379</v>
      </c>
      <c r="E302" s="1116">
        <f>IF($A302&lt;DATE(2018,7,1),"-",INDEX('I1 - Universal Data'!$E$16:$V$16, MATCH(YEAR(EOMONTH($A302,6)), 'I1 - Universal Data'!$E$14:$V$14, 0)))</f>
        <v>2.1902133306788099E-2</v>
      </c>
      <c r="F302" s="1116">
        <f>IF($A302&lt;DATE(2018,7,1),"-",INDEX('I1 - Universal Data'!$E$15:$V$15, MATCH(YEAR(EOMONTH($A302,6)), 'I1 - Universal Data'!$E$14:$V$14, 0)))</f>
        <v>3.1356893625321E-2</v>
      </c>
      <c r="G302" s="1117">
        <f t="shared" si="28"/>
        <v>130.5</v>
      </c>
      <c r="H302" s="1117">
        <f t="shared" si="28"/>
        <v>379</v>
      </c>
      <c r="U302" s="1105"/>
    </row>
    <row r="303" spans="1:21">
      <c r="A303" s="1114">
        <f t="shared" si="26"/>
        <v>45322</v>
      </c>
      <c r="B303" s="1115">
        <f t="shared" si="24"/>
        <v>2024</v>
      </c>
      <c r="C303" s="1283">
        <v>130</v>
      </c>
      <c r="D303" s="1283">
        <v>378</v>
      </c>
      <c r="E303" s="1116">
        <f>IF($A303&lt;DATE(2018,7,1),"-",INDEX('I1 - Universal Data'!$E$16:$V$16, MATCH(YEAR(EOMONTH($A303,6)), 'I1 - Universal Data'!$E$14:$V$14, 0)))</f>
        <v>2.1902133306788099E-2</v>
      </c>
      <c r="F303" s="1116">
        <f>IF($A303&lt;DATE(2018,7,1),"-",INDEX('I1 - Universal Data'!$E$15:$V$15, MATCH(YEAR(EOMONTH($A303,6)), 'I1 - Universal Data'!$E$14:$V$14, 0)))</f>
        <v>3.1356893625321E-2</v>
      </c>
      <c r="G303" s="1117">
        <f t="shared" si="28"/>
        <v>130</v>
      </c>
      <c r="H303" s="1117">
        <f t="shared" si="28"/>
        <v>378</v>
      </c>
      <c r="U303" s="1105"/>
    </row>
    <row r="304" spans="1:21">
      <c r="A304" s="1114">
        <f t="shared" si="26"/>
        <v>45351</v>
      </c>
      <c r="B304" s="1115">
        <f t="shared" si="24"/>
        <v>2024</v>
      </c>
      <c r="C304" s="1283">
        <v>130.80000000000001</v>
      </c>
      <c r="D304" s="1283">
        <v>381</v>
      </c>
      <c r="E304" s="1116">
        <f>IF($A304&lt;DATE(2018,7,1),"-",INDEX('I1 - Universal Data'!$E$16:$V$16, MATCH(YEAR(EOMONTH($A304,6)), 'I1 - Universal Data'!$E$14:$V$14, 0)))</f>
        <v>2.1902133306788099E-2</v>
      </c>
      <c r="F304" s="1116">
        <f>IF($A304&lt;DATE(2018,7,1),"-",INDEX('I1 - Universal Data'!$E$15:$V$15, MATCH(YEAR(EOMONTH($A304,6)), 'I1 - Universal Data'!$E$14:$V$14, 0)))</f>
        <v>3.1356893625321E-2</v>
      </c>
      <c r="G304" s="1117">
        <f t="shared" si="28"/>
        <v>130.80000000000001</v>
      </c>
      <c r="H304" s="1117">
        <f t="shared" si="28"/>
        <v>381</v>
      </c>
      <c r="U304" s="1105"/>
    </row>
    <row r="305" spans="1:21">
      <c r="A305" s="1114">
        <f t="shared" si="26"/>
        <v>45382</v>
      </c>
      <c r="B305" s="1115">
        <f t="shared" si="24"/>
        <v>2024</v>
      </c>
      <c r="C305" s="1283">
        <v>131.6</v>
      </c>
      <c r="D305" s="1283">
        <v>383</v>
      </c>
      <c r="E305" s="1116">
        <f>IF($A305&lt;DATE(2018,7,1),"-",INDEX('I1 - Universal Data'!$E$16:$V$16, MATCH(YEAR(EOMONTH($A305,6)), 'I1 - Universal Data'!$E$14:$V$14, 0)))</f>
        <v>2.1902133306788099E-2</v>
      </c>
      <c r="F305" s="1116">
        <f>IF($A305&lt;DATE(2018,7,1),"-",INDEX('I1 - Universal Data'!$E$15:$V$15, MATCH(YEAR(EOMONTH($A305,6)), 'I1 - Universal Data'!$E$14:$V$14, 0)))</f>
        <v>3.1356893625321E-2</v>
      </c>
      <c r="G305" s="1117">
        <f t="shared" si="28"/>
        <v>131.6</v>
      </c>
      <c r="H305" s="1117">
        <f t="shared" si="28"/>
        <v>383</v>
      </c>
      <c r="U305" s="1105"/>
    </row>
    <row r="306" spans="1:21">
      <c r="A306" s="1114">
        <f t="shared" si="26"/>
        <v>45412</v>
      </c>
      <c r="B306" s="1115">
        <f t="shared" si="24"/>
        <v>2025</v>
      </c>
      <c r="C306" s="1283"/>
      <c r="D306" s="1283"/>
      <c r="E306" s="1116">
        <f>IF($A306&lt;DATE(2018,7,1),"-",INDEX('I1 - Universal Data'!$E$16:$V$16, MATCH(YEAR(EOMONTH($A306,6)), 'I1 - Universal Data'!$E$14:$V$14, 0)))</f>
        <v>2.1902133306788099E-2</v>
      </c>
      <c r="F306" s="1116">
        <f>IF($A306&lt;DATE(2018,7,1),"-",INDEX('I1 - Universal Data'!$E$15:$V$15, MATCH(YEAR(EOMONTH($A306,6)), 'I1 - Universal Data'!$E$14:$V$14, 0)))</f>
        <v>3.1356893625321E-2</v>
      </c>
      <c r="G306" s="1117">
        <f t="shared" si="28"/>
        <v>131.83781542911365</v>
      </c>
      <c r="H306" s="1117">
        <f t="shared" si="28"/>
        <v>383.98670572883924</v>
      </c>
      <c r="U306" s="1105"/>
    </row>
    <row r="307" spans="1:21">
      <c r="A307" s="1114">
        <f t="shared" si="26"/>
        <v>45443</v>
      </c>
      <c r="B307" s="1115">
        <f t="shared" si="24"/>
        <v>2025</v>
      </c>
      <c r="C307" s="1283"/>
      <c r="D307" s="1283"/>
      <c r="E307" s="1116">
        <f>IF($A307&lt;DATE(2018,7,1),"-",INDEX('I1 - Universal Data'!$E$16:$V$16, MATCH(YEAR(EOMONTH($A307,6)), 'I1 - Universal Data'!$E$14:$V$14, 0)))</f>
        <v>2.1902133306788099E-2</v>
      </c>
      <c r="F307" s="1116">
        <f>IF($A307&lt;DATE(2018,7,1),"-",INDEX('I1 - Universal Data'!$E$15:$V$15, MATCH(YEAR(EOMONTH($A307,6)), 'I1 - Universal Data'!$E$14:$V$14, 0)))</f>
        <v>3.1356893625321E-2</v>
      </c>
      <c r="G307" s="1117">
        <f t="shared" si="28"/>
        <v>132.07606061642124</v>
      </c>
      <c r="H307" s="1117">
        <f t="shared" si="28"/>
        <v>384.97595346341041</v>
      </c>
      <c r="U307" s="1105"/>
    </row>
    <row r="308" spans="1:21">
      <c r="A308" s="1114">
        <f t="shared" si="26"/>
        <v>45473</v>
      </c>
      <c r="B308" s="1115">
        <f t="shared" si="24"/>
        <v>2025</v>
      </c>
      <c r="C308" s="1283"/>
      <c r="D308" s="1283"/>
      <c r="E308" s="1116">
        <f>IF($A308&lt;DATE(2018,7,1),"-",INDEX('I1 - Universal Data'!$E$16:$V$16, MATCH(YEAR(EOMONTH($A308,6)), 'I1 - Universal Data'!$E$14:$V$14, 0)))</f>
        <v>2.1902133306788099E-2</v>
      </c>
      <c r="F308" s="1116">
        <f>IF($A308&lt;DATE(2018,7,1),"-",INDEX('I1 - Universal Data'!$E$15:$V$15, MATCH(YEAR(EOMONTH($A308,6)), 'I1 - Universal Data'!$E$14:$V$14, 0)))</f>
        <v>3.1356893625321E-2</v>
      </c>
      <c r="G308" s="1117">
        <f t="shared" si="28"/>
        <v>132.31473633854233</v>
      </c>
      <c r="H308" s="1117">
        <f t="shared" si="28"/>
        <v>385.96774975256892</v>
      </c>
      <c r="U308" s="1105"/>
    </row>
    <row r="309" spans="1:21">
      <c r="A309" s="1114">
        <f t="shared" si="26"/>
        <v>45504</v>
      </c>
      <c r="B309" s="1115">
        <f t="shared" si="24"/>
        <v>2025</v>
      </c>
      <c r="C309" s="1283"/>
      <c r="D309" s="1283"/>
      <c r="E309" s="1116">
        <f>IF($A309&lt;DATE(2018,7,1),"-",INDEX('I1 - Universal Data'!$E$16:$V$16, MATCH(YEAR(EOMONTH($A309,6)), 'I1 - Universal Data'!$E$14:$V$14, 0)))</f>
        <v>1.47540195471507E-2</v>
      </c>
      <c r="F309" s="1116">
        <f>IF($A309&lt;DATE(2018,7,1),"-",INDEX('I1 - Universal Data'!$E$15:$V$15, MATCH(YEAR(EOMONTH($A309,6)), 'I1 - Universal Data'!$E$14:$V$14, 0)))</f>
        <v>2.0457266265074402E-2</v>
      </c>
      <c r="G309" s="1117">
        <f t="shared" si="28"/>
        <v>132.47632768949151</v>
      </c>
      <c r="H309" s="1117">
        <f t="shared" si="28"/>
        <v>386.61964683900982</v>
      </c>
      <c r="U309" s="1105"/>
    </row>
    <row r="310" spans="1:21">
      <c r="A310" s="1114">
        <f t="shared" si="26"/>
        <v>45535</v>
      </c>
      <c r="B310" s="1115">
        <f t="shared" si="24"/>
        <v>2025</v>
      </c>
      <c r="C310" s="1283"/>
      <c r="D310" s="1283"/>
      <c r="E310" s="1116">
        <f>IF($A310&lt;DATE(2018,7,1),"-",INDEX('I1 - Universal Data'!$E$16:$V$16, MATCH(YEAR(EOMONTH($A310,6)), 'I1 - Universal Data'!$E$14:$V$14, 0)))</f>
        <v>1.47540195471507E-2</v>
      </c>
      <c r="F310" s="1116">
        <f>IF($A310&lt;DATE(2018,7,1),"-",INDEX('I1 - Universal Data'!$E$15:$V$15, MATCH(YEAR(EOMONTH($A310,6)), 'I1 - Universal Data'!$E$14:$V$14, 0)))</f>
        <v>2.0457266265074402E-2</v>
      </c>
      <c r="G310" s="1117">
        <f t="shared" ref="G310:H325" si="29">IF(ISBLANK(C310),G309*((1+E310)^(1/12)),C310)</f>
        <v>132.63811638629517</v>
      </c>
      <c r="H310" s="1117">
        <f t="shared" si="29"/>
        <v>387.27264497550374</v>
      </c>
      <c r="U310" s="1105"/>
    </row>
    <row r="311" spans="1:21">
      <c r="A311" s="1114">
        <f t="shared" si="26"/>
        <v>45565</v>
      </c>
      <c r="B311" s="1115">
        <f t="shared" si="24"/>
        <v>2025</v>
      </c>
      <c r="C311" s="1283"/>
      <c r="D311" s="1283"/>
      <c r="E311" s="1116">
        <f>IF($A311&lt;DATE(2018,7,1),"-",INDEX('I1 - Universal Data'!$E$16:$V$16, MATCH(YEAR(EOMONTH($A311,6)), 'I1 - Universal Data'!$E$14:$V$14, 0)))</f>
        <v>1.47540195471507E-2</v>
      </c>
      <c r="F311" s="1116">
        <f>IF($A311&lt;DATE(2018,7,1),"-",INDEX('I1 - Universal Data'!$E$15:$V$15, MATCH(YEAR(EOMONTH($A311,6)), 'I1 - Universal Data'!$E$14:$V$14, 0)))</f>
        <v>2.0457266265074402E-2</v>
      </c>
      <c r="G311" s="1117">
        <f t="shared" si="29"/>
        <v>132.80010266996487</v>
      </c>
      <c r="H311" s="1117">
        <f t="shared" si="29"/>
        <v>387.92674602171718</v>
      </c>
      <c r="U311" s="1105"/>
    </row>
    <row r="312" spans="1:21">
      <c r="A312" s="1114">
        <f t="shared" si="26"/>
        <v>45596</v>
      </c>
      <c r="B312" s="1115">
        <f t="shared" si="24"/>
        <v>2025</v>
      </c>
      <c r="C312" s="1283"/>
      <c r="D312" s="1283"/>
      <c r="E312" s="1116">
        <f>IF($A312&lt;DATE(2018,7,1),"-",INDEX('I1 - Universal Data'!$E$16:$V$16, MATCH(YEAR(EOMONTH($A312,6)), 'I1 - Universal Data'!$E$14:$V$14, 0)))</f>
        <v>1.47540195471507E-2</v>
      </c>
      <c r="F312" s="1116">
        <f>IF($A312&lt;DATE(2018,7,1),"-",INDEX('I1 - Universal Data'!$E$15:$V$15, MATCH(YEAR(EOMONTH($A312,6)), 'I1 - Universal Data'!$E$14:$V$14, 0)))</f>
        <v>2.0457266265074402E-2</v>
      </c>
      <c r="G312" s="1117">
        <f t="shared" si="29"/>
        <v>132.96228678180654</v>
      </c>
      <c r="H312" s="1117">
        <f t="shared" si="29"/>
        <v>388.58195184045769</v>
      </c>
      <c r="U312" s="1105"/>
    </row>
    <row r="313" spans="1:21">
      <c r="A313" s="1114">
        <f t="shared" si="26"/>
        <v>45626</v>
      </c>
      <c r="B313" s="1115">
        <f t="shared" si="24"/>
        <v>2025</v>
      </c>
      <c r="C313" s="1283"/>
      <c r="D313" s="1283"/>
      <c r="E313" s="1116">
        <f>IF($A313&lt;DATE(2018,7,1),"-",INDEX('I1 - Universal Data'!$E$16:$V$16, MATCH(YEAR(EOMONTH($A313,6)), 'I1 - Universal Data'!$E$14:$V$14, 0)))</f>
        <v>1.47540195471507E-2</v>
      </c>
      <c r="F313" s="1116">
        <f>IF($A313&lt;DATE(2018,7,1),"-",INDEX('I1 - Universal Data'!$E$15:$V$15, MATCH(YEAR(EOMONTH($A313,6)), 'I1 - Universal Data'!$E$14:$V$14, 0)))</f>
        <v>2.0457266265074402E-2</v>
      </c>
      <c r="G313" s="1117">
        <f t="shared" si="29"/>
        <v>133.12466896342079</v>
      </c>
      <c r="H313" s="1117">
        <f t="shared" si="29"/>
        <v>389.23826429767911</v>
      </c>
      <c r="U313" s="1105"/>
    </row>
    <row r="314" spans="1:21">
      <c r="A314" s="1114">
        <f t="shared" si="26"/>
        <v>45657</v>
      </c>
      <c r="B314" s="1115">
        <f t="shared" si="24"/>
        <v>2025</v>
      </c>
      <c r="C314" s="1283"/>
      <c r="D314" s="1283"/>
      <c r="E314" s="1116">
        <f>IF($A314&lt;DATE(2018,7,1),"-",INDEX('I1 - Universal Data'!$E$16:$V$16, MATCH(YEAR(EOMONTH($A314,6)), 'I1 - Universal Data'!$E$14:$V$14, 0)))</f>
        <v>1.47540195471507E-2</v>
      </c>
      <c r="F314" s="1116">
        <f>IF($A314&lt;DATE(2018,7,1),"-",INDEX('I1 - Universal Data'!$E$15:$V$15, MATCH(YEAR(EOMONTH($A314,6)), 'I1 - Universal Data'!$E$14:$V$14, 0)))</f>
        <v>2.0457266265074402E-2</v>
      </c>
      <c r="G314" s="1117">
        <f t="shared" si="29"/>
        <v>133.28724945670328</v>
      </c>
      <c r="H314" s="1117">
        <f t="shared" si="29"/>
        <v>389.89568526248678</v>
      </c>
      <c r="U314" s="1105"/>
    </row>
    <row r="315" spans="1:21">
      <c r="A315" s="1114">
        <f t="shared" si="26"/>
        <v>45688</v>
      </c>
      <c r="B315" s="1115">
        <f t="shared" si="24"/>
        <v>2025</v>
      </c>
      <c r="C315" s="1283"/>
      <c r="D315" s="1283"/>
      <c r="E315" s="1116">
        <f>IF($A315&lt;DATE(2018,7,1),"-",INDEX('I1 - Universal Data'!$E$16:$V$16, MATCH(YEAR(EOMONTH($A315,6)), 'I1 - Universal Data'!$E$14:$V$14, 0)))</f>
        <v>1.47540195471507E-2</v>
      </c>
      <c r="F315" s="1116">
        <f>IF($A315&lt;DATE(2018,7,1),"-",INDEX('I1 - Universal Data'!$E$15:$V$15, MATCH(YEAR(EOMONTH($A315,6)), 'I1 - Universal Data'!$E$14:$V$14, 0)))</f>
        <v>2.0457266265074402E-2</v>
      </c>
      <c r="G315" s="1117">
        <f t="shared" si="29"/>
        <v>133.45002850384512</v>
      </c>
      <c r="H315" s="1117">
        <f t="shared" si="29"/>
        <v>390.55421660714302</v>
      </c>
      <c r="U315" s="1105"/>
    </row>
    <row r="316" spans="1:21">
      <c r="A316" s="1114">
        <f t="shared" si="26"/>
        <v>45716</v>
      </c>
      <c r="B316" s="1115">
        <f t="shared" si="24"/>
        <v>2025</v>
      </c>
      <c r="C316" s="1283"/>
      <c r="D316" s="1283"/>
      <c r="E316" s="1116">
        <f>IF($A316&lt;DATE(2018,7,1),"-",INDEX('I1 - Universal Data'!$E$16:$V$16, MATCH(YEAR(EOMONTH($A316,6)), 'I1 - Universal Data'!$E$14:$V$14, 0)))</f>
        <v>1.47540195471507E-2</v>
      </c>
      <c r="F316" s="1116">
        <f>IF($A316&lt;DATE(2018,7,1),"-",INDEX('I1 - Universal Data'!$E$15:$V$15, MATCH(YEAR(EOMONTH($A316,6)), 'I1 - Universal Data'!$E$14:$V$14, 0)))</f>
        <v>2.0457266265074402E-2</v>
      </c>
      <c r="G316" s="1117">
        <f t="shared" si="29"/>
        <v>133.61300634733317</v>
      </c>
      <c r="H316" s="1117">
        <f t="shared" si="29"/>
        <v>391.21386020707234</v>
      </c>
      <c r="U316" s="1105"/>
    </row>
    <row r="317" spans="1:21">
      <c r="A317" s="1114">
        <f t="shared" si="26"/>
        <v>45747</v>
      </c>
      <c r="B317" s="1115">
        <f t="shared" si="24"/>
        <v>2025</v>
      </c>
      <c r="C317" s="1283"/>
      <c r="D317" s="1283"/>
      <c r="E317" s="1116">
        <f>IF($A317&lt;DATE(2018,7,1),"-",INDEX('I1 - Universal Data'!$E$16:$V$16, MATCH(YEAR(EOMONTH($A317,6)), 'I1 - Universal Data'!$E$14:$V$14, 0)))</f>
        <v>1.47540195471507E-2</v>
      </c>
      <c r="F317" s="1116">
        <f>IF($A317&lt;DATE(2018,7,1),"-",INDEX('I1 - Universal Data'!$E$15:$V$15, MATCH(YEAR(EOMONTH($A317,6)), 'I1 - Universal Data'!$E$14:$V$14, 0)))</f>
        <v>2.0457266265074402E-2</v>
      </c>
      <c r="G317" s="1117">
        <f t="shared" si="29"/>
        <v>133.77618322995045</v>
      </c>
      <c r="H317" s="1117">
        <f t="shared" si="29"/>
        <v>391.87461794086693</v>
      </c>
      <c r="U317" s="1105"/>
    </row>
    <row r="318" spans="1:21">
      <c r="A318" s="1114">
        <f t="shared" si="26"/>
        <v>45777</v>
      </c>
      <c r="B318" s="1115">
        <f t="shared" si="24"/>
        <v>2026</v>
      </c>
      <c r="C318" s="1283"/>
      <c r="D318" s="1283"/>
      <c r="E318" s="1116">
        <f>IF($A318&lt;DATE(2018,7,1),"-",INDEX('I1 - Universal Data'!$E$16:$V$16, MATCH(YEAR(EOMONTH($A318,6)), 'I1 - Universal Data'!$E$14:$V$14, 0)))</f>
        <v>1.47540195471507E-2</v>
      </c>
      <c r="F318" s="1116">
        <f>IF($A318&lt;DATE(2018,7,1),"-",INDEX('I1 - Universal Data'!$E$15:$V$15, MATCH(YEAR(EOMONTH($A318,6)), 'I1 - Universal Data'!$E$14:$V$14, 0)))</f>
        <v>2.0457266265074402E-2</v>
      </c>
      <c r="G318" s="1117">
        <f t="shared" si="29"/>
        <v>133.93955939477644</v>
      </c>
      <c r="H318" s="1117">
        <f t="shared" si="29"/>
        <v>392.53649169029177</v>
      </c>
      <c r="U318" s="1105"/>
    </row>
    <row r="319" spans="1:21">
      <c r="A319" s="1114">
        <f t="shared" si="26"/>
        <v>45808</v>
      </c>
      <c r="B319" s="1115">
        <f t="shared" si="24"/>
        <v>2026</v>
      </c>
      <c r="C319" s="1283"/>
      <c r="D319" s="1283"/>
      <c r="E319" s="1116">
        <f>IF($A319&lt;DATE(2018,7,1),"-",INDEX('I1 - Universal Data'!$E$16:$V$16, MATCH(YEAR(EOMONTH($A319,6)), 'I1 - Universal Data'!$E$14:$V$14, 0)))</f>
        <v>1.47540195471507E-2</v>
      </c>
      <c r="F319" s="1116">
        <f>IF($A319&lt;DATE(2018,7,1),"-",INDEX('I1 - Universal Data'!$E$15:$V$15, MATCH(YEAR(EOMONTH($A319,6)), 'I1 - Universal Data'!$E$14:$V$14, 0)))</f>
        <v>2.0457266265074402E-2</v>
      </c>
      <c r="G319" s="1117">
        <f t="shared" si="29"/>
        <v>134.10313508518755</v>
      </c>
      <c r="H319" s="1117">
        <f t="shared" si="29"/>
        <v>393.19948334029021</v>
      </c>
      <c r="U319" s="1105"/>
    </row>
    <row r="320" spans="1:21">
      <c r="A320" s="1114">
        <f t="shared" si="26"/>
        <v>45838</v>
      </c>
      <c r="B320" s="1115">
        <f t="shared" si="24"/>
        <v>2026</v>
      </c>
      <c r="C320" s="1283"/>
      <c r="D320" s="1283"/>
      <c r="E320" s="1116">
        <f>IF($A320&lt;DATE(2018,7,1),"-",INDEX('I1 - Universal Data'!$E$16:$V$16, MATCH(YEAR(EOMONTH($A320,6)), 'I1 - Universal Data'!$E$14:$V$14, 0)))</f>
        <v>1.47540195471507E-2</v>
      </c>
      <c r="F320" s="1116">
        <f>IF($A320&lt;DATE(2018,7,1),"-",INDEX('I1 - Universal Data'!$E$15:$V$15, MATCH(YEAR(EOMONTH($A320,6)), 'I1 - Universal Data'!$E$14:$V$14, 0)))</f>
        <v>2.0457266265074402E-2</v>
      </c>
      <c r="G320" s="1117">
        <f t="shared" si="29"/>
        <v>134.26691054485738</v>
      </c>
      <c r="H320" s="1117">
        <f t="shared" si="29"/>
        <v>393.86359477898924</v>
      </c>
      <c r="U320" s="1105"/>
    </row>
    <row r="321" spans="1:21">
      <c r="A321" s="1114">
        <f t="shared" si="26"/>
        <v>45869</v>
      </c>
      <c r="B321" s="1115">
        <f t="shared" si="24"/>
        <v>2026</v>
      </c>
      <c r="C321" s="1283"/>
      <c r="D321" s="1283"/>
      <c r="E321" s="1116">
        <f>IF($A321&lt;DATE(2018,7,1),"-",INDEX('I1 - Universal Data'!$E$16:$V$16, MATCH(YEAR(EOMONTH($A321,6)), 'I1 - Universal Data'!$E$14:$V$14, 0)))</f>
        <v>1.62662132526732E-2</v>
      </c>
      <c r="F321" s="1116">
        <f>IF($A321&lt;DATE(2018,7,1),"-",INDEX('I1 - Universal Data'!$E$15:$V$15, MATCH(YEAR(EOMONTH($A321,6)), 'I1 - Universal Data'!$E$14:$V$14, 0)))</f>
        <v>2.4969908330546801E-2</v>
      </c>
      <c r="G321" s="1117">
        <f t="shared" si="29"/>
        <v>134.44756878203748</v>
      </c>
      <c r="H321" s="1117">
        <f t="shared" si="29"/>
        <v>394.67392372077853</v>
      </c>
      <c r="U321" s="1105"/>
    </row>
    <row r="322" spans="1:21">
      <c r="A322" s="1114">
        <f t="shared" si="26"/>
        <v>45900</v>
      </c>
      <c r="B322" s="1115">
        <f t="shared" si="24"/>
        <v>2026</v>
      </c>
      <c r="C322" s="1283"/>
      <c r="D322" s="1283"/>
      <c r="E322" s="1116">
        <f>IF($A322&lt;DATE(2018,7,1),"-",INDEX('I1 - Universal Data'!$E$16:$V$16, MATCH(YEAR(EOMONTH($A322,6)), 'I1 - Universal Data'!$E$14:$V$14, 0)))</f>
        <v>1.62662132526732E-2</v>
      </c>
      <c r="F322" s="1116">
        <f>IF($A322&lt;DATE(2018,7,1),"-",INDEX('I1 - Universal Data'!$E$15:$V$15, MATCH(YEAR(EOMONTH($A322,6)), 'I1 - Universal Data'!$E$14:$V$14, 0)))</f>
        <v>2.4969908330546801E-2</v>
      </c>
      <c r="G322" s="1117">
        <f t="shared" si="29"/>
        <v>134.62847009771346</v>
      </c>
      <c r="H322" s="1117">
        <f t="shared" si="29"/>
        <v>395.4859198209511</v>
      </c>
      <c r="U322" s="1105"/>
    </row>
    <row r="323" spans="1:21">
      <c r="A323" s="1114">
        <f t="shared" si="26"/>
        <v>45930</v>
      </c>
      <c r="B323" s="1115">
        <f t="shared" si="24"/>
        <v>2026</v>
      </c>
      <c r="C323" s="1283"/>
      <c r="D323" s="1283"/>
      <c r="E323" s="1116">
        <f>IF($A323&lt;DATE(2018,7,1),"-",INDEX('I1 - Universal Data'!$E$16:$V$16, MATCH(YEAR(EOMONTH($A323,6)), 'I1 - Universal Data'!$E$14:$V$14, 0)))</f>
        <v>1.62662132526732E-2</v>
      </c>
      <c r="F323" s="1116">
        <f>IF($A323&lt;DATE(2018,7,1),"-",INDEX('I1 - Universal Data'!$E$15:$V$15, MATCH(YEAR(EOMONTH($A323,6)), 'I1 - Universal Data'!$E$14:$V$14, 0)))</f>
        <v>2.4969908330546801E-2</v>
      </c>
      <c r="G323" s="1117">
        <f t="shared" si="29"/>
        <v>134.80961481895125</v>
      </c>
      <c r="H323" s="1117">
        <f t="shared" si="29"/>
        <v>396.29958650949311</v>
      </c>
      <c r="U323" s="1105"/>
    </row>
    <row r="324" spans="1:21">
      <c r="A324" s="1114">
        <f t="shared" si="26"/>
        <v>45961</v>
      </c>
      <c r="B324" s="1115">
        <f t="shared" si="24"/>
        <v>2026</v>
      </c>
      <c r="C324" s="1283"/>
      <c r="D324" s="1283"/>
      <c r="E324" s="1116">
        <f>IF($A324&lt;DATE(2018,7,1),"-",INDEX('I1 - Universal Data'!$E$16:$V$16, MATCH(YEAR(EOMONTH($A324,6)), 'I1 - Universal Data'!$E$14:$V$14, 0)))</f>
        <v>1.62662132526732E-2</v>
      </c>
      <c r="F324" s="1116">
        <f>IF($A324&lt;DATE(2018,7,1),"-",INDEX('I1 - Universal Data'!$E$15:$V$15, MATCH(YEAR(EOMONTH($A324,6)), 'I1 - Universal Data'!$E$14:$V$14, 0)))</f>
        <v>2.4969908330546801E-2</v>
      </c>
      <c r="G324" s="1117">
        <f t="shared" si="29"/>
        <v>134.99100327325687</v>
      </c>
      <c r="H324" s="1117">
        <f t="shared" si="29"/>
        <v>397.11492722344758</v>
      </c>
      <c r="U324" s="1105"/>
    </row>
    <row r="325" spans="1:21">
      <c r="A325" s="1114">
        <f t="shared" si="26"/>
        <v>45991</v>
      </c>
      <c r="B325" s="1115">
        <f t="shared" si="24"/>
        <v>2026</v>
      </c>
      <c r="C325" s="1283"/>
      <c r="D325" s="1283"/>
      <c r="E325" s="1116">
        <f>IF($A325&lt;DATE(2018,7,1),"-",INDEX('I1 - Universal Data'!$E$16:$V$16, MATCH(YEAR(EOMONTH($A325,6)), 'I1 - Universal Data'!$E$14:$V$14, 0)))</f>
        <v>1.62662132526732E-2</v>
      </c>
      <c r="F325" s="1116">
        <f>IF($A325&lt;DATE(2018,7,1),"-",INDEX('I1 - Universal Data'!$E$15:$V$15, MATCH(YEAR(EOMONTH($A325,6)), 'I1 - Universal Data'!$E$14:$V$14, 0)))</f>
        <v>2.4969908330546801E-2</v>
      </c>
      <c r="G325" s="1117">
        <f t="shared" si="29"/>
        <v>135.17263578857697</v>
      </c>
      <c r="H325" s="1117">
        <f t="shared" si="29"/>
        <v>397.93194540692878</v>
      </c>
      <c r="U325" s="1105"/>
    </row>
    <row r="326" spans="1:21">
      <c r="A326" s="1114">
        <f t="shared" si="26"/>
        <v>46022</v>
      </c>
      <c r="B326" s="1115">
        <f t="shared" ref="B326:B389" si="30">IF(MONTH(A326)&gt;=4,YEAR(A326)+1,YEAR(A326))</f>
        <v>2026</v>
      </c>
      <c r="C326" s="1283"/>
      <c r="D326" s="1283"/>
      <c r="E326" s="1116">
        <f>IF($A326&lt;DATE(2018,7,1),"-",INDEX('I1 - Universal Data'!$E$16:$V$16, MATCH(YEAR(EOMONTH($A326,6)), 'I1 - Universal Data'!$E$14:$V$14, 0)))</f>
        <v>1.62662132526732E-2</v>
      </c>
      <c r="F326" s="1116">
        <f>IF($A326&lt;DATE(2018,7,1),"-",INDEX('I1 - Universal Data'!$E$15:$V$15, MATCH(YEAR(EOMONTH($A326,6)), 'I1 - Universal Data'!$E$14:$V$14, 0)))</f>
        <v>2.4969908330546801E-2</v>
      </c>
      <c r="G326" s="1117">
        <f t="shared" ref="G326:H341" si="31">IF(ISBLANK(C326),G325*((1+E326)^(1/12)),C326)</f>
        <v>135.35451269329948</v>
      </c>
      <c r="H326" s="1117">
        <f t="shared" si="31"/>
        <v>398.7506445111369</v>
      </c>
      <c r="U326" s="1105"/>
    </row>
    <row r="327" spans="1:21">
      <c r="A327" s="1114">
        <f t="shared" ref="A327:A390" si="32">IF(MONTH(A326) = 12, EOMONTH(DATE(YEAR(A326) + 1, 1, 1), 0), EOMONTH(DATE(YEAR(A326), MONTH(A326) + 1, 1), 0))</f>
        <v>46053</v>
      </c>
      <c r="B327" s="1115">
        <f t="shared" si="30"/>
        <v>2026</v>
      </c>
      <c r="C327" s="1283"/>
      <c r="D327" s="1283"/>
      <c r="E327" s="1116">
        <f>IF($A327&lt;DATE(2018,7,1),"-",INDEX('I1 - Universal Data'!$E$16:$V$16, MATCH(YEAR(EOMONTH($A327,6)), 'I1 - Universal Data'!$E$14:$V$14, 0)))</f>
        <v>1.62662132526732E-2</v>
      </c>
      <c r="F327" s="1116">
        <f>IF($A327&lt;DATE(2018,7,1),"-",INDEX('I1 - Universal Data'!$E$15:$V$15, MATCH(YEAR(EOMONTH($A327,6)), 'I1 - Universal Data'!$E$14:$V$14, 0)))</f>
        <v>2.4969908330546801E-2</v>
      </c>
      <c r="G327" s="1117">
        <f t="shared" si="31"/>
        <v>135.53663431625418</v>
      </c>
      <c r="H327" s="1117">
        <f t="shared" si="31"/>
        <v>399.57102799437257</v>
      </c>
      <c r="U327" s="1105"/>
    </row>
    <row r="328" spans="1:21">
      <c r="A328" s="1114">
        <f t="shared" si="32"/>
        <v>46081</v>
      </c>
      <c r="B328" s="1115">
        <f t="shared" si="30"/>
        <v>2026</v>
      </c>
      <c r="C328" s="1283"/>
      <c r="D328" s="1283"/>
      <c r="E328" s="1116">
        <f>IF($A328&lt;DATE(2018,7,1),"-",INDEX('I1 - Universal Data'!$E$16:$V$16, MATCH(YEAR(EOMONTH($A328,6)), 'I1 - Universal Data'!$E$14:$V$14, 0)))</f>
        <v>1.62662132526732E-2</v>
      </c>
      <c r="F328" s="1116">
        <f>IF($A328&lt;DATE(2018,7,1),"-",INDEX('I1 - Universal Data'!$E$15:$V$15, MATCH(YEAR(EOMONTH($A328,6)), 'I1 - Universal Data'!$E$14:$V$14, 0)))</f>
        <v>2.4969908330546801E-2</v>
      </c>
      <c r="G328" s="1117">
        <f t="shared" si="31"/>
        <v>135.7190009867133</v>
      </c>
      <c r="H328" s="1117">
        <f t="shared" si="31"/>
        <v>400.39309932205146</v>
      </c>
      <c r="U328" s="1105"/>
    </row>
    <row r="329" spans="1:21">
      <c r="A329" s="1114">
        <f t="shared" si="32"/>
        <v>46112</v>
      </c>
      <c r="B329" s="1115">
        <f t="shared" si="30"/>
        <v>2026</v>
      </c>
      <c r="C329" s="1283"/>
      <c r="D329" s="1283"/>
      <c r="E329" s="1116">
        <f>IF($A329&lt;DATE(2018,7,1),"-",INDEX('I1 - Universal Data'!$E$16:$V$16, MATCH(YEAR(EOMONTH($A329,6)), 'I1 - Universal Data'!$E$14:$V$14, 0)))</f>
        <v>1.62662132526732E-2</v>
      </c>
      <c r="F329" s="1116">
        <f>IF($A329&lt;DATE(2018,7,1),"-",INDEX('I1 - Universal Data'!$E$15:$V$15, MATCH(YEAR(EOMONTH($A329,6)), 'I1 - Universal Data'!$E$14:$V$14, 0)))</f>
        <v>2.4969908330546801E-2</v>
      </c>
      <c r="G329" s="1117">
        <f t="shared" si="31"/>
        <v>135.90161303439211</v>
      </c>
      <c r="H329" s="1117">
        <f t="shared" si="31"/>
        <v>401.21686196671891</v>
      </c>
      <c r="U329" s="1105"/>
    </row>
    <row r="330" spans="1:21">
      <c r="A330" s="1114">
        <f t="shared" si="32"/>
        <v>46142</v>
      </c>
      <c r="B330" s="1115">
        <f t="shared" si="30"/>
        <v>2027</v>
      </c>
      <c r="C330" s="1283"/>
      <c r="D330" s="1283"/>
      <c r="E330" s="1116">
        <f>IF($A330&lt;DATE(2018,7,1),"-",INDEX('I1 - Universal Data'!$E$16:$V$16, MATCH(YEAR(EOMONTH($A330,6)), 'I1 - Universal Data'!$E$14:$V$14, 0)))</f>
        <v>1.62662132526732E-2</v>
      </c>
      <c r="F330" s="1116">
        <f>IF($A330&lt;DATE(2018,7,1),"-",INDEX('I1 - Universal Data'!$E$15:$V$15, MATCH(YEAR(EOMONTH($A330,6)), 'I1 - Universal Data'!$E$14:$V$14, 0)))</f>
        <v>2.4969908330546801E-2</v>
      </c>
      <c r="G330" s="1117">
        <f t="shared" si="31"/>
        <v>136.08447078944951</v>
      </c>
      <c r="H330" s="1117">
        <f t="shared" si="31"/>
        <v>402.04231940806471</v>
      </c>
      <c r="U330" s="1105"/>
    </row>
    <row r="331" spans="1:21">
      <c r="A331" s="1114">
        <f t="shared" si="32"/>
        <v>46173</v>
      </c>
      <c r="B331" s="1115">
        <f t="shared" si="30"/>
        <v>2027</v>
      </c>
      <c r="C331" s="1283"/>
      <c r="D331" s="1283"/>
      <c r="E331" s="1116">
        <f>IF($A331&lt;DATE(2018,7,1),"-",INDEX('I1 - Universal Data'!$E$16:$V$16, MATCH(YEAR(EOMONTH($A331,6)), 'I1 - Universal Data'!$E$14:$V$14, 0)))</f>
        <v>1.62662132526732E-2</v>
      </c>
      <c r="F331" s="1116">
        <f>IF($A331&lt;DATE(2018,7,1),"-",INDEX('I1 - Universal Data'!$E$15:$V$15, MATCH(YEAR(EOMONTH($A331,6)), 'I1 - Universal Data'!$E$14:$V$14, 0)))</f>
        <v>2.4969908330546801E-2</v>
      </c>
      <c r="G331" s="1117">
        <f t="shared" si="31"/>
        <v>136.26757458248866</v>
      </c>
      <c r="H331" s="1117">
        <f t="shared" si="31"/>
        <v>402.86947513293762</v>
      </c>
      <c r="U331" s="1105"/>
    </row>
    <row r="332" spans="1:21">
      <c r="A332" s="1114">
        <f t="shared" si="32"/>
        <v>46203</v>
      </c>
      <c r="B332" s="1115">
        <f t="shared" si="30"/>
        <v>2027</v>
      </c>
      <c r="C332" s="1283"/>
      <c r="D332" s="1283"/>
      <c r="E332" s="1116">
        <f>IF($A332&lt;DATE(2018,7,1),"-",INDEX('I1 - Universal Data'!$E$16:$V$16, MATCH(YEAR(EOMONTH($A332,6)), 'I1 - Universal Data'!$E$14:$V$14, 0)))</f>
        <v>1.62662132526732E-2</v>
      </c>
      <c r="F332" s="1116">
        <f>IF($A332&lt;DATE(2018,7,1),"-",INDEX('I1 - Universal Data'!$E$15:$V$15, MATCH(YEAR(EOMONTH($A332,6)), 'I1 - Universal Data'!$E$14:$V$14, 0)))</f>
        <v>2.4969908330546801E-2</v>
      </c>
      <c r="G332" s="1117">
        <f t="shared" si="31"/>
        <v>136.45092474455751</v>
      </c>
      <c r="H332" s="1117">
        <f t="shared" si="31"/>
        <v>403.6983326353602</v>
      </c>
      <c r="U332" s="1105"/>
    </row>
    <row r="333" spans="1:21">
      <c r="A333" s="1114">
        <f t="shared" si="32"/>
        <v>46234</v>
      </c>
      <c r="B333" s="1115">
        <f t="shared" si="30"/>
        <v>2027</v>
      </c>
      <c r="C333" s="1283"/>
      <c r="D333" s="1283"/>
      <c r="E333" s="1116">
        <f>IF($A333&lt;DATE(2018,7,1),"-",INDEX('I1 - Universal Data'!$E$16:$V$16, MATCH(YEAR(EOMONTH($A333,6)), 'I1 - Universal Data'!$E$14:$V$14, 0)))</f>
        <v>0.02</v>
      </c>
      <c r="F333" s="1116">
        <f>IF($A333&lt;DATE(2018,7,1),"-",INDEX('I1 - Universal Data'!$E$15:$V$15, MATCH(YEAR(EOMONTH($A333,6)), 'I1 - Universal Data'!$E$14:$V$14, 0)))</f>
        <v>0.03</v>
      </c>
      <c r="G333" s="1117">
        <f t="shared" si="31"/>
        <v>136.67628454049535</v>
      </c>
      <c r="H333" s="1117">
        <f t="shared" si="31"/>
        <v>404.69396163026818</v>
      </c>
      <c r="U333" s="1105"/>
    </row>
    <row r="334" spans="1:21">
      <c r="A334" s="1114">
        <f t="shared" si="32"/>
        <v>46265</v>
      </c>
      <c r="B334" s="1115">
        <f t="shared" si="30"/>
        <v>2027</v>
      </c>
      <c r="C334" s="1283"/>
      <c r="D334" s="1283"/>
      <c r="E334" s="1116">
        <f>IF($A334&lt;DATE(2018,7,1),"-",INDEX('I1 - Universal Data'!$E$16:$V$16, MATCH(YEAR(EOMONTH($A334,6)), 'I1 - Universal Data'!$E$14:$V$14, 0)))</f>
        <v>0.02</v>
      </c>
      <c r="F334" s="1116">
        <f>IF($A334&lt;DATE(2018,7,1),"-",INDEX('I1 - Universal Data'!$E$15:$V$15, MATCH(YEAR(EOMONTH($A334,6)), 'I1 - Universal Data'!$E$14:$V$14, 0)))</f>
        <v>0.03</v>
      </c>
      <c r="G334" s="1117">
        <f t="shared" si="31"/>
        <v>136.90201653645835</v>
      </c>
      <c r="H334" s="1117">
        <f t="shared" si="31"/>
        <v>405.69204611487072</v>
      </c>
      <c r="U334" s="1105"/>
    </row>
    <row r="335" spans="1:21">
      <c r="A335" s="1114">
        <f t="shared" si="32"/>
        <v>46295</v>
      </c>
      <c r="B335" s="1115">
        <f t="shared" si="30"/>
        <v>2027</v>
      </c>
      <c r="C335" s="1283"/>
      <c r="D335" s="1283"/>
      <c r="E335" s="1116">
        <f>IF($A335&lt;DATE(2018,7,1),"-",INDEX('I1 - Universal Data'!$E$16:$V$16, MATCH(YEAR(EOMONTH($A335,6)), 'I1 - Universal Data'!$E$14:$V$14, 0)))</f>
        <v>0.02</v>
      </c>
      <c r="F335" s="1116">
        <f>IF($A335&lt;DATE(2018,7,1),"-",INDEX('I1 - Universal Data'!$E$15:$V$15, MATCH(YEAR(EOMONTH($A335,6)), 'I1 - Universal Data'!$E$14:$V$14, 0)))</f>
        <v>0.03</v>
      </c>
      <c r="G335" s="1117">
        <f t="shared" si="31"/>
        <v>137.12812134716515</v>
      </c>
      <c r="H335" s="1117">
        <f t="shared" si="31"/>
        <v>406.69259214506786</v>
      </c>
      <c r="U335" s="1105"/>
    </row>
    <row r="336" spans="1:21">
      <c r="A336" s="1114">
        <f t="shared" si="32"/>
        <v>46326</v>
      </c>
      <c r="B336" s="1115">
        <f t="shared" si="30"/>
        <v>2027</v>
      </c>
      <c r="C336" s="1283"/>
      <c r="D336" s="1283"/>
      <c r="E336" s="1116">
        <f>IF($A336&lt;DATE(2018,7,1),"-",INDEX('I1 - Universal Data'!$E$16:$V$16, MATCH(YEAR(EOMONTH($A336,6)), 'I1 - Universal Data'!$E$14:$V$14, 0)))</f>
        <v>0.02</v>
      </c>
      <c r="F336" s="1116">
        <f>IF($A336&lt;DATE(2018,7,1),"-",INDEX('I1 - Universal Data'!$E$15:$V$15, MATCH(YEAR(EOMONTH($A336,6)), 'I1 - Universal Data'!$E$14:$V$14, 0)))</f>
        <v>0.03</v>
      </c>
      <c r="G336" s="1117">
        <f t="shared" si="31"/>
        <v>137.35459958834957</v>
      </c>
      <c r="H336" s="1117">
        <f t="shared" si="31"/>
        <v>407.69560579169507</v>
      </c>
      <c r="U336" s="1105"/>
    </row>
    <row r="337" spans="1:21">
      <c r="A337" s="1114">
        <f t="shared" si="32"/>
        <v>46356</v>
      </c>
      <c r="B337" s="1115">
        <f t="shared" si="30"/>
        <v>2027</v>
      </c>
      <c r="C337" s="1283"/>
      <c r="D337" s="1283"/>
      <c r="E337" s="1116">
        <f>IF($A337&lt;DATE(2018,7,1),"-",INDEX('I1 - Universal Data'!$E$16:$V$16, MATCH(YEAR(EOMONTH($A337,6)), 'I1 - Universal Data'!$E$14:$V$14, 0)))</f>
        <v>0.02</v>
      </c>
      <c r="F337" s="1116">
        <f>IF($A337&lt;DATE(2018,7,1),"-",INDEX('I1 - Universal Data'!$E$15:$V$15, MATCH(YEAR(EOMONTH($A337,6)), 'I1 - Universal Data'!$E$14:$V$14, 0)))</f>
        <v>0.03</v>
      </c>
      <c r="G337" s="1117">
        <f t="shared" si="31"/>
        <v>137.58145187676243</v>
      </c>
      <c r="H337" s="1117">
        <f t="shared" si="31"/>
        <v>408.70109314056015</v>
      </c>
      <c r="U337" s="1105"/>
    </row>
    <row r="338" spans="1:21">
      <c r="A338" s="1114">
        <f t="shared" si="32"/>
        <v>46387</v>
      </c>
      <c r="B338" s="1115">
        <f t="shared" si="30"/>
        <v>2027</v>
      </c>
      <c r="C338" s="1283"/>
      <c r="D338" s="1283"/>
      <c r="E338" s="1116">
        <f>IF($A338&lt;DATE(2018,7,1),"-",INDEX('I1 - Universal Data'!$E$16:$V$16, MATCH(YEAR(EOMONTH($A338,6)), 'I1 - Universal Data'!$E$14:$V$14, 0)))</f>
        <v>0.02</v>
      </c>
      <c r="F338" s="1116">
        <f>IF($A338&lt;DATE(2018,7,1),"-",INDEX('I1 - Universal Data'!$E$15:$V$15, MATCH(YEAR(EOMONTH($A338,6)), 'I1 - Universal Data'!$E$14:$V$14, 0)))</f>
        <v>0.03</v>
      </c>
      <c r="G338" s="1117">
        <f t="shared" si="31"/>
        <v>137.80867883017314</v>
      </c>
      <c r="H338" s="1117">
        <f t="shared" si="31"/>
        <v>409.70906029248016</v>
      </c>
      <c r="U338" s="1105"/>
    </row>
    <row r="339" spans="1:21">
      <c r="A339" s="1114">
        <f t="shared" si="32"/>
        <v>46418</v>
      </c>
      <c r="B339" s="1115">
        <f t="shared" si="30"/>
        <v>2027</v>
      </c>
      <c r="C339" s="1283"/>
      <c r="D339" s="1283"/>
      <c r="E339" s="1116">
        <f>IF($A339&lt;DATE(2018,7,1),"-",INDEX('I1 - Universal Data'!$E$16:$V$16, MATCH(YEAR(EOMONTH($A339,6)), 'I1 - Universal Data'!$E$14:$V$14, 0)))</f>
        <v>0.02</v>
      </c>
      <c r="F339" s="1116">
        <f>IF($A339&lt;DATE(2018,7,1),"-",INDEX('I1 - Universal Data'!$E$15:$V$15, MATCH(YEAR(EOMONTH($A339,6)), 'I1 - Universal Data'!$E$14:$V$14, 0)))</f>
        <v>0.03</v>
      </c>
      <c r="G339" s="1117">
        <f t="shared" si="31"/>
        <v>138.03628106737139</v>
      </c>
      <c r="H339" s="1117">
        <f t="shared" si="31"/>
        <v>410.71951336331847</v>
      </c>
    </row>
    <row r="340" spans="1:21">
      <c r="A340" s="1114">
        <f t="shared" si="32"/>
        <v>46446</v>
      </c>
      <c r="B340" s="1115">
        <f t="shared" si="30"/>
        <v>2027</v>
      </c>
      <c r="C340" s="1283"/>
      <c r="D340" s="1283"/>
      <c r="E340" s="1116">
        <f>IF($A340&lt;DATE(2018,7,1),"-",INDEX('I1 - Universal Data'!$E$16:$V$16, MATCH(YEAR(EOMONTH($A340,6)), 'I1 - Universal Data'!$E$14:$V$14, 0)))</f>
        <v>0.02</v>
      </c>
      <c r="F340" s="1116">
        <f>IF($A340&lt;DATE(2018,7,1),"-",INDEX('I1 - Universal Data'!$E$15:$V$15, MATCH(YEAR(EOMONTH($A340,6)), 'I1 - Universal Data'!$E$14:$V$14, 0)))</f>
        <v>0.03</v>
      </c>
      <c r="G340" s="1117">
        <f t="shared" si="31"/>
        <v>138.26425920816885</v>
      </c>
      <c r="H340" s="1117">
        <f t="shared" si="31"/>
        <v>411.73245848402172</v>
      </c>
    </row>
    <row r="341" spans="1:21" s="412" customFormat="1">
      <c r="A341" s="1114">
        <f t="shared" si="32"/>
        <v>46477</v>
      </c>
      <c r="B341" s="1115">
        <f t="shared" si="30"/>
        <v>2027</v>
      </c>
      <c r="C341" s="1283"/>
      <c r="D341" s="1283"/>
      <c r="E341" s="1116">
        <f>IF($A341&lt;DATE(2018,7,1),"-",INDEX('I1 - Universal Data'!$E$16:$V$16, MATCH(YEAR(EOMONTH($A341,6)), 'I1 - Universal Data'!$E$14:$V$14, 0)))</f>
        <v>0.02</v>
      </c>
      <c r="F341" s="1116">
        <f>IF($A341&lt;DATE(2018,7,1),"-",INDEX('I1 - Universal Data'!$E$15:$V$15, MATCH(YEAR(EOMONTH($A341,6)), 'I1 - Universal Data'!$E$14:$V$14, 0)))</f>
        <v>0.03</v>
      </c>
      <c r="G341" s="1117">
        <f t="shared" si="31"/>
        <v>138.49261387340093</v>
      </c>
      <c r="H341" s="1117">
        <f t="shared" si="31"/>
        <v>412.74790180065713</v>
      </c>
      <c r="T341" s="114"/>
      <c r="U341" s="411"/>
    </row>
    <row r="342" spans="1:21" s="412" customFormat="1">
      <c r="A342" s="1114">
        <f t="shared" si="32"/>
        <v>46507</v>
      </c>
      <c r="B342" s="1115">
        <f t="shared" si="30"/>
        <v>2028</v>
      </c>
      <c r="C342" s="1283"/>
      <c r="D342" s="1283"/>
      <c r="E342" s="1116">
        <f>IF($A342&lt;DATE(2018,7,1),"-",INDEX('I1 - Universal Data'!$E$16:$V$16, MATCH(YEAR(EOMONTH($A342,6)), 'I1 - Universal Data'!$E$14:$V$14, 0)))</f>
        <v>0.02</v>
      </c>
      <c r="F342" s="1116">
        <f>IF($A342&lt;DATE(2018,7,1),"-",INDEX('I1 - Universal Data'!$E$15:$V$15, MATCH(YEAR(EOMONTH($A342,6)), 'I1 - Universal Data'!$E$14:$V$14, 0)))</f>
        <v>0.03</v>
      </c>
      <c r="G342" s="1117">
        <f t="shared" ref="G342:H357" si="33">IF(ISBLANK(C342),G341*((1+E342)^(1/12)),C342)</f>
        <v>138.72134568492828</v>
      </c>
      <c r="H342" s="1117">
        <f t="shared" si="33"/>
        <v>413.76584947444985</v>
      </c>
      <c r="T342" s="114"/>
      <c r="U342" s="411"/>
    </row>
    <row r="343" spans="1:21" s="412" customFormat="1">
      <c r="A343" s="1114">
        <f t="shared" si="32"/>
        <v>46538</v>
      </c>
      <c r="B343" s="1115">
        <f t="shared" si="30"/>
        <v>2028</v>
      </c>
      <c r="C343" s="1283"/>
      <c r="D343" s="1283"/>
      <c r="E343" s="1116">
        <f>IF($A343&lt;DATE(2018,7,1),"-",INDEX('I1 - Universal Data'!$E$16:$V$16, MATCH(YEAR(EOMONTH($A343,6)), 'I1 - Universal Data'!$E$14:$V$14, 0)))</f>
        <v>0.02</v>
      </c>
      <c r="F343" s="1116">
        <f>IF($A343&lt;DATE(2018,7,1),"-",INDEX('I1 - Universal Data'!$E$15:$V$15, MATCH(YEAR(EOMONTH($A343,6)), 'I1 - Universal Data'!$E$14:$V$14, 0)))</f>
        <v>0.03</v>
      </c>
      <c r="G343" s="1117">
        <f t="shared" si="33"/>
        <v>138.95045526563871</v>
      </c>
      <c r="H343" s="1117">
        <f t="shared" si="33"/>
        <v>414.78630768182023</v>
      </c>
      <c r="T343" s="114"/>
      <c r="U343" s="411"/>
    </row>
    <row r="344" spans="1:21" s="412" customFormat="1">
      <c r="A344" s="1114">
        <f t="shared" si="32"/>
        <v>46568</v>
      </c>
      <c r="B344" s="1115">
        <f t="shared" si="30"/>
        <v>2028</v>
      </c>
      <c r="C344" s="1283"/>
      <c r="D344" s="1283"/>
      <c r="E344" s="1116">
        <f>IF($A344&lt;DATE(2018,7,1),"-",INDEX('I1 - Universal Data'!$E$16:$V$16, MATCH(YEAR(EOMONTH($A344,6)), 'I1 - Universal Data'!$E$14:$V$14, 0)))</f>
        <v>0.02</v>
      </c>
      <c r="F344" s="1116">
        <f>IF($A344&lt;DATE(2018,7,1),"-",INDEX('I1 - Universal Data'!$E$15:$V$15, MATCH(YEAR(EOMONTH($A344,6)), 'I1 - Universal Data'!$E$14:$V$14, 0)))</f>
        <v>0.03</v>
      </c>
      <c r="G344" s="1117">
        <f t="shared" si="33"/>
        <v>139.17994323944873</v>
      </c>
      <c r="H344" s="1117">
        <f t="shared" si="33"/>
        <v>415.80928261442136</v>
      </c>
      <c r="T344" s="114"/>
      <c r="U344" s="411"/>
    </row>
    <row r="345" spans="1:21" s="412" customFormat="1">
      <c r="A345" s="1114">
        <f t="shared" si="32"/>
        <v>46599</v>
      </c>
      <c r="B345" s="1115">
        <f t="shared" si="30"/>
        <v>2028</v>
      </c>
      <c r="C345" s="1283"/>
      <c r="D345" s="1283"/>
      <c r="E345" s="1116">
        <f>IF($A345&lt;DATE(2018,7,1),"-",INDEX('I1 - Universal Data'!$E$16:$V$16, MATCH(YEAR(EOMONTH($A345,6)), 'I1 - Universal Data'!$E$14:$V$14, 0)))</f>
        <v>0.02</v>
      </c>
      <c r="F345" s="1116">
        <f>IF($A345&lt;DATE(2018,7,1),"-",INDEX('I1 - Universal Data'!$E$15:$V$15, MATCH(YEAR(EOMONTH($A345,6)), 'I1 - Universal Data'!$E$14:$V$14, 0)))</f>
        <v>0.03</v>
      </c>
      <c r="G345" s="1117">
        <f t="shared" si="33"/>
        <v>139.40981023130533</v>
      </c>
      <c r="H345" s="1117">
        <f t="shared" si="33"/>
        <v>416.83478047917657</v>
      </c>
      <c r="T345" s="114"/>
      <c r="U345" s="411"/>
    </row>
    <row r="346" spans="1:21" s="412" customFormat="1">
      <c r="A346" s="1114">
        <f t="shared" si="32"/>
        <v>46630</v>
      </c>
      <c r="B346" s="1115">
        <f t="shared" si="30"/>
        <v>2028</v>
      </c>
      <c r="C346" s="1283"/>
      <c r="D346" s="1283"/>
      <c r="E346" s="1116">
        <f>IF($A346&lt;DATE(2018,7,1),"-",INDEX('I1 - Universal Data'!$E$16:$V$16, MATCH(YEAR(EOMONTH($A346,6)), 'I1 - Universal Data'!$E$14:$V$14, 0)))</f>
        <v>0.02</v>
      </c>
      <c r="F346" s="1116">
        <f>IF($A346&lt;DATE(2018,7,1),"-",INDEX('I1 - Universal Data'!$E$15:$V$15, MATCH(YEAR(EOMONTH($A346,6)), 'I1 - Universal Data'!$E$14:$V$14, 0)))</f>
        <v>0.03</v>
      </c>
      <c r="G346" s="1117">
        <f t="shared" si="33"/>
        <v>139.64005686718761</v>
      </c>
      <c r="H346" s="1117">
        <f t="shared" si="33"/>
        <v>417.86280749831718</v>
      </c>
      <c r="T346" s="114"/>
      <c r="U346" s="411"/>
    </row>
    <row r="347" spans="1:21" s="412" customFormat="1">
      <c r="A347" s="1114">
        <f t="shared" si="32"/>
        <v>46660</v>
      </c>
      <c r="B347" s="1115">
        <f t="shared" si="30"/>
        <v>2028</v>
      </c>
      <c r="C347" s="1283"/>
      <c r="D347" s="1283"/>
      <c r="E347" s="1116">
        <f>IF($A347&lt;DATE(2018,7,1),"-",INDEX('I1 - Universal Data'!$E$16:$V$16, MATCH(YEAR(EOMONTH($A347,6)), 'I1 - Universal Data'!$E$14:$V$14, 0)))</f>
        <v>0.02</v>
      </c>
      <c r="F347" s="1116">
        <f>IF($A347&lt;DATE(2018,7,1),"-",INDEX('I1 - Universal Data'!$E$15:$V$15, MATCH(YEAR(EOMONTH($A347,6)), 'I1 - Universal Data'!$E$14:$V$14, 0)))</f>
        <v>0.03</v>
      </c>
      <c r="G347" s="1117">
        <f t="shared" si="33"/>
        <v>139.87068377410853</v>
      </c>
      <c r="H347" s="1117">
        <f t="shared" si="33"/>
        <v>418.89336990942024</v>
      </c>
      <c r="T347" s="114"/>
      <c r="U347" s="411"/>
    </row>
    <row r="348" spans="1:21" s="412" customFormat="1">
      <c r="A348" s="1114">
        <f t="shared" si="32"/>
        <v>46691</v>
      </c>
      <c r="B348" s="1115">
        <f t="shared" si="30"/>
        <v>2028</v>
      </c>
      <c r="C348" s="1283"/>
      <c r="D348" s="1283"/>
      <c r="E348" s="1116">
        <f>IF($A348&lt;DATE(2018,7,1),"-",INDEX('I1 - Universal Data'!$E$16:$V$16, MATCH(YEAR(EOMONTH($A348,6)), 'I1 - Universal Data'!$E$14:$V$14, 0)))</f>
        <v>0.02</v>
      </c>
      <c r="F348" s="1116">
        <f>IF($A348&lt;DATE(2018,7,1),"-",INDEX('I1 - Universal Data'!$E$15:$V$15, MATCH(YEAR(EOMONTH($A348,6)), 'I1 - Universal Data'!$E$14:$V$14, 0)))</f>
        <v>0.03</v>
      </c>
      <c r="G348" s="1117">
        <f t="shared" si="33"/>
        <v>140.10169158011664</v>
      </c>
      <c r="H348" s="1117">
        <f t="shared" si="33"/>
        <v>419.92647396544629</v>
      </c>
      <c r="T348" s="114"/>
      <c r="U348" s="411"/>
    </row>
    <row r="349" spans="1:21" s="412" customFormat="1">
      <c r="A349" s="1114">
        <f t="shared" si="32"/>
        <v>46721</v>
      </c>
      <c r="B349" s="1115">
        <f t="shared" si="30"/>
        <v>2028</v>
      </c>
      <c r="C349" s="1283"/>
      <c r="D349" s="1283"/>
      <c r="E349" s="1116">
        <f>IF($A349&lt;DATE(2018,7,1),"-",INDEX('I1 - Universal Data'!$E$16:$V$16, MATCH(YEAR(EOMONTH($A349,6)), 'I1 - Universal Data'!$E$14:$V$14, 0)))</f>
        <v>0.02</v>
      </c>
      <c r="F349" s="1116">
        <f>IF($A349&lt;DATE(2018,7,1),"-",INDEX('I1 - Universal Data'!$E$15:$V$15, MATCH(YEAR(EOMONTH($A349,6)), 'I1 - Universal Data'!$E$14:$V$14, 0)))</f>
        <v>0.03</v>
      </c>
      <c r="G349" s="1117">
        <f t="shared" si="33"/>
        <v>140.33308091429774</v>
      </c>
      <c r="H349" s="1117">
        <f t="shared" si="33"/>
        <v>420.96212593477736</v>
      </c>
      <c r="T349" s="114"/>
      <c r="U349" s="411"/>
    </row>
    <row r="350" spans="1:21" s="412" customFormat="1">
      <c r="A350" s="1114">
        <f t="shared" si="32"/>
        <v>46752</v>
      </c>
      <c r="B350" s="1115">
        <f t="shared" si="30"/>
        <v>2028</v>
      </c>
      <c r="C350" s="1283"/>
      <c r="D350" s="1283"/>
      <c r="E350" s="1116">
        <f>IF($A350&lt;DATE(2018,7,1),"-",INDEX('I1 - Universal Data'!$E$16:$V$16, MATCH(YEAR(EOMONTH($A350,6)), 'I1 - Universal Data'!$E$14:$V$14, 0)))</f>
        <v>0.02</v>
      </c>
      <c r="F350" s="1116">
        <f>IF($A350&lt;DATE(2018,7,1),"-",INDEX('I1 - Universal Data'!$E$15:$V$15, MATCH(YEAR(EOMONTH($A350,6)), 'I1 - Universal Data'!$E$14:$V$14, 0)))</f>
        <v>0.03</v>
      </c>
      <c r="G350" s="1117">
        <f t="shared" si="33"/>
        <v>140.56485240677665</v>
      </c>
      <c r="H350" s="1117">
        <f t="shared" si="33"/>
        <v>422.00033210125503</v>
      </c>
      <c r="T350" s="114"/>
      <c r="U350" s="411"/>
    </row>
    <row r="351" spans="1:21" s="412" customFormat="1">
      <c r="A351" s="1114">
        <f t="shared" si="32"/>
        <v>46783</v>
      </c>
      <c r="B351" s="1115">
        <f t="shared" si="30"/>
        <v>2028</v>
      </c>
      <c r="C351" s="1283"/>
      <c r="D351" s="1283"/>
      <c r="E351" s="1116">
        <f>IF($A351&lt;DATE(2018,7,1),"-",INDEX('I1 - Universal Data'!$E$16:$V$16, MATCH(YEAR(EOMONTH($A351,6)), 'I1 - Universal Data'!$E$14:$V$14, 0)))</f>
        <v>0.02</v>
      </c>
      <c r="F351" s="1116">
        <f>IF($A351&lt;DATE(2018,7,1),"-",INDEX('I1 - Universal Data'!$E$15:$V$15, MATCH(YEAR(EOMONTH($A351,6)), 'I1 - Universal Data'!$E$14:$V$14, 0)))</f>
        <v>0.03</v>
      </c>
      <c r="G351" s="1117">
        <f t="shared" si="33"/>
        <v>140.79700668871885</v>
      </c>
      <c r="H351" s="1117">
        <f t="shared" si="33"/>
        <v>423.04109876421848</v>
      </c>
      <c r="T351" s="114"/>
      <c r="U351" s="411"/>
    </row>
    <row r="352" spans="1:21" s="412" customFormat="1">
      <c r="A352" s="1114">
        <f t="shared" si="32"/>
        <v>46812</v>
      </c>
      <c r="B352" s="1115">
        <f t="shared" si="30"/>
        <v>2028</v>
      </c>
      <c r="C352" s="1283"/>
      <c r="D352" s="1283"/>
      <c r="E352" s="1116">
        <f>IF($A352&lt;DATE(2018,7,1),"-",INDEX('I1 - Universal Data'!$E$16:$V$16, MATCH(YEAR(EOMONTH($A352,6)), 'I1 - Universal Data'!$E$14:$V$14, 0)))</f>
        <v>0.02</v>
      </c>
      <c r="F352" s="1116">
        <f>IF($A352&lt;DATE(2018,7,1),"-",INDEX('I1 - Universal Data'!$E$15:$V$15, MATCH(YEAR(EOMONTH($A352,6)), 'I1 - Universal Data'!$E$14:$V$14, 0)))</f>
        <v>0.03</v>
      </c>
      <c r="G352" s="1117">
        <f t="shared" si="33"/>
        <v>141.02954439233227</v>
      </c>
      <c r="H352" s="1117">
        <f t="shared" si="33"/>
        <v>424.08443223854283</v>
      </c>
      <c r="T352" s="114"/>
      <c r="U352" s="411"/>
    </row>
    <row r="353" spans="1:21" s="412" customFormat="1">
      <c r="A353" s="1114">
        <f t="shared" si="32"/>
        <v>46843</v>
      </c>
      <c r="B353" s="1115">
        <f t="shared" si="30"/>
        <v>2028</v>
      </c>
      <c r="C353" s="1283"/>
      <c r="D353" s="1283"/>
      <c r="E353" s="1116">
        <f>IF($A353&lt;DATE(2018,7,1),"-",INDEX('I1 - Universal Data'!$E$16:$V$16, MATCH(YEAR(EOMONTH($A353,6)), 'I1 - Universal Data'!$E$14:$V$14, 0)))</f>
        <v>0.02</v>
      </c>
      <c r="F353" s="1116">
        <f>IF($A353&lt;DATE(2018,7,1),"-",INDEX('I1 - Universal Data'!$E$15:$V$15, MATCH(YEAR(EOMONTH($A353,6)), 'I1 - Universal Data'!$E$14:$V$14, 0)))</f>
        <v>0.03</v>
      </c>
      <c r="G353" s="1117">
        <f t="shared" si="33"/>
        <v>141.26246615086896</v>
      </c>
      <c r="H353" s="1117">
        <f t="shared" si="33"/>
        <v>425.13033885467735</v>
      </c>
      <c r="T353" s="114"/>
      <c r="U353" s="411"/>
    </row>
    <row r="354" spans="1:21" s="412" customFormat="1">
      <c r="A354" s="1114">
        <f t="shared" si="32"/>
        <v>46873</v>
      </c>
      <c r="B354" s="1115">
        <f t="shared" si="30"/>
        <v>2029</v>
      </c>
      <c r="C354" s="1283"/>
      <c r="D354" s="1283"/>
      <c r="E354" s="1116">
        <f>IF($A354&lt;DATE(2018,7,1),"-",INDEX('I1 - Universal Data'!$E$16:$V$16, MATCH(YEAR(EOMONTH($A354,6)), 'I1 - Universal Data'!$E$14:$V$14, 0)))</f>
        <v>0.02</v>
      </c>
      <c r="F354" s="1116">
        <f>IF($A354&lt;DATE(2018,7,1),"-",INDEX('I1 - Universal Data'!$E$15:$V$15, MATCH(YEAR(EOMONTH($A354,6)), 'I1 - Universal Data'!$E$14:$V$14, 0)))</f>
        <v>0.03</v>
      </c>
      <c r="G354" s="1117">
        <f t="shared" si="33"/>
        <v>141.49577259862687</v>
      </c>
      <c r="H354" s="1117">
        <f t="shared" si="33"/>
        <v>426.17882495868389</v>
      </c>
      <c r="T354" s="114"/>
      <c r="U354" s="411"/>
    </row>
    <row r="355" spans="1:21" s="412" customFormat="1">
      <c r="A355" s="1114">
        <f t="shared" si="32"/>
        <v>46904</v>
      </c>
      <c r="B355" s="1115">
        <f t="shared" si="30"/>
        <v>2029</v>
      </c>
      <c r="C355" s="1283"/>
      <c r="D355" s="1283"/>
      <c r="E355" s="1116">
        <f>IF($A355&lt;DATE(2018,7,1),"-",INDEX('I1 - Universal Data'!$E$16:$V$16, MATCH(YEAR(EOMONTH($A355,6)), 'I1 - Universal Data'!$E$14:$V$14, 0)))</f>
        <v>0.02</v>
      </c>
      <c r="F355" s="1116">
        <f>IF($A355&lt;DATE(2018,7,1),"-",INDEX('I1 - Universal Data'!$E$15:$V$15, MATCH(YEAR(EOMONTH($A355,6)), 'I1 - Universal Data'!$E$14:$V$14, 0)))</f>
        <v>0.03</v>
      </c>
      <c r="G355" s="1117">
        <f t="shared" si="33"/>
        <v>141.72946437095152</v>
      </c>
      <c r="H355" s="1117">
        <f t="shared" si="33"/>
        <v>427.22989691227542</v>
      </c>
      <c r="T355" s="114"/>
      <c r="U355" s="411"/>
    </row>
    <row r="356" spans="1:21" s="412" customFormat="1">
      <c r="A356" s="1114">
        <f t="shared" si="32"/>
        <v>46934</v>
      </c>
      <c r="B356" s="1115">
        <f t="shared" si="30"/>
        <v>2029</v>
      </c>
      <c r="C356" s="1283"/>
      <c r="D356" s="1283"/>
      <c r="E356" s="1116">
        <f>IF($A356&lt;DATE(2018,7,1),"-",INDEX('I1 - Universal Data'!$E$16:$V$16, MATCH(YEAR(EOMONTH($A356,6)), 'I1 - Universal Data'!$E$14:$V$14, 0)))</f>
        <v>0.02</v>
      </c>
      <c r="F356" s="1116">
        <f>IF($A356&lt;DATE(2018,7,1),"-",INDEX('I1 - Universal Data'!$E$15:$V$15, MATCH(YEAR(EOMONTH($A356,6)), 'I1 - Universal Data'!$E$14:$V$14, 0)))</f>
        <v>0.03</v>
      </c>
      <c r="G356" s="1117">
        <f t="shared" si="33"/>
        <v>141.96354210423775</v>
      </c>
      <c r="H356" s="1117">
        <f t="shared" si="33"/>
        <v>428.2835610928546</v>
      </c>
      <c r="T356" s="114"/>
      <c r="U356" s="411"/>
    </row>
    <row r="357" spans="1:21">
      <c r="A357" s="1114">
        <f t="shared" si="32"/>
        <v>46965</v>
      </c>
      <c r="B357" s="1115">
        <f t="shared" si="30"/>
        <v>2029</v>
      </c>
      <c r="C357" s="1283"/>
      <c r="D357" s="1283"/>
      <c r="E357" s="1116">
        <f>IF($A357&lt;DATE(2018,7,1),"-",INDEX('I1 - Universal Data'!$E$16:$V$16, MATCH(YEAR(EOMONTH($A357,6)), 'I1 - Universal Data'!$E$14:$V$14, 0)))</f>
        <v>0.02</v>
      </c>
      <c r="F357" s="1116">
        <f>IF($A357&lt;DATE(2018,7,1),"-",INDEX('I1 - Universal Data'!$E$15:$V$15, MATCH(YEAR(EOMONTH($A357,6)), 'I1 - Universal Data'!$E$14:$V$14, 0)))</f>
        <v>0.03</v>
      </c>
      <c r="G357" s="1117">
        <f t="shared" si="33"/>
        <v>142.19800643593146</v>
      </c>
      <c r="H357" s="1117">
        <f t="shared" si="33"/>
        <v>429.33982389355248</v>
      </c>
    </row>
    <row r="358" spans="1:21">
      <c r="A358" s="1114">
        <f t="shared" si="32"/>
        <v>46996</v>
      </c>
      <c r="B358" s="1115">
        <f t="shared" si="30"/>
        <v>2029</v>
      </c>
      <c r="C358" s="1283"/>
      <c r="D358" s="1283"/>
      <c r="E358" s="1116">
        <f>IF($A358&lt;DATE(2018,7,1),"-",INDEX('I1 - Universal Data'!$E$16:$V$16, MATCH(YEAR(EOMONTH($A358,6)), 'I1 - Universal Data'!$E$14:$V$14, 0)))</f>
        <v>0.02</v>
      </c>
      <c r="F358" s="1116">
        <f>IF($A358&lt;DATE(2018,7,1),"-",INDEX('I1 - Universal Data'!$E$15:$V$15, MATCH(YEAR(EOMONTH($A358,6)), 'I1 - Universal Data'!$E$14:$V$14, 0)))</f>
        <v>0.03</v>
      </c>
      <c r="G358" s="1117">
        <f t="shared" ref="G358:H373" si="34">IF(ISBLANK(C358),G357*((1+E358)^(1/12)),C358)</f>
        <v>142.43285800453137</v>
      </c>
      <c r="H358" s="1117">
        <f t="shared" si="34"/>
        <v>430.39869172326735</v>
      </c>
    </row>
    <row r="359" spans="1:21">
      <c r="A359" s="1114">
        <f t="shared" si="32"/>
        <v>47026</v>
      </c>
      <c r="B359" s="1115">
        <f t="shared" si="30"/>
        <v>2029</v>
      </c>
      <c r="C359" s="1283"/>
      <c r="D359" s="1283"/>
      <c r="E359" s="1116">
        <f>IF($A359&lt;DATE(2018,7,1),"-",INDEX('I1 - Universal Data'!$E$16:$V$16, MATCH(YEAR(EOMONTH($A359,6)), 'I1 - Universal Data'!$E$14:$V$14, 0)))</f>
        <v>0.02</v>
      </c>
      <c r="F359" s="1116">
        <f>IF($A359&lt;DATE(2018,7,1),"-",INDEX('I1 - Universal Data'!$E$15:$V$15, MATCH(YEAR(EOMONTH($A359,6)), 'I1 - Universal Data'!$E$14:$V$14, 0)))</f>
        <v>0.03</v>
      </c>
      <c r="G359" s="1117">
        <f t="shared" si="34"/>
        <v>142.6680974495907</v>
      </c>
      <c r="H359" s="1117">
        <f t="shared" si="34"/>
        <v>431.46017100670349</v>
      </c>
    </row>
    <row r="360" spans="1:21">
      <c r="A360" s="1114">
        <f t="shared" si="32"/>
        <v>47057</v>
      </c>
      <c r="B360" s="1115">
        <f t="shared" si="30"/>
        <v>2029</v>
      </c>
      <c r="C360" s="1283"/>
      <c r="D360" s="1283"/>
      <c r="E360" s="1116">
        <f>IF($A360&lt;DATE(2018,7,1),"-",INDEX('I1 - Universal Data'!$E$16:$V$16, MATCH(YEAR(EOMONTH($A360,6)), 'I1 - Universal Data'!$E$14:$V$14, 0)))</f>
        <v>0.02</v>
      </c>
      <c r="F360" s="1116">
        <f>IF($A360&lt;DATE(2018,7,1),"-",INDEX('I1 - Universal Data'!$E$15:$V$15, MATCH(YEAR(EOMONTH($A360,6)), 'I1 - Universal Data'!$E$14:$V$14, 0)))</f>
        <v>0.03</v>
      </c>
      <c r="G360" s="1117">
        <f t="shared" si="34"/>
        <v>142.90372541171897</v>
      </c>
      <c r="H360" s="1117">
        <f t="shared" si="34"/>
        <v>432.52426818441029</v>
      </c>
    </row>
    <row r="361" spans="1:21">
      <c r="A361" s="1114">
        <f t="shared" si="32"/>
        <v>47087</v>
      </c>
      <c r="B361" s="1115">
        <f t="shared" si="30"/>
        <v>2029</v>
      </c>
      <c r="C361" s="1283"/>
      <c r="D361" s="1283"/>
      <c r="E361" s="1116">
        <f>IF($A361&lt;DATE(2018,7,1),"-",INDEX('I1 - Universal Data'!$E$16:$V$16, MATCH(YEAR(EOMONTH($A361,6)), 'I1 - Universal Data'!$E$14:$V$14, 0)))</f>
        <v>0.02</v>
      </c>
      <c r="F361" s="1116">
        <f>IF($A361&lt;DATE(2018,7,1),"-",INDEX('I1 - Universal Data'!$E$15:$V$15, MATCH(YEAR(EOMONTH($A361,6)), 'I1 - Universal Data'!$E$14:$V$14, 0)))</f>
        <v>0.03</v>
      </c>
      <c r="G361" s="1117">
        <f t="shared" si="34"/>
        <v>143.13974253258371</v>
      </c>
      <c r="H361" s="1117">
        <f t="shared" si="34"/>
        <v>433.59098971282128</v>
      </c>
    </row>
    <row r="362" spans="1:21">
      <c r="A362" s="1114">
        <f t="shared" si="32"/>
        <v>47118</v>
      </c>
      <c r="B362" s="1115">
        <f t="shared" si="30"/>
        <v>2029</v>
      </c>
      <c r="C362" s="1283"/>
      <c r="D362" s="1283"/>
      <c r="E362" s="1116">
        <f>IF($A362&lt;DATE(2018,7,1),"-",INDEX('I1 - Universal Data'!$E$16:$V$16, MATCH(YEAR(EOMONTH($A362,6)), 'I1 - Universal Data'!$E$14:$V$14, 0)))</f>
        <v>0.02</v>
      </c>
      <c r="F362" s="1116">
        <f>IF($A362&lt;DATE(2018,7,1),"-",INDEX('I1 - Universal Data'!$E$15:$V$15, MATCH(YEAR(EOMONTH($A362,6)), 'I1 - Universal Data'!$E$14:$V$14, 0)))</f>
        <v>0.03</v>
      </c>
      <c r="G362" s="1117">
        <f t="shared" si="34"/>
        <v>143.37614945491219</v>
      </c>
      <c r="H362" s="1117">
        <f t="shared" si="34"/>
        <v>434.66034206429327</v>
      </c>
    </row>
    <row r="363" spans="1:21">
      <c r="A363" s="1114">
        <f t="shared" si="32"/>
        <v>47149</v>
      </c>
      <c r="B363" s="1115">
        <f t="shared" si="30"/>
        <v>2029</v>
      </c>
      <c r="C363" s="1283"/>
      <c r="D363" s="1283"/>
      <c r="E363" s="1116">
        <f>IF($A363&lt;DATE(2018,7,1),"-",INDEX('I1 - Universal Data'!$E$16:$V$16, MATCH(YEAR(EOMONTH($A363,6)), 'I1 - Universal Data'!$E$14:$V$14, 0)))</f>
        <v>0.02</v>
      </c>
      <c r="F363" s="1116">
        <f>IF($A363&lt;DATE(2018,7,1),"-",INDEX('I1 - Universal Data'!$E$15:$V$15, MATCH(YEAR(EOMONTH($A363,6)), 'I1 - Universal Data'!$E$14:$V$14, 0)))</f>
        <v>0.03</v>
      </c>
      <c r="G363" s="1117">
        <f t="shared" si="34"/>
        <v>143.61294682249326</v>
      </c>
      <c r="H363" s="1117">
        <f t="shared" si="34"/>
        <v>435.73233172714561</v>
      </c>
    </row>
    <row r="364" spans="1:21">
      <c r="A364" s="1114">
        <f t="shared" si="32"/>
        <v>47177</v>
      </c>
      <c r="B364" s="1115">
        <f t="shared" si="30"/>
        <v>2029</v>
      </c>
      <c r="C364" s="1283"/>
      <c r="D364" s="1283"/>
      <c r="E364" s="1116">
        <f>IF($A364&lt;DATE(2018,7,1),"-",INDEX('I1 - Universal Data'!$E$16:$V$16, MATCH(YEAR(EOMONTH($A364,6)), 'I1 - Universal Data'!$E$14:$V$14, 0)))</f>
        <v>0.02</v>
      </c>
      <c r="F364" s="1116">
        <f>IF($A364&lt;DATE(2018,7,1),"-",INDEX('I1 - Universal Data'!$E$15:$V$15, MATCH(YEAR(EOMONTH($A364,6)), 'I1 - Universal Data'!$E$14:$V$14, 0)))</f>
        <v>0.03</v>
      </c>
      <c r="G364" s="1117">
        <f t="shared" si="34"/>
        <v>143.85013528017896</v>
      </c>
      <c r="H364" s="1117">
        <f t="shared" si="34"/>
        <v>436.80696520569967</v>
      </c>
    </row>
    <row r="365" spans="1:21">
      <c r="A365" s="1114">
        <f t="shared" si="32"/>
        <v>47208</v>
      </c>
      <c r="B365" s="1115">
        <f t="shared" si="30"/>
        <v>2029</v>
      </c>
      <c r="C365" s="1283"/>
      <c r="D365" s="1283"/>
      <c r="E365" s="1116">
        <f>IF($A365&lt;DATE(2018,7,1),"-",INDEX('I1 - Universal Data'!$E$16:$V$16, MATCH(YEAR(EOMONTH($A365,6)), 'I1 - Universal Data'!$E$14:$V$14, 0)))</f>
        <v>0.02</v>
      </c>
      <c r="F365" s="1116">
        <f>IF($A365&lt;DATE(2018,7,1),"-",INDEX('I1 - Universal Data'!$E$15:$V$15, MATCH(YEAR(EOMONTH($A365,6)), 'I1 - Universal Data'!$E$14:$V$14, 0)))</f>
        <v>0.03</v>
      </c>
      <c r="G365" s="1117">
        <f t="shared" si="34"/>
        <v>144.08771547388639</v>
      </c>
      <c r="H365" s="1117">
        <f t="shared" si="34"/>
        <v>437.88424902031818</v>
      </c>
    </row>
    <row r="366" spans="1:21">
      <c r="A366" s="1114">
        <f t="shared" si="32"/>
        <v>47238</v>
      </c>
      <c r="B366" s="1115">
        <f t="shared" si="30"/>
        <v>2030</v>
      </c>
      <c r="C366" s="1283"/>
      <c r="D366" s="1283"/>
      <c r="E366" s="1116">
        <f>IF($A366&lt;DATE(2018,7,1),"-",INDEX('I1 - Universal Data'!$E$16:$V$16, MATCH(YEAR(EOMONTH($A366,6)), 'I1 - Universal Data'!$E$14:$V$14, 0)))</f>
        <v>0.02</v>
      </c>
      <c r="F366" s="1116">
        <f>IF($A366&lt;DATE(2018,7,1),"-",INDEX('I1 - Universal Data'!$E$15:$V$15, MATCH(YEAR(EOMONTH($A366,6)), 'I1 - Universal Data'!$E$14:$V$14, 0)))</f>
        <v>0.03</v>
      </c>
      <c r="G366" s="1117">
        <f t="shared" si="34"/>
        <v>144.32568805059947</v>
      </c>
      <c r="H366" s="1117">
        <f t="shared" si="34"/>
        <v>438.96418970744492</v>
      </c>
    </row>
    <row r="367" spans="1:21">
      <c r="A367" s="1114">
        <f t="shared" si="32"/>
        <v>47269</v>
      </c>
      <c r="B367" s="1115">
        <f t="shared" si="30"/>
        <v>2030</v>
      </c>
      <c r="C367" s="1283"/>
      <c r="D367" s="1283"/>
      <c r="E367" s="1116">
        <f>IF($A367&lt;DATE(2018,7,1),"-",INDEX('I1 - Universal Data'!$E$16:$V$16, MATCH(YEAR(EOMONTH($A367,6)), 'I1 - Universal Data'!$E$14:$V$14, 0)))</f>
        <v>0.02</v>
      </c>
      <c r="F367" s="1116">
        <f>IF($A367&lt;DATE(2018,7,1),"-",INDEX('I1 - Universal Data'!$E$15:$V$15, MATCH(YEAR(EOMONTH($A367,6)), 'I1 - Universal Data'!$E$14:$V$14, 0)))</f>
        <v>0.03</v>
      </c>
      <c r="G367" s="1117">
        <f t="shared" si="34"/>
        <v>144.5640536583706</v>
      </c>
      <c r="H367" s="1117">
        <f t="shared" si="34"/>
        <v>440.04679381964417</v>
      </c>
    </row>
    <row r="368" spans="1:21">
      <c r="A368" s="1114">
        <f t="shared" si="32"/>
        <v>47299</v>
      </c>
      <c r="B368" s="1115">
        <f t="shared" si="30"/>
        <v>2030</v>
      </c>
      <c r="C368" s="1283"/>
      <c r="D368" s="1283"/>
      <c r="E368" s="1116">
        <f>IF($A368&lt;DATE(2018,7,1),"-",INDEX('I1 - Universal Data'!$E$16:$V$16, MATCH(YEAR(EOMONTH($A368,6)), 'I1 - Universal Data'!$E$14:$V$14, 0)))</f>
        <v>0.02</v>
      </c>
      <c r="F368" s="1116">
        <f>IF($A368&lt;DATE(2018,7,1),"-",INDEX('I1 - Universal Data'!$E$15:$V$15, MATCH(YEAR(EOMONTH($A368,6)), 'I1 - Universal Data'!$E$14:$V$14, 0)))</f>
        <v>0.03</v>
      </c>
      <c r="G368" s="1117">
        <f t="shared" si="34"/>
        <v>144.80281294632255</v>
      </c>
      <c r="H368" s="1117">
        <f t="shared" si="34"/>
        <v>441.13206792564068</v>
      </c>
    </row>
    <row r="369" spans="1:8">
      <c r="A369" s="1114">
        <f t="shared" si="32"/>
        <v>47330</v>
      </c>
      <c r="B369" s="1115">
        <f t="shared" si="30"/>
        <v>2030</v>
      </c>
      <c r="C369" s="1283"/>
      <c r="D369" s="1283"/>
      <c r="E369" s="1116">
        <f>IF($A369&lt;DATE(2018,7,1),"-",INDEX('I1 - Universal Data'!$E$16:$V$16, MATCH(YEAR(EOMONTH($A369,6)), 'I1 - Universal Data'!$E$14:$V$14, 0)))</f>
        <v>0.02</v>
      </c>
      <c r="F369" s="1116">
        <f>IF($A369&lt;DATE(2018,7,1),"-",INDEX('I1 - Universal Data'!$E$15:$V$15, MATCH(YEAR(EOMONTH($A369,6)), 'I1 - Universal Data'!$E$14:$V$14, 0)))</f>
        <v>0.03</v>
      </c>
      <c r="G369" s="1117">
        <f t="shared" si="34"/>
        <v>145.04196656465015</v>
      </c>
      <c r="H369" s="1117">
        <f t="shared" si="34"/>
        <v>442.22001861035949</v>
      </c>
    </row>
    <row r="370" spans="1:8">
      <c r="A370" s="1114">
        <f t="shared" si="32"/>
        <v>47361</v>
      </c>
      <c r="B370" s="1115">
        <f t="shared" si="30"/>
        <v>2030</v>
      </c>
      <c r="C370" s="1283"/>
      <c r="D370" s="1283"/>
      <c r="E370" s="1116">
        <f>IF($A370&lt;DATE(2018,7,1),"-",INDEX('I1 - Universal Data'!$E$16:$V$16, MATCH(YEAR(EOMONTH($A370,6)), 'I1 - Universal Data'!$E$14:$V$14, 0)))</f>
        <v>0.02</v>
      </c>
      <c r="F370" s="1116">
        <f>IF($A370&lt;DATE(2018,7,1),"-",INDEX('I1 - Universal Data'!$E$15:$V$15, MATCH(YEAR(EOMONTH($A370,6)), 'I1 - Universal Data'!$E$14:$V$14, 0)))</f>
        <v>0.03</v>
      </c>
      <c r="G370" s="1117">
        <f t="shared" si="34"/>
        <v>145.28151516462208</v>
      </c>
      <c r="H370" s="1117">
        <f t="shared" si="34"/>
        <v>443.31065247496576</v>
      </c>
    </row>
    <row r="371" spans="1:8">
      <c r="A371" s="1114">
        <f t="shared" si="32"/>
        <v>47391</v>
      </c>
      <c r="B371" s="1115">
        <f t="shared" si="30"/>
        <v>2030</v>
      </c>
      <c r="C371" s="1283"/>
      <c r="D371" s="1283"/>
      <c r="E371" s="1116">
        <f>IF($A371&lt;DATE(2018,7,1),"-",INDEX('I1 - Universal Data'!$E$16:$V$16, MATCH(YEAR(EOMONTH($A371,6)), 'I1 - Universal Data'!$E$14:$V$14, 0)))</f>
        <v>0.02</v>
      </c>
      <c r="F371" s="1116">
        <f>IF($A371&lt;DATE(2018,7,1),"-",INDEX('I1 - Universal Data'!$E$15:$V$15, MATCH(YEAR(EOMONTH($A371,6)), 'I1 - Universal Data'!$E$14:$V$14, 0)))</f>
        <v>0.03</v>
      </c>
      <c r="G371" s="1117">
        <f t="shared" si="34"/>
        <v>145.52145939858261</v>
      </c>
      <c r="H371" s="1117">
        <f t="shared" si="34"/>
        <v>444.40397613690499</v>
      </c>
    </row>
    <row r="372" spans="1:8">
      <c r="A372" s="1114">
        <f t="shared" si="32"/>
        <v>47422</v>
      </c>
      <c r="B372" s="1115">
        <f t="shared" si="30"/>
        <v>2030</v>
      </c>
      <c r="C372" s="1283"/>
      <c r="D372" s="1283"/>
      <c r="E372" s="1116">
        <f>IF($A372&lt;DATE(2018,7,1),"-",INDEX('I1 - Universal Data'!$E$16:$V$16, MATCH(YEAR(EOMONTH($A372,6)), 'I1 - Universal Data'!$E$14:$V$14, 0)))</f>
        <v>0.02</v>
      </c>
      <c r="F372" s="1116">
        <f>IF($A372&lt;DATE(2018,7,1),"-",INDEX('I1 - Universal Data'!$E$15:$V$15, MATCH(YEAR(EOMONTH($A372,6)), 'I1 - Universal Data'!$E$14:$V$14, 0)))</f>
        <v>0.03</v>
      </c>
      <c r="G372" s="1117">
        <f t="shared" si="34"/>
        <v>145.76179991995346</v>
      </c>
      <c r="H372" s="1117">
        <f t="shared" si="34"/>
        <v>445.49999622994301</v>
      </c>
    </row>
    <row r="373" spans="1:8">
      <c r="A373" s="1114">
        <f t="shared" si="32"/>
        <v>47452</v>
      </c>
      <c r="B373" s="1115">
        <f t="shared" si="30"/>
        <v>2030</v>
      </c>
      <c r="C373" s="1283"/>
      <c r="D373" s="1283"/>
      <c r="E373" s="1116">
        <f>IF($A373&lt;DATE(2018,7,1),"-",INDEX('I1 - Universal Data'!$E$16:$V$16, MATCH(YEAR(EOMONTH($A373,6)), 'I1 - Universal Data'!$E$14:$V$14, 0)))</f>
        <v>0.02</v>
      </c>
      <c r="F373" s="1116">
        <f>IF($A373&lt;DATE(2018,7,1),"-",INDEX('I1 - Universal Data'!$E$15:$V$15, MATCH(YEAR(EOMONTH($A373,6)), 'I1 - Universal Data'!$E$14:$V$14, 0)))</f>
        <v>0.03</v>
      </c>
      <c r="G373" s="1117">
        <f t="shared" si="34"/>
        <v>146.00253738323551</v>
      </c>
      <c r="H373" s="1117">
        <f t="shared" si="34"/>
        <v>446.59871940420635</v>
      </c>
    </row>
    <row r="374" spans="1:8">
      <c r="A374" s="1114">
        <f t="shared" si="32"/>
        <v>47483</v>
      </c>
      <c r="B374" s="1115">
        <f t="shared" si="30"/>
        <v>2030</v>
      </c>
      <c r="C374" s="1283"/>
      <c r="D374" s="1283"/>
      <c r="E374" s="1116">
        <f>IF($A374&lt;DATE(2018,7,1),"-",INDEX('I1 - Universal Data'!$E$16:$V$16, MATCH(YEAR(EOMONTH($A374,6)), 'I1 - Universal Data'!$E$14:$V$14, 0)))</f>
        <v>0.02</v>
      </c>
      <c r="F374" s="1116">
        <f>IF($A374&lt;DATE(2018,7,1),"-",INDEX('I1 - Universal Data'!$E$15:$V$15, MATCH(YEAR(EOMONTH($A374,6)), 'I1 - Universal Data'!$E$14:$V$14, 0)))</f>
        <v>0.03</v>
      </c>
      <c r="G374" s="1117">
        <f t="shared" ref="G374:H389" si="35">IF(ISBLANK(C374),G373*((1+E374)^(1/12)),C374)</f>
        <v>146.24367244401057</v>
      </c>
      <c r="H374" s="1117">
        <f t="shared" si="35"/>
        <v>447.70015232622245</v>
      </c>
    </row>
    <row r="375" spans="1:8">
      <c r="A375" s="1114">
        <f t="shared" si="32"/>
        <v>47514</v>
      </c>
      <c r="B375" s="1115">
        <f t="shared" si="30"/>
        <v>2030</v>
      </c>
      <c r="C375" s="1283"/>
      <c r="D375" s="1283"/>
      <c r="E375" s="1116">
        <f>IF($A375&lt;DATE(2018,7,1),"-",INDEX('I1 - Universal Data'!$E$16:$V$16, MATCH(YEAR(EOMONTH($A375,6)), 'I1 - Universal Data'!$E$14:$V$14, 0)))</f>
        <v>0.02</v>
      </c>
      <c r="F375" s="1116">
        <f>IF($A375&lt;DATE(2018,7,1),"-",INDEX('I1 - Universal Data'!$E$15:$V$15, MATCH(YEAR(EOMONTH($A375,6)), 'I1 - Universal Data'!$E$14:$V$14, 0)))</f>
        <v>0.03</v>
      </c>
      <c r="G375" s="1117">
        <f t="shared" si="35"/>
        <v>146.48520575894324</v>
      </c>
      <c r="H375" s="1117">
        <f t="shared" si="35"/>
        <v>448.80430167896037</v>
      </c>
    </row>
    <row r="376" spans="1:8">
      <c r="A376" s="1114">
        <f t="shared" si="32"/>
        <v>47542</v>
      </c>
      <c r="B376" s="1115">
        <f t="shared" si="30"/>
        <v>2030</v>
      </c>
      <c r="C376" s="1283"/>
      <c r="D376" s="1283"/>
      <c r="E376" s="1116">
        <f>IF($A376&lt;DATE(2018,7,1),"-",INDEX('I1 - Universal Data'!$E$16:$V$16, MATCH(YEAR(EOMONTH($A376,6)), 'I1 - Universal Data'!$E$14:$V$14, 0)))</f>
        <v>0.02</v>
      </c>
      <c r="F376" s="1116">
        <f>IF($A376&lt;DATE(2018,7,1),"-",INDEX('I1 - Universal Data'!$E$15:$V$15, MATCH(YEAR(EOMONTH($A376,6)), 'I1 - Universal Data'!$E$14:$V$14, 0)))</f>
        <v>0.03</v>
      </c>
      <c r="G376" s="1117">
        <f t="shared" si="35"/>
        <v>146.72713798578263</v>
      </c>
      <c r="H376" s="1117">
        <f t="shared" si="35"/>
        <v>449.91117416187103</v>
      </c>
    </row>
    <row r="377" spans="1:8">
      <c r="A377" s="1114">
        <f t="shared" si="32"/>
        <v>47573</v>
      </c>
      <c r="B377" s="1115">
        <f t="shared" si="30"/>
        <v>2030</v>
      </c>
      <c r="C377" s="1283"/>
      <c r="D377" s="1283"/>
      <c r="E377" s="1116">
        <f>IF($A377&lt;DATE(2018,7,1),"-",INDEX('I1 - Universal Data'!$E$16:$V$16, MATCH(YEAR(EOMONTH($A377,6)), 'I1 - Universal Data'!$E$14:$V$14, 0)))</f>
        <v>0.02</v>
      </c>
      <c r="F377" s="1116">
        <f>IF($A377&lt;DATE(2018,7,1),"-",INDEX('I1 - Universal Data'!$E$15:$V$15, MATCH(YEAR(EOMONTH($A377,6)), 'I1 - Universal Data'!$E$14:$V$14, 0)))</f>
        <v>0.03</v>
      </c>
      <c r="G377" s="1117">
        <f t="shared" si="35"/>
        <v>146.96946978336422</v>
      </c>
      <c r="H377" s="1117">
        <f t="shared" si="35"/>
        <v>451.02077649092809</v>
      </c>
    </row>
    <row r="378" spans="1:8">
      <c r="A378" s="1114">
        <f t="shared" si="32"/>
        <v>47603</v>
      </c>
      <c r="B378" s="1115">
        <f t="shared" si="30"/>
        <v>2031</v>
      </c>
      <c r="C378" s="1283"/>
      <c r="D378" s="1283"/>
      <c r="E378" s="1116">
        <f>IF($A378&lt;DATE(2018,7,1),"-",INDEX('I1 - Universal Data'!$E$16:$V$16, MATCH(YEAR(EOMONTH($A378,6)), 'I1 - Universal Data'!$E$14:$V$14, 0)))</f>
        <v>0.02</v>
      </c>
      <c r="F378" s="1116">
        <f>IF($A378&lt;DATE(2018,7,1),"-",INDEX('I1 - Universal Data'!$E$15:$V$15, MATCH(YEAR(EOMONTH($A378,6)), 'I1 - Universal Data'!$E$14:$V$14, 0)))</f>
        <v>0.03</v>
      </c>
      <c r="G378" s="1117">
        <f t="shared" si="35"/>
        <v>147.21220181161155</v>
      </c>
      <c r="H378" s="1117">
        <f t="shared" si="35"/>
        <v>452.13311539866862</v>
      </c>
    </row>
    <row r="379" spans="1:8">
      <c r="A379" s="1114">
        <f t="shared" si="32"/>
        <v>47634</v>
      </c>
      <c r="B379" s="1115">
        <f t="shared" si="30"/>
        <v>2031</v>
      </c>
      <c r="C379" s="1283"/>
      <c r="D379" s="1283"/>
      <c r="E379" s="1116">
        <f>IF($A379&lt;DATE(2018,7,1),"-",INDEX('I1 - Universal Data'!$E$16:$V$16, MATCH(YEAR(EOMONTH($A379,6)), 'I1 - Universal Data'!$E$14:$V$14, 0)))</f>
        <v>0.02</v>
      </c>
      <c r="F379" s="1116">
        <f>IF($A379&lt;DATE(2018,7,1),"-",INDEX('I1 - Universal Data'!$E$15:$V$15, MATCH(YEAR(EOMONTH($A379,6)), 'I1 - Universal Data'!$E$14:$V$14, 0)))</f>
        <v>0.03</v>
      </c>
      <c r="G379" s="1117">
        <f t="shared" si="35"/>
        <v>147.4553347315381</v>
      </c>
      <c r="H379" s="1117">
        <f t="shared" si="35"/>
        <v>453.24819763423386</v>
      </c>
    </row>
    <row r="380" spans="1:8">
      <c r="A380" s="1114">
        <f t="shared" si="32"/>
        <v>47664</v>
      </c>
      <c r="B380" s="1115">
        <f t="shared" si="30"/>
        <v>2031</v>
      </c>
      <c r="C380" s="1283"/>
      <c r="D380" s="1283"/>
      <c r="E380" s="1116">
        <f>IF($A380&lt;DATE(2018,7,1),"-",INDEX('I1 - Universal Data'!$E$16:$V$16, MATCH(YEAR(EOMONTH($A380,6)), 'I1 - Universal Data'!$E$14:$V$14, 0)))</f>
        <v>0.02</v>
      </c>
      <c r="F380" s="1116">
        <f>IF($A380&lt;DATE(2018,7,1),"-",INDEX('I1 - Universal Data'!$E$15:$V$15, MATCH(YEAR(EOMONTH($A380,6)), 'I1 - Universal Data'!$E$14:$V$14, 0)))</f>
        <v>0.03</v>
      </c>
      <c r="G380" s="1117">
        <f t="shared" si="35"/>
        <v>147.69886920524911</v>
      </c>
      <c r="H380" s="1117">
        <f t="shared" si="35"/>
        <v>454.36602996341031</v>
      </c>
    </row>
    <row r="381" spans="1:8">
      <c r="A381" s="1114">
        <f t="shared" si="32"/>
        <v>47695</v>
      </c>
      <c r="B381" s="1115">
        <f t="shared" si="30"/>
        <v>2031</v>
      </c>
      <c r="C381" s="1283"/>
      <c r="D381" s="1283"/>
      <c r="E381" s="1116">
        <f>IF($A381&lt;DATE(2018,7,1),"-",INDEX('I1 - Universal Data'!$E$16:$V$16, MATCH(YEAR(EOMONTH($A381,6)), 'I1 - Universal Data'!$E$14:$V$14, 0)))</f>
        <v>0.02</v>
      </c>
      <c r="F381" s="1116">
        <f>IF($A381&lt;DATE(2018,7,1),"-",INDEX('I1 - Universal Data'!$E$15:$V$15, MATCH(YEAR(EOMONTH($A381,6)), 'I1 - Universal Data'!$E$14:$V$14, 0)))</f>
        <v>0.03</v>
      </c>
      <c r="G381" s="1117">
        <f t="shared" si="35"/>
        <v>147.94280589594325</v>
      </c>
      <c r="H381" s="1117">
        <f t="shared" si="35"/>
        <v>455.4866191686707</v>
      </c>
    </row>
    <row r="382" spans="1:8">
      <c r="A382" s="1114">
        <f t="shared" si="32"/>
        <v>47726</v>
      </c>
      <c r="B382" s="1115">
        <f t="shared" si="30"/>
        <v>2031</v>
      </c>
      <c r="C382" s="1283"/>
      <c r="D382" s="1283"/>
      <c r="E382" s="1116">
        <f>IF($A382&lt;DATE(2018,7,1),"-",INDEX('I1 - Universal Data'!$E$16:$V$16, MATCH(YEAR(EOMONTH($A382,6)), 'I1 - Universal Data'!$E$14:$V$14, 0)))</f>
        <v>0.02</v>
      </c>
      <c r="F382" s="1116">
        <f>IF($A382&lt;DATE(2018,7,1),"-",INDEX('I1 - Universal Data'!$E$15:$V$15, MATCH(YEAR(EOMONTH($A382,6)), 'I1 - Universal Data'!$E$14:$V$14, 0)))</f>
        <v>0.03</v>
      </c>
      <c r="G382" s="1117">
        <f t="shared" si="35"/>
        <v>148.1871454679146</v>
      </c>
      <c r="H382" s="1117">
        <f t="shared" si="35"/>
        <v>456.60997204921517</v>
      </c>
    </row>
    <row r="383" spans="1:8">
      <c r="A383" s="1114">
        <f t="shared" si="32"/>
        <v>47756</v>
      </c>
      <c r="B383" s="1115">
        <f t="shared" si="30"/>
        <v>2031</v>
      </c>
      <c r="C383" s="1283"/>
      <c r="D383" s="1283"/>
      <c r="E383" s="1116">
        <f>IF($A383&lt;DATE(2018,7,1),"-",INDEX('I1 - Universal Data'!$E$16:$V$16, MATCH(YEAR(EOMONTH($A383,6)), 'I1 - Universal Data'!$E$14:$V$14, 0)))</f>
        <v>0.02</v>
      </c>
      <c r="F383" s="1116">
        <f>IF($A383&lt;DATE(2018,7,1),"-",INDEX('I1 - Universal Data'!$E$15:$V$15, MATCH(YEAR(EOMONTH($A383,6)), 'I1 - Universal Data'!$E$14:$V$14, 0)))</f>
        <v>0.03</v>
      </c>
      <c r="G383" s="1117">
        <f t="shared" si="35"/>
        <v>148.43188858655435</v>
      </c>
      <c r="H383" s="1117">
        <f t="shared" si="35"/>
        <v>457.73609542101258</v>
      </c>
    </row>
    <row r="384" spans="1:8">
      <c r="A384" s="1114">
        <f t="shared" si="32"/>
        <v>47787</v>
      </c>
      <c r="B384" s="1115">
        <f t="shared" si="30"/>
        <v>2031</v>
      </c>
      <c r="C384" s="1283"/>
      <c r="D384" s="1283"/>
      <c r="E384" s="1116">
        <f>IF($A384&lt;DATE(2018,7,1),"-",INDEX('I1 - Universal Data'!$E$16:$V$16, MATCH(YEAR(EOMONTH($A384,6)), 'I1 - Universal Data'!$E$14:$V$14, 0)))</f>
        <v>0.02</v>
      </c>
      <c r="F384" s="1116">
        <f>IF($A384&lt;DATE(2018,7,1),"-",INDEX('I1 - Universal Data'!$E$15:$V$15, MATCH(YEAR(EOMONTH($A384,6)), 'I1 - Universal Data'!$E$14:$V$14, 0)))</f>
        <v>0.03</v>
      </c>
      <c r="G384" s="1117">
        <f t="shared" si="35"/>
        <v>148.6770359183526</v>
      </c>
      <c r="H384" s="1117">
        <f t="shared" si="35"/>
        <v>458.86499611684172</v>
      </c>
    </row>
    <row r="385" spans="1:8">
      <c r="A385" s="1114">
        <f t="shared" si="32"/>
        <v>47817</v>
      </c>
      <c r="B385" s="1115">
        <f t="shared" si="30"/>
        <v>2031</v>
      </c>
      <c r="C385" s="1283"/>
      <c r="D385" s="1283"/>
      <c r="E385" s="1116">
        <f>IF($A385&lt;DATE(2018,7,1),"-",INDEX('I1 - Universal Data'!$E$16:$V$16, MATCH(YEAR(EOMONTH($A385,6)), 'I1 - Universal Data'!$E$14:$V$14, 0)))</f>
        <v>0.02</v>
      </c>
      <c r="F385" s="1116">
        <f>IF($A385&lt;DATE(2018,7,1),"-",INDEX('I1 - Universal Data'!$E$15:$V$15, MATCH(YEAR(EOMONTH($A385,6)), 'I1 - Universal Data'!$E$14:$V$14, 0)))</f>
        <v>0.03</v>
      </c>
      <c r="G385" s="1117">
        <f t="shared" si="35"/>
        <v>148.92258813090027</v>
      </c>
      <c r="H385" s="1117">
        <f t="shared" si="35"/>
        <v>459.99668098633293</v>
      </c>
    </row>
    <row r="386" spans="1:8">
      <c r="A386" s="1114">
        <f t="shared" si="32"/>
        <v>47848</v>
      </c>
      <c r="B386" s="1115">
        <f t="shared" si="30"/>
        <v>2031</v>
      </c>
      <c r="C386" s="1283"/>
      <c r="D386" s="1283"/>
      <c r="E386" s="1116">
        <f>IF($A386&lt;DATE(2018,7,1),"-",INDEX('I1 - Universal Data'!$E$16:$V$16, MATCH(YEAR(EOMONTH($A386,6)), 'I1 - Universal Data'!$E$14:$V$14, 0)))</f>
        <v>0.02</v>
      </c>
      <c r="F386" s="1116">
        <f>IF($A386&lt;DATE(2018,7,1),"-",INDEX('I1 - Universal Data'!$E$15:$V$15, MATCH(YEAR(EOMONTH($A386,6)), 'I1 - Universal Data'!$E$14:$V$14, 0)))</f>
        <v>0.03</v>
      </c>
      <c r="G386" s="1117">
        <f t="shared" si="35"/>
        <v>149.16854589289082</v>
      </c>
      <c r="H386" s="1117">
        <f t="shared" si="35"/>
        <v>461.13115689600954</v>
      </c>
    </row>
    <row r="387" spans="1:8">
      <c r="A387" s="1114">
        <f t="shared" si="32"/>
        <v>47879</v>
      </c>
      <c r="B387" s="1115">
        <f t="shared" si="30"/>
        <v>2031</v>
      </c>
      <c r="C387" s="1283"/>
      <c r="D387" s="1283"/>
      <c r="E387" s="1116">
        <f>IF($A387&lt;DATE(2018,7,1),"-",INDEX('I1 - Universal Data'!$E$16:$V$16, MATCH(YEAR(EOMONTH($A387,6)), 'I1 - Universal Data'!$E$14:$V$14, 0)))</f>
        <v>0.02</v>
      </c>
      <c r="F387" s="1116">
        <f>IF($A387&lt;DATE(2018,7,1),"-",INDEX('I1 - Universal Data'!$E$15:$V$15, MATCH(YEAR(EOMONTH($A387,6)), 'I1 - Universal Data'!$E$14:$V$14, 0)))</f>
        <v>0.03</v>
      </c>
      <c r="G387" s="1117">
        <f t="shared" si="35"/>
        <v>149.41490987412215</v>
      </c>
      <c r="H387" s="1117">
        <f t="shared" si="35"/>
        <v>462.26843072932962</v>
      </c>
    </row>
    <row r="388" spans="1:8">
      <c r="A388" s="1114">
        <f t="shared" si="32"/>
        <v>47907</v>
      </c>
      <c r="B388" s="1115">
        <f t="shared" si="30"/>
        <v>2031</v>
      </c>
      <c r="C388" s="1283"/>
      <c r="D388" s="1283"/>
      <c r="E388" s="1116">
        <f>IF($A388&lt;DATE(2018,7,1),"-",INDEX('I1 - Universal Data'!$E$16:$V$16, MATCH(YEAR(EOMONTH($A388,6)), 'I1 - Universal Data'!$E$14:$V$14, 0)))</f>
        <v>0.02</v>
      </c>
      <c r="F388" s="1116">
        <f>IF($A388&lt;DATE(2018,7,1),"-",INDEX('I1 - Universal Data'!$E$15:$V$15, MATCH(YEAR(EOMONTH($A388,6)), 'I1 - Universal Data'!$E$14:$V$14, 0)))</f>
        <v>0.03</v>
      </c>
      <c r="G388" s="1117">
        <f t="shared" si="35"/>
        <v>149.66168074549833</v>
      </c>
      <c r="H388" s="1117">
        <f t="shared" si="35"/>
        <v>463.40850938672764</v>
      </c>
    </row>
    <row r="389" spans="1:8">
      <c r="A389" s="1114">
        <f t="shared" si="32"/>
        <v>47938</v>
      </c>
      <c r="B389" s="1115">
        <f t="shared" si="30"/>
        <v>2031</v>
      </c>
      <c r="C389" s="1283"/>
      <c r="D389" s="1283"/>
      <c r="E389" s="1116">
        <f>IF($A389&lt;DATE(2018,7,1),"-",INDEX('I1 - Universal Data'!$E$16:$V$16, MATCH(YEAR(EOMONTH($A389,6)), 'I1 - Universal Data'!$E$14:$V$14, 0)))</f>
        <v>0.02</v>
      </c>
      <c r="F389" s="1116">
        <f>IF($A389&lt;DATE(2018,7,1),"-",INDEX('I1 - Universal Data'!$E$15:$V$15, MATCH(YEAR(EOMONTH($A389,6)), 'I1 - Universal Data'!$E$14:$V$14, 0)))</f>
        <v>0.03</v>
      </c>
      <c r="G389" s="1117">
        <f t="shared" si="35"/>
        <v>149.90885917903154</v>
      </c>
      <c r="H389" s="1117">
        <f t="shared" si="35"/>
        <v>464.55139978565643</v>
      </c>
    </row>
    <row r="390" spans="1:8">
      <c r="A390" s="1114">
        <f t="shared" si="32"/>
        <v>47968</v>
      </c>
      <c r="B390" s="1115">
        <f t="shared" ref="B390:B413" si="36">IF(MONTH(A390)&gt;=4,YEAR(A390)+1,YEAR(A390))</f>
        <v>2032</v>
      </c>
      <c r="C390" s="1283"/>
      <c r="D390" s="1283"/>
      <c r="E390" s="1116">
        <f>IF($A390&lt;DATE(2018,7,1),"-",INDEX('I1 - Universal Data'!$E$16:$V$16, MATCH(YEAR(EOMONTH($A390,6)), 'I1 - Universal Data'!$E$14:$V$14, 0)))</f>
        <v>0.02</v>
      </c>
      <c r="F390" s="1116">
        <f>IF($A390&lt;DATE(2018,7,1),"-",INDEX('I1 - Universal Data'!$E$15:$V$15, MATCH(YEAR(EOMONTH($A390,6)), 'I1 - Universal Data'!$E$14:$V$14, 0)))</f>
        <v>0.03</v>
      </c>
      <c r="G390" s="1117">
        <f t="shared" ref="G390:H405" si="37">IF(ISBLANK(C390),G389*((1+E390)^(1/12)),C390)</f>
        <v>150.15644584784383</v>
      </c>
      <c r="H390" s="1117">
        <f t="shared" si="37"/>
        <v>465.69710886062916</v>
      </c>
    </row>
    <row r="391" spans="1:8">
      <c r="A391" s="1114">
        <f t="shared" ref="A391:A413" si="38">IF(MONTH(A390) = 12, EOMONTH(DATE(YEAR(A390) + 1, 1, 1), 0), EOMONTH(DATE(YEAR(A390), MONTH(A390) + 1, 1), 0))</f>
        <v>47999</v>
      </c>
      <c r="B391" s="1115">
        <f t="shared" si="36"/>
        <v>2032</v>
      </c>
      <c r="C391" s="1283"/>
      <c r="D391" s="1283"/>
      <c r="E391" s="1116">
        <f>IF($A391&lt;DATE(2018,7,1),"-",INDEX('I1 - Universal Data'!$E$16:$V$16, MATCH(YEAR(EOMONTH($A391,6)), 'I1 - Universal Data'!$E$14:$V$14, 0)))</f>
        <v>0.02</v>
      </c>
      <c r="F391" s="1116">
        <f>IF($A391&lt;DATE(2018,7,1),"-",INDEX('I1 - Universal Data'!$E$15:$V$15, MATCH(YEAR(EOMONTH($A391,6)), 'I1 - Universal Data'!$E$14:$V$14, 0)))</f>
        <v>0.03</v>
      </c>
      <c r="G391" s="1117">
        <f t="shared" si="37"/>
        <v>150.40444142616892</v>
      </c>
      <c r="H391" s="1117">
        <f t="shared" si="37"/>
        <v>466.84564356326132</v>
      </c>
    </row>
    <row r="392" spans="1:8">
      <c r="A392" s="1114">
        <f t="shared" si="38"/>
        <v>48029</v>
      </c>
      <c r="B392" s="1115">
        <f t="shared" si="36"/>
        <v>2032</v>
      </c>
      <c r="C392" s="1283"/>
      <c r="D392" s="1283"/>
      <c r="E392" s="1116">
        <f>IF($A392&lt;DATE(2018,7,1),"-",INDEX('I1 - Universal Data'!$E$16:$V$16, MATCH(YEAR(EOMONTH($A392,6)), 'I1 - Universal Data'!$E$14:$V$14, 0)))</f>
        <v>0.02</v>
      </c>
      <c r="F392" s="1116">
        <f>IF($A392&lt;DATE(2018,7,1),"-",INDEX('I1 - Universal Data'!$E$15:$V$15, MATCH(YEAR(EOMONTH($A392,6)), 'I1 - Universal Data'!$E$14:$V$14, 0)))</f>
        <v>0.03</v>
      </c>
      <c r="G392" s="1117">
        <f t="shared" si="37"/>
        <v>150.65284658935414</v>
      </c>
      <c r="H392" s="1117">
        <f t="shared" si="37"/>
        <v>467.99701086231306</v>
      </c>
    </row>
    <row r="393" spans="1:8">
      <c r="A393" s="1114">
        <f t="shared" si="38"/>
        <v>48060</v>
      </c>
      <c r="B393" s="1115">
        <f t="shared" si="36"/>
        <v>2032</v>
      </c>
      <c r="C393" s="1283"/>
      <c r="D393" s="1283"/>
      <c r="E393" s="1116">
        <f>IF($A393&lt;DATE(2018,7,1),"-",INDEX('I1 - Universal Data'!$E$16:$V$16, MATCH(YEAR(EOMONTH($A393,6)), 'I1 - Universal Data'!$E$14:$V$14, 0)))</f>
        <v>0.02</v>
      </c>
      <c r="F393" s="1116">
        <f>IF($A393&lt;DATE(2018,7,1),"-",INDEX('I1 - Universal Data'!$E$15:$V$15, MATCH(YEAR(EOMONTH($A393,6)), 'I1 - Universal Data'!$E$14:$V$14, 0)))</f>
        <v>0.03</v>
      </c>
      <c r="G393" s="1117">
        <f t="shared" si="37"/>
        <v>150.90166201386216</v>
      </c>
      <c r="H393" s="1117">
        <f t="shared" si="37"/>
        <v>469.15121774373125</v>
      </c>
    </row>
    <row r="394" spans="1:8">
      <c r="A394" s="1114">
        <f t="shared" si="38"/>
        <v>48091</v>
      </c>
      <c r="B394" s="1115">
        <f t="shared" si="36"/>
        <v>2032</v>
      </c>
      <c r="C394" s="1283"/>
      <c r="D394" s="1283"/>
      <c r="E394" s="1116">
        <f>IF($A394&lt;DATE(2018,7,1),"-",INDEX('I1 - Universal Data'!$E$16:$V$16, MATCH(YEAR(EOMONTH($A394,6)), 'I1 - Universal Data'!$E$14:$V$14, 0)))</f>
        <v>0.02</v>
      </c>
      <c r="F394" s="1116">
        <f>IF($A394&lt;DATE(2018,7,1),"-",INDEX('I1 - Universal Data'!$E$15:$V$15, MATCH(YEAR(EOMONTH($A394,6)), 'I1 - Universal Data'!$E$14:$V$14, 0)))</f>
        <v>0.03</v>
      </c>
      <c r="G394" s="1117">
        <f t="shared" si="37"/>
        <v>151.15088837727293</v>
      </c>
      <c r="H394" s="1117">
        <f t="shared" si="37"/>
        <v>470.30827121069206</v>
      </c>
    </row>
    <row r="395" spans="1:8">
      <c r="A395" s="1114">
        <f t="shared" si="38"/>
        <v>48121</v>
      </c>
      <c r="B395" s="1115">
        <f t="shared" si="36"/>
        <v>2032</v>
      </c>
      <c r="C395" s="1283"/>
      <c r="D395" s="1283"/>
      <c r="E395" s="1116">
        <f>IF($A395&lt;DATE(2018,7,1),"-",INDEX('I1 - Universal Data'!$E$16:$V$16, MATCH(YEAR(EOMONTH($A395,6)), 'I1 - Universal Data'!$E$14:$V$14, 0)))</f>
        <v>0.02</v>
      </c>
      <c r="F395" s="1116">
        <f>IF($A395&lt;DATE(2018,7,1),"-",INDEX('I1 - Universal Data'!$E$15:$V$15, MATCH(YEAR(EOMONTH($A395,6)), 'I1 - Universal Data'!$E$14:$V$14, 0)))</f>
        <v>0.03</v>
      </c>
      <c r="G395" s="1117">
        <f t="shared" si="37"/>
        <v>151.40052635828548</v>
      </c>
      <c r="H395" s="1117">
        <f t="shared" si="37"/>
        <v>471.4681782836434</v>
      </c>
    </row>
    <row r="396" spans="1:8">
      <c r="A396" s="1114">
        <f t="shared" si="38"/>
        <v>48152</v>
      </c>
      <c r="B396" s="1115">
        <f t="shared" si="36"/>
        <v>2032</v>
      </c>
      <c r="C396" s="1283"/>
      <c r="D396" s="1283"/>
      <c r="E396" s="1116">
        <f>IF($A396&lt;DATE(2018,7,1),"-",INDEX('I1 - Universal Data'!$E$16:$V$16, MATCH(YEAR(EOMONTH($A396,6)), 'I1 - Universal Data'!$E$14:$V$14, 0)))</f>
        <v>0.02</v>
      </c>
      <c r="F396" s="1116">
        <f>IF($A396&lt;DATE(2018,7,1),"-",INDEX('I1 - Universal Data'!$E$15:$V$15, MATCH(YEAR(EOMONTH($A396,6)), 'I1 - Universal Data'!$E$14:$V$14, 0)))</f>
        <v>0.03</v>
      </c>
      <c r="G396" s="1117">
        <f t="shared" si="37"/>
        <v>151.65057663671971</v>
      </c>
      <c r="H396" s="1117">
        <f t="shared" si="37"/>
        <v>472.63094600034742</v>
      </c>
    </row>
    <row r="397" spans="1:8">
      <c r="A397" s="1114">
        <f t="shared" si="38"/>
        <v>48182</v>
      </c>
      <c r="B397" s="1115">
        <f t="shared" si="36"/>
        <v>2032</v>
      </c>
      <c r="C397" s="1283"/>
      <c r="D397" s="1283"/>
      <c r="E397" s="1116">
        <f>IF($A397&lt;DATE(2018,7,1),"-",INDEX('I1 - Universal Data'!$E$16:$V$16, MATCH(YEAR(EOMONTH($A397,6)), 'I1 - Universal Data'!$E$14:$V$14, 0)))</f>
        <v>0.02</v>
      </c>
      <c r="F397" s="1116">
        <f>IF($A397&lt;DATE(2018,7,1),"-",INDEX('I1 - Universal Data'!$E$15:$V$15, MATCH(YEAR(EOMONTH($A397,6)), 'I1 - Universal Data'!$E$14:$V$14, 0)))</f>
        <v>0.03</v>
      </c>
      <c r="G397" s="1117">
        <f t="shared" si="37"/>
        <v>151.90103989351834</v>
      </c>
      <c r="H397" s="1117">
        <f t="shared" si="37"/>
        <v>473.79658141592336</v>
      </c>
    </row>
    <row r="398" spans="1:8">
      <c r="A398" s="1114">
        <f t="shared" si="38"/>
        <v>48213</v>
      </c>
      <c r="B398" s="1115">
        <f t="shared" si="36"/>
        <v>2032</v>
      </c>
      <c r="C398" s="1283"/>
      <c r="D398" s="1283"/>
      <c r="E398" s="1116">
        <f>IF($A398&lt;DATE(2018,7,1),"-",INDEX('I1 - Universal Data'!$E$16:$V$16, MATCH(YEAR(EOMONTH($A398,6)), 'I1 - Universal Data'!$E$14:$V$14, 0)))</f>
        <v>0.02</v>
      </c>
      <c r="F398" s="1116">
        <f>IF($A398&lt;DATE(2018,7,1),"-",INDEX('I1 - Universal Data'!$E$15:$V$15, MATCH(YEAR(EOMONTH($A398,6)), 'I1 - Universal Data'!$E$14:$V$14, 0)))</f>
        <v>0.03</v>
      </c>
      <c r="G398" s="1117">
        <f t="shared" si="37"/>
        <v>152.15191681074873</v>
      </c>
      <c r="H398" s="1117">
        <f t="shared" si="37"/>
        <v>474.96509160289025</v>
      </c>
    </row>
    <row r="399" spans="1:8">
      <c r="A399" s="1114">
        <f t="shared" si="38"/>
        <v>48244</v>
      </c>
      <c r="B399" s="1115">
        <f t="shared" si="36"/>
        <v>2032</v>
      </c>
      <c r="C399" s="1283"/>
      <c r="D399" s="1283"/>
      <c r="E399" s="1116">
        <f>IF($A399&lt;DATE(2018,7,1),"-",INDEX('I1 - Universal Data'!$E$16:$V$16, MATCH(YEAR(EOMONTH($A399,6)), 'I1 - Universal Data'!$E$14:$V$14, 0)))</f>
        <v>0.02</v>
      </c>
      <c r="F399" s="1116">
        <f>IF($A399&lt;DATE(2018,7,1),"-",INDEX('I1 - Universal Data'!$E$15:$V$15, MATCH(YEAR(EOMONTH($A399,6)), 'I1 - Universal Data'!$E$14:$V$14, 0)))</f>
        <v>0.03</v>
      </c>
      <c r="G399" s="1117">
        <f t="shared" si="37"/>
        <v>152.40320807160469</v>
      </c>
      <c r="H399" s="1117">
        <f t="shared" si="37"/>
        <v>476.13648365120991</v>
      </c>
    </row>
    <row r="400" spans="1:8">
      <c r="A400" s="1114">
        <f t="shared" si="38"/>
        <v>48273</v>
      </c>
      <c r="B400" s="1115">
        <f t="shared" si="36"/>
        <v>2032</v>
      </c>
      <c r="C400" s="1283"/>
      <c r="D400" s="1283"/>
      <c r="E400" s="1116">
        <f>IF($A400&lt;DATE(2018,7,1),"-",INDEX('I1 - Universal Data'!$E$16:$V$16, MATCH(YEAR(EOMONTH($A400,6)), 'I1 - Universal Data'!$E$14:$V$14, 0)))</f>
        <v>0.02</v>
      </c>
      <c r="F400" s="1116">
        <f>IF($A400&lt;DATE(2018,7,1),"-",INDEX('I1 - Universal Data'!$E$15:$V$15, MATCH(YEAR(EOMONTH($A400,6)), 'I1 - Universal Data'!$E$14:$V$14, 0)))</f>
        <v>0.03</v>
      </c>
      <c r="G400" s="1117">
        <f t="shared" si="37"/>
        <v>152.65491436040841</v>
      </c>
      <c r="H400" s="1117">
        <f t="shared" si="37"/>
        <v>477.31076466832985</v>
      </c>
    </row>
    <row r="401" spans="1:8">
      <c r="A401" s="1114">
        <f t="shared" si="38"/>
        <v>48304</v>
      </c>
      <c r="B401" s="1115">
        <f t="shared" si="36"/>
        <v>2032</v>
      </c>
      <c r="C401" s="1283"/>
      <c r="D401" s="1283"/>
      <c r="E401" s="1116">
        <f>IF($A401&lt;DATE(2018,7,1),"-",INDEX('I1 - Universal Data'!$E$16:$V$16, MATCH(YEAR(EOMONTH($A401,6)), 'I1 - Universal Data'!$E$14:$V$14, 0)))</f>
        <v>0.02</v>
      </c>
      <c r="F401" s="1116">
        <f>IF($A401&lt;DATE(2018,7,1),"-",INDEX('I1 - Universal Data'!$E$15:$V$15, MATCH(YEAR(EOMONTH($A401,6)), 'I1 - Universal Data'!$E$14:$V$14, 0)))</f>
        <v>0.03</v>
      </c>
      <c r="G401" s="1117">
        <f t="shared" si="37"/>
        <v>152.9070363626123</v>
      </c>
      <c r="H401" s="1117">
        <f t="shared" si="37"/>
        <v>478.4879417792265</v>
      </c>
    </row>
    <row r="402" spans="1:8">
      <c r="A402" s="1114">
        <f t="shared" si="38"/>
        <v>48334</v>
      </c>
      <c r="B402" s="1115">
        <f t="shared" si="36"/>
        <v>2033</v>
      </c>
      <c r="C402" s="1283"/>
      <c r="D402" s="1283"/>
      <c r="E402" s="1116">
        <f>IF($A402&lt;DATE(2018,7,1),"-",INDEX('I1 - Universal Data'!$E$16:$V$16, MATCH(YEAR(EOMONTH($A402,6)), 'I1 - Universal Data'!$E$14:$V$14, 0)))</f>
        <v>0.02</v>
      </c>
      <c r="F402" s="1116">
        <f>IF($A402&lt;DATE(2018,7,1),"-",INDEX('I1 - Universal Data'!$E$15:$V$15, MATCH(YEAR(EOMONTH($A402,6)), 'I1 - Universal Data'!$E$14:$V$14, 0)))</f>
        <v>0.03</v>
      </c>
      <c r="G402" s="1117">
        <f t="shared" si="37"/>
        <v>153.15957476480082</v>
      </c>
      <c r="H402" s="1117">
        <f t="shared" si="37"/>
        <v>479.66802212644842</v>
      </c>
    </row>
    <row r="403" spans="1:8">
      <c r="A403" s="1114">
        <f t="shared" si="38"/>
        <v>48365</v>
      </c>
      <c r="B403" s="1115">
        <f t="shared" si="36"/>
        <v>2033</v>
      </c>
      <c r="C403" s="1283"/>
      <c r="D403" s="1283"/>
      <c r="E403" s="1116">
        <f>IF($A403&lt;DATE(2018,7,1),"-",INDEX('I1 - Universal Data'!$E$16:$V$16, MATCH(YEAR(EOMONTH($A403,6)), 'I1 - Universal Data'!$E$14:$V$14, 0)))</f>
        <v>0.02</v>
      </c>
      <c r="F403" s="1116">
        <f>IF($A403&lt;DATE(2018,7,1),"-",INDEX('I1 - Universal Data'!$E$15:$V$15, MATCH(YEAR(EOMONTH($A403,6)), 'I1 - Universal Data'!$E$14:$V$14, 0)))</f>
        <v>0.03</v>
      </c>
      <c r="G403" s="1117">
        <f t="shared" si="37"/>
        <v>153.41253025469243</v>
      </c>
      <c r="H403" s="1117">
        <f t="shared" si="37"/>
        <v>480.85101287015959</v>
      </c>
    </row>
    <row r="404" spans="1:8">
      <c r="A404" s="1114">
        <f t="shared" si="38"/>
        <v>48395</v>
      </c>
      <c r="B404" s="1115">
        <f t="shared" si="36"/>
        <v>2033</v>
      </c>
      <c r="C404" s="1283"/>
      <c r="D404" s="1283"/>
      <c r="E404" s="1116">
        <f>IF($A404&lt;DATE(2018,7,1),"-",INDEX('I1 - Universal Data'!$E$16:$V$16, MATCH(YEAR(EOMONTH($A404,6)), 'I1 - Universal Data'!$E$14:$V$14, 0)))</f>
        <v>0.02</v>
      </c>
      <c r="F404" s="1116">
        <f>IF($A404&lt;DATE(2018,7,1),"-",INDEX('I1 - Universal Data'!$E$15:$V$15, MATCH(YEAR(EOMONTH($A404,6)), 'I1 - Universal Data'!$E$14:$V$14, 0)))</f>
        <v>0.03</v>
      </c>
      <c r="G404" s="1117">
        <f t="shared" si="37"/>
        <v>153.66590352114136</v>
      </c>
      <c r="H404" s="1117">
        <f t="shared" si="37"/>
        <v>482.03692118818287</v>
      </c>
    </row>
    <row r="405" spans="1:8">
      <c r="A405" s="1114">
        <f t="shared" si="38"/>
        <v>48426</v>
      </c>
      <c r="B405" s="1115">
        <f t="shared" si="36"/>
        <v>2033</v>
      </c>
      <c r="C405" s="1283"/>
      <c r="D405" s="1283"/>
      <c r="E405" s="1116">
        <f>IF($A405&lt;DATE(2018,7,1),"-",INDEX('I1 - Universal Data'!$E$16:$V$16, MATCH(YEAR(EOMONTH($A405,6)), 'I1 - Universal Data'!$E$14:$V$14, 0)))</f>
        <v>0.02</v>
      </c>
      <c r="F405" s="1116">
        <f>IF($A405&lt;DATE(2018,7,1),"-",INDEX('I1 - Universal Data'!$E$15:$V$15, MATCH(YEAR(EOMONTH($A405,6)), 'I1 - Universal Data'!$E$14:$V$14, 0)))</f>
        <v>0.03</v>
      </c>
      <c r="G405" s="1117">
        <f t="shared" si="37"/>
        <v>153.91969525413955</v>
      </c>
      <c r="H405" s="1117">
        <f t="shared" si="37"/>
        <v>483.22575427604363</v>
      </c>
    </row>
    <row r="406" spans="1:8">
      <c r="A406" s="1114">
        <f t="shared" si="38"/>
        <v>48457</v>
      </c>
      <c r="B406" s="1115">
        <f t="shared" si="36"/>
        <v>2033</v>
      </c>
      <c r="C406" s="1283"/>
      <c r="D406" s="1283"/>
      <c r="E406" s="1116">
        <f>IF($A406&lt;DATE(2018,7,1),"-",INDEX('I1 - Universal Data'!$E$16:$V$16, MATCH(YEAR(EOMONTH($A406,6)), 'I1 - Universal Data'!$E$14:$V$14, 0)))</f>
        <v>0.02</v>
      </c>
      <c r="F406" s="1116">
        <f>IF($A406&lt;DATE(2018,7,1),"-",INDEX('I1 - Universal Data'!$E$15:$V$15, MATCH(YEAR(EOMONTH($A406,6)), 'I1 - Universal Data'!$E$14:$V$14, 0)))</f>
        <v>0.03</v>
      </c>
      <c r="G406" s="1117">
        <f t="shared" ref="G406:H413" si="39">IF(ISBLANK(C406),G405*((1+E406)^(1/12)),C406)</f>
        <v>154.17390614481855</v>
      </c>
      <c r="H406" s="1117">
        <f t="shared" si="39"/>
        <v>484.4175193470133</v>
      </c>
    </row>
    <row r="407" spans="1:8">
      <c r="A407" s="1114">
        <f t="shared" si="38"/>
        <v>48487</v>
      </c>
      <c r="B407" s="1115">
        <f t="shared" si="36"/>
        <v>2033</v>
      </c>
      <c r="C407" s="1283"/>
      <c r="D407" s="1283"/>
      <c r="E407" s="1116">
        <f>IF($A407&lt;DATE(2018,7,1),"-",INDEX('I1 - Universal Data'!$E$16:$V$16, MATCH(YEAR(EOMONTH($A407,6)), 'I1 - Universal Data'!$E$14:$V$14, 0)))</f>
        <v>0.02</v>
      </c>
      <c r="F407" s="1116">
        <f>IF($A407&lt;DATE(2018,7,1),"-",INDEX('I1 - Universal Data'!$E$15:$V$15, MATCH(YEAR(EOMONTH($A407,6)), 'I1 - Universal Data'!$E$14:$V$14, 0)))</f>
        <v>0.03</v>
      </c>
      <c r="G407" s="1117">
        <f t="shared" si="39"/>
        <v>154.42853688545134</v>
      </c>
      <c r="H407" s="1117">
        <f t="shared" si="39"/>
        <v>485.61222363215319</v>
      </c>
    </row>
    <row r="408" spans="1:8">
      <c r="A408" s="1114">
        <f t="shared" si="38"/>
        <v>48518</v>
      </c>
      <c r="B408" s="1115">
        <f t="shared" si="36"/>
        <v>2033</v>
      </c>
      <c r="C408" s="1283"/>
      <c r="D408" s="1283"/>
      <c r="E408" s="1116">
        <f>IF($A408&lt;DATE(2018,7,1),"-",INDEX('I1 - Universal Data'!$E$16:$V$16, MATCH(YEAR(EOMONTH($A408,6)), 'I1 - Universal Data'!$E$14:$V$14, 0)))</f>
        <v>0.02</v>
      </c>
      <c r="F408" s="1116">
        <f>IF($A408&lt;DATE(2018,7,1),"-",INDEX('I1 - Universal Data'!$E$15:$V$15, MATCH(YEAR(EOMONTH($A408,6)), 'I1 - Universal Data'!$E$14:$V$14, 0)))</f>
        <v>0.03</v>
      </c>
      <c r="G408" s="1117">
        <f t="shared" si="39"/>
        <v>154.68358816945425</v>
      </c>
      <c r="H408" s="1117">
        <f t="shared" si="39"/>
        <v>486.80987438035834</v>
      </c>
    </row>
    <row r="409" spans="1:8">
      <c r="A409" s="1114">
        <f t="shared" si="38"/>
        <v>48548</v>
      </c>
      <c r="B409" s="1115">
        <f t="shared" si="36"/>
        <v>2033</v>
      </c>
      <c r="C409" s="1283"/>
      <c r="D409" s="1283"/>
      <c r="E409" s="1116">
        <f>IF($A409&lt;DATE(2018,7,1),"-",INDEX('I1 - Universal Data'!$E$16:$V$16, MATCH(YEAR(EOMONTH($A409,6)), 'I1 - Universal Data'!$E$14:$V$14, 0)))</f>
        <v>0.02</v>
      </c>
      <c r="F409" s="1116">
        <f>IF($A409&lt;DATE(2018,7,1),"-",INDEX('I1 - Universal Data'!$E$15:$V$15, MATCH(YEAR(EOMONTH($A409,6)), 'I1 - Universal Data'!$E$14:$V$14, 0)))</f>
        <v>0.03</v>
      </c>
      <c r="G409" s="1117">
        <f t="shared" si="39"/>
        <v>154.93906069138885</v>
      </c>
      <c r="H409" s="1117">
        <f t="shared" si="39"/>
        <v>488.0104788584016</v>
      </c>
    </row>
    <row r="410" spans="1:8">
      <c r="A410" s="1114">
        <f t="shared" si="38"/>
        <v>48579</v>
      </c>
      <c r="B410" s="1115">
        <f t="shared" si="36"/>
        <v>2033</v>
      </c>
      <c r="C410" s="1283"/>
      <c r="D410" s="1283"/>
      <c r="E410" s="1116">
        <f>IF($A410&lt;DATE(2018,7,1),"-",INDEX('I1 - Universal Data'!$E$16:$V$16, MATCH(YEAR(EOMONTH($A410,6)), 'I1 - Universal Data'!$E$14:$V$14, 0)))</f>
        <v>0.02</v>
      </c>
      <c r="F410" s="1116">
        <f>IF($A410&lt;DATE(2018,7,1),"-",INDEX('I1 - Universal Data'!$E$15:$V$15, MATCH(YEAR(EOMONTH($A410,6)), 'I1 - Universal Data'!$E$14:$V$14, 0)))</f>
        <v>0.03</v>
      </c>
      <c r="G410" s="1117">
        <f t="shared" si="39"/>
        <v>155.19495514696382</v>
      </c>
      <c r="H410" s="1117">
        <f t="shared" si="39"/>
        <v>489.21404435097753</v>
      </c>
    </row>
    <row r="411" spans="1:8">
      <c r="A411" s="1114">
        <f t="shared" si="38"/>
        <v>48610</v>
      </c>
      <c r="B411" s="1115">
        <f t="shared" si="36"/>
        <v>2033</v>
      </c>
      <c r="C411" s="1283"/>
      <c r="D411" s="1283"/>
      <c r="E411" s="1116">
        <f>IF($A411&lt;DATE(2018,7,1),"-",INDEX('I1 - Universal Data'!$E$16:$V$16, MATCH(YEAR(EOMONTH($A411,6)), 'I1 - Universal Data'!$E$14:$V$14, 0)))</f>
        <v>0.02</v>
      </c>
      <c r="F411" s="1116">
        <f>IF($A411&lt;DATE(2018,7,1),"-",INDEX('I1 - Universal Data'!$E$15:$V$15, MATCH(YEAR(EOMONTH($A411,6)), 'I1 - Universal Data'!$E$14:$V$14, 0)))</f>
        <v>0.03</v>
      </c>
      <c r="G411" s="1117">
        <f t="shared" si="39"/>
        <v>155.45127223303689</v>
      </c>
      <c r="H411" s="1117">
        <f t="shared" si="39"/>
        <v>490.4205781607468</v>
      </c>
    </row>
    <row r="412" spans="1:8">
      <c r="A412" s="1114">
        <f t="shared" si="38"/>
        <v>48638</v>
      </c>
      <c r="B412" s="1115">
        <f t="shared" si="36"/>
        <v>2033</v>
      </c>
      <c r="C412" s="1109"/>
      <c r="D412" s="1109"/>
      <c r="E412" s="1116">
        <f>IF($A412&lt;DATE(2018,7,1),"-",INDEX('I1 - Universal Data'!$E$16:$V$16, MATCH(YEAR(EOMONTH($A412,6)), 'I1 - Universal Data'!$E$14:$V$14, 0)))</f>
        <v>0.02</v>
      </c>
      <c r="F412" s="1116">
        <f>IF($A412&lt;DATE(2018,7,1),"-",INDEX('I1 - Universal Data'!$E$15:$V$15, MATCH(YEAR(EOMONTH($A412,6)), 'I1 - Universal Data'!$E$14:$V$14, 0)))</f>
        <v>0.03</v>
      </c>
      <c r="G412" s="1117">
        <f t="shared" si="39"/>
        <v>155.70801264761667</v>
      </c>
      <c r="H412" s="1117">
        <f t="shared" si="39"/>
        <v>491.63008760838034</v>
      </c>
    </row>
    <row r="413" spans="1:8">
      <c r="A413" s="1114">
        <f t="shared" si="38"/>
        <v>48669</v>
      </c>
      <c r="B413" s="1115">
        <f t="shared" si="36"/>
        <v>2033</v>
      </c>
      <c r="C413" s="1109"/>
      <c r="D413" s="1109"/>
      <c r="E413" s="1116">
        <f>IF($A413&lt;DATE(2018,7,1),"-",INDEX('I1 - Universal Data'!$E$16:$V$16, MATCH(YEAR(EOMONTH($A413,6)), 'I1 - Universal Data'!$E$14:$V$14, 0)))</f>
        <v>0.02</v>
      </c>
      <c r="F413" s="1116">
        <f>IF($A413&lt;DATE(2018,7,1),"-",INDEX('I1 - Universal Data'!$E$15:$V$15, MATCH(YEAR(EOMONTH($A413,6)), 'I1 - Universal Data'!$E$14:$V$14, 0)))</f>
        <v>0.03</v>
      </c>
      <c r="G413" s="1117">
        <f t="shared" si="39"/>
        <v>155.96517708986462</v>
      </c>
      <c r="H413" s="1117">
        <f t="shared" si="39"/>
        <v>492.84258003260391</v>
      </c>
    </row>
    <row r="414" spans="1:8">
      <c r="A414" s="1104"/>
    </row>
    <row r="415" spans="1:8">
      <c r="A415" s="1104"/>
    </row>
    <row r="416" spans="1:8" hidden="1">
      <c r="A416" s="1104"/>
    </row>
    <row r="417" spans="1:1" hidden="1">
      <c r="A417" s="1104"/>
    </row>
    <row r="418" spans="1:1" hidden="1">
      <c r="A418" s="1104"/>
    </row>
    <row r="419" spans="1:1" hidden="1">
      <c r="A419" s="1104"/>
    </row>
    <row r="420" spans="1:1" hidden="1">
      <c r="A420" s="1104"/>
    </row>
    <row r="421" spans="1:1" hidden="1">
      <c r="A421" s="1104"/>
    </row>
    <row r="422" spans="1:1" hidden="1">
      <c r="A422" s="1104"/>
    </row>
    <row r="423" spans="1:1" hidden="1">
      <c r="A423" s="1104"/>
    </row>
    <row r="424" spans="1:1" hidden="1">
      <c r="A424" s="1104"/>
    </row>
    <row r="425" spans="1:1" hidden="1">
      <c r="A425" s="1104"/>
    </row>
    <row r="426" spans="1:1" hidden="1">
      <c r="A426" s="1104"/>
    </row>
    <row r="427" spans="1:1" hidden="1">
      <c r="A427" s="1104"/>
    </row>
    <row r="428" spans="1:1" hidden="1">
      <c r="A428" s="1104"/>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F27" sqref="F27"/>
    </sheetView>
  </sheetViews>
  <sheetFormatPr defaultRowHeight="13.5"/>
  <cols>
    <col min="1" max="1" width="8.3828125" customWidth="1"/>
    <col min="2" max="2" width="23.765625" customWidth="1"/>
    <col min="3" max="3" width="25.765625" customWidth="1"/>
    <col min="4" max="4" width="9.765625" customWidth="1"/>
  </cols>
  <sheetData>
    <row r="1" spans="1:13" ht="20">
      <c r="A1" s="106" t="s">
        <v>243</v>
      </c>
      <c r="B1" s="106"/>
      <c r="C1" s="106"/>
      <c r="D1" s="106"/>
      <c r="E1" s="106"/>
      <c r="F1" s="106"/>
      <c r="G1" s="106"/>
      <c r="H1" s="106"/>
      <c r="I1" s="8" t="s">
        <v>244</v>
      </c>
      <c r="J1" s="9"/>
      <c r="K1" s="9"/>
      <c r="L1" s="9"/>
      <c r="M1" s="9"/>
    </row>
    <row r="2" spans="1:13" ht="20">
      <c r="A2" s="315" t="str">
        <f>Licensee</f>
        <v>Cadent-London</v>
      </c>
      <c r="B2" s="106"/>
      <c r="C2" s="106"/>
      <c r="D2" s="106"/>
      <c r="E2" s="106"/>
      <c r="F2" s="106"/>
      <c r="G2" s="106"/>
      <c r="H2" s="106"/>
      <c r="I2" s="9"/>
      <c r="J2" s="9"/>
      <c r="K2" s="9"/>
      <c r="L2" s="9"/>
      <c r="M2" s="9"/>
    </row>
    <row r="3" spans="1:13" ht="20">
      <c r="A3" s="106">
        <f>Reporting_Year</f>
        <v>2024</v>
      </c>
      <c r="B3" s="106"/>
      <c r="C3" s="106"/>
      <c r="D3" s="106"/>
      <c r="E3" s="106"/>
      <c r="F3" s="106"/>
      <c r="G3" s="106"/>
      <c r="H3" s="10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37" t="s">
        <v>246</v>
      </c>
      <c r="C8" s="237" t="s">
        <v>247</v>
      </c>
      <c r="D8" s="1355" t="s">
        <v>248</v>
      </c>
      <c r="E8" s="1356"/>
      <c r="F8" s="1356"/>
      <c r="G8" s="1356"/>
      <c r="H8" s="1356"/>
      <c r="I8" s="4"/>
      <c r="J8" s="4"/>
      <c r="K8" s="4"/>
      <c r="L8" s="4"/>
      <c r="M8" s="4"/>
    </row>
    <row r="9" spans="1:13">
      <c r="A9" s="4"/>
      <c r="B9" s="238" t="s">
        <v>249</v>
      </c>
      <c r="C9" s="239" t="s">
        <v>250</v>
      </c>
      <c r="D9" s="1353"/>
      <c r="E9" s="1354"/>
      <c r="F9" s="1354"/>
      <c r="G9" s="1354"/>
      <c r="H9" s="1354"/>
      <c r="I9" s="4"/>
      <c r="J9" s="4"/>
      <c r="K9" s="4"/>
      <c r="L9" s="4"/>
      <c r="M9" s="4"/>
    </row>
    <row r="10" spans="1:13">
      <c r="A10" s="4"/>
      <c r="B10" s="238" t="s">
        <v>251</v>
      </c>
      <c r="C10" s="239"/>
      <c r="D10" s="1353"/>
      <c r="E10" s="1354"/>
      <c r="F10" s="1354"/>
      <c r="G10" s="1354"/>
      <c r="H10" s="1354"/>
      <c r="I10" s="4"/>
      <c r="J10" s="4"/>
      <c r="K10" s="4"/>
      <c r="L10" s="4"/>
      <c r="M10" s="4"/>
    </row>
    <row r="11" spans="1:13">
      <c r="A11" s="4"/>
      <c r="B11" s="238" t="s">
        <v>252</v>
      </c>
      <c r="C11" s="239"/>
      <c r="D11" s="1353"/>
      <c r="E11" s="1354"/>
      <c r="F11" s="1354"/>
      <c r="G11" s="1354"/>
      <c r="H11" s="1354"/>
      <c r="I11" s="4"/>
      <c r="J11" s="4"/>
      <c r="K11" s="4"/>
      <c r="L11" s="4"/>
      <c r="M11" s="4"/>
    </row>
    <row r="12" spans="1:13">
      <c r="A12" s="4"/>
      <c r="B12" s="238" t="s">
        <v>253</v>
      </c>
      <c r="C12" s="239"/>
      <c r="D12" s="1353"/>
      <c r="E12" s="1354"/>
      <c r="F12" s="1354"/>
      <c r="G12" s="1354"/>
      <c r="H12" s="1354"/>
      <c r="I12" s="4"/>
      <c r="J12" s="4"/>
      <c r="K12" s="4"/>
      <c r="L12" s="4"/>
      <c r="M12" s="4"/>
    </row>
    <row r="13" spans="1:13">
      <c r="A13" s="4"/>
      <c r="B13" s="238" t="s">
        <v>254</v>
      </c>
      <c r="C13" s="239"/>
      <c r="D13" s="1353"/>
      <c r="E13" s="1354"/>
      <c r="F13" s="1354"/>
      <c r="G13" s="1354"/>
      <c r="H13" s="1354"/>
      <c r="I13" s="4"/>
      <c r="J13" s="4"/>
      <c r="K13" s="4"/>
      <c r="L13" s="4"/>
      <c r="M13" s="4"/>
    </row>
    <row r="14" spans="1:13">
      <c r="A14" s="4"/>
      <c r="B14" s="238" t="s">
        <v>255</v>
      </c>
      <c r="C14" s="239"/>
      <c r="D14" s="1353"/>
      <c r="E14" s="1354"/>
      <c r="F14" s="1354"/>
      <c r="G14" s="1354"/>
      <c r="H14" s="1354"/>
      <c r="I14" s="4"/>
      <c r="J14" s="4"/>
      <c r="K14" s="4"/>
      <c r="L14" s="4"/>
      <c r="M14" s="4"/>
    </row>
    <row r="15" spans="1:13">
      <c r="A15" s="4"/>
      <c r="B15" s="238" t="s">
        <v>256</v>
      </c>
      <c r="C15" s="239"/>
      <c r="D15" s="1353"/>
      <c r="E15" s="1354"/>
      <c r="F15" s="1354"/>
      <c r="G15" s="1354"/>
      <c r="H15" s="1354"/>
      <c r="I15" s="4"/>
      <c r="J15" s="4"/>
      <c r="K15" s="4"/>
      <c r="L15" s="4"/>
      <c r="M15" s="4"/>
    </row>
    <row r="16" spans="1:13">
      <c r="A16" s="4"/>
      <c r="B16" s="238" t="s">
        <v>257</v>
      </c>
      <c r="C16" s="239"/>
      <c r="D16" s="1353"/>
      <c r="E16" s="1354"/>
      <c r="F16" s="1354"/>
      <c r="G16" s="1354"/>
      <c r="H16" s="1354"/>
      <c r="I16" s="4"/>
      <c r="J16" s="4"/>
      <c r="K16" s="4"/>
      <c r="L16" s="4"/>
      <c r="M16" s="4"/>
    </row>
    <row r="17" spans="1:13">
      <c r="A17" s="4"/>
      <c r="B17" s="238" t="s">
        <v>258</v>
      </c>
      <c r="C17" s="239"/>
      <c r="D17" s="1353"/>
      <c r="E17" s="1354"/>
      <c r="F17" s="1354"/>
      <c r="G17" s="1354"/>
      <c r="H17" s="1354"/>
      <c r="I17" s="4"/>
      <c r="J17" s="4"/>
      <c r="K17" s="4"/>
      <c r="L17" s="4"/>
      <c r="M17" s="4"/>
    </row>
    <row r="18" spans="1:13">
      <c r="A18" s="4"/>
      <c r="B18" s="238" t="s">
        <v>259</v>
      </c>
      <c r="C18" s="239"/>
      <c r="D18" s="1353"/>
      <c r="E18" s="1354"/>
      <c r="F18" s="1354"/>
      <c r="G18" s="1354"/>
      <c r="H18" s="1354"/>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row>
    <row r="25" spans="1:13">
      <c r="B25" s="47" t="s">
        <v>264</v>
      </c>
    </row>
    <row r="26" spans="1:13">
      <c r="B26" s="47" t="s">
        <v>265</v>
      </c>
    </row>
    <row r="27" spans="1:13">
      <c r="B27" s="47" t="s">
        <v>266</v>
      </c>
    </row>
    <row r="28" spans="1:13">
      <c r="B28" s="47" t="s">
        <v>267</v>
      </c>
    </row>
    <row r="29" spans="1:13">
      <c r="B29" s="47" t="s">
        <v>268</v>
      </c>
    </row>
    <row r="30" spans="1:13">
      <c r="B30" s="47" t="s">
        <v>269</v>
      </c>
    </row>
    <row r="31" spans="1:13">
      <c r="B31" s="205" t="s">
        <v>270</v>
      </c>
    </row>
    <row r="32" spans="1:13">
      <c r="B32" s="47" t="s">
        <v>271</v>
      </c>
    </row>
    <row r="33" spans="2:5">
      <c r="B33" s="47" t="s">
        <v>272</v>
      </c>
    </row>
    <row r="34" spans="2:5">
      <c r="B34" s="47" t="s">
        <v>273</v>
      </c>
    </row>
    <row r="35" spans="2:5">
      <c r="B35" s="47" t="s">
        <v>274</v>
      </c>
      <c r="E35" s="47"/>
    </row>
    <row r="36" spans="2:5">
      <c r="B36" s="47" t="s">
        <v>275</v>
      </c>
    </row>
    <row r="37" spans="2:5">
      <c r="B37" s="47" t="s">
        <v>276</v>
      </c>
    </row>
    <row r="38" spans="2:5">
      <c r="B38" s="47" t="s">
        <v>277</v>
      </c>
    </row>
    <row r="39" spans="2:5">
      <c r="B39" s="47" t="s">
        <v>278</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activeCell="C111" sqref="C111"/>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279</v>
      </c>
      <c r="B1" s="6"/>
      <c r="C1" s="6"/>
      <c r="D1" s="6"/>
      <c r="E1" s="6"/>
    </row>
    <row r="2" spans="1:10" ht="20">
      <c r="A2" s="315" t="str">
        <f>Licensee</f>
        <v>Cadent-London</v>
      </c>
      <c r="B2" s="6"/>
      <c r="C2" s="6"/>
      <c r="D2" s="6"/>
      <c r="E2" s="6"/>
    </row>
    <row r="3" spans="1:10" ht="20">
      <c r="A3" s="106">
        <f>Reporting_Year</f>
        <v>2024</v>
      </c>
      <c r="B3" s="6"/>
      <c r="C3" s="6"/>
      <c r="D3" s="6"/>
      <c r="E3" s="6"/>
    </row>
    <row r="4" spans="1:10" ht="20">
      <c r="A4" s="97"/>
      <c r="B4" s="97"/>
      <c r="C4" s="97"/>
      <c r="D4" s="97"/>
      <c r="E4" s="97"/>
    </row>
    <row r="5" spans="1:10" ht="14">
      <c r="A5" s="287" t="s">
        <v>280</v>
      </c>
      <c r="B5" s="288" t="s">
        <v>281</v>
      </c>
      <c r="C5" s="289" t="s">
        <v>282</v>
      </c>
      <c r="D5" s="261" t="s">
        <v>283</v>
      </c>
    </row>
    <row r="6" spans="1:10">
      <c r="A6" s="228" t="s">
        <v>284</v>
      </c>
      <c r="B6" s="290" t="s">
        <v>285</v>
      </c>
      <c r="C6" s="291" t="s">
        <v>286</v>
      </c>
      <c r="D6" s="286" t="s">
        <v>287</v>
      </c>
    </row>
    <row r="7" spans="1:10">
      <c r="A7" s="228" t="s">
        <v>284</v>
      </c>
      <c r="B7" s="290" t="s">
        <v>288</v>
      </c>
      <c r="C7" s="291" t="s">
        <v>289</v>
      </c>
      <c r="D7" s="286" t="s">
        <v>287</v>
      </c>
    </row>
    <row r="8" spans="1:10" ht="27">
      <c r="A8" s="228" t="s">
        <v>284</v>
      </c>
      <c r="B8" s="290" t="s">
        <v>290</v>
      </c>
      <c r="C8" s="291" t="s">
        <v>291</v>
      </c>
      <c r="D8" s="286" t="s">
        <v>287</v>
      </c>
    </row>
    <row r="9" spans="1:10" ht="34" customHeight="1">
      <c r="A9" s="228" t="s">
        <v>284</v>
      </c>
      <c r="B9" s="290" t="s">
        <v>292</v>
      </c>
      <c r="C9" s="291" t="s">
        <v>293</v>
      </c>
      <c r="D9" s="286" t="s">
        <v>287</v>
      </c>
    </row>
    <row r="10" spans="1:10" ht="27">
      <c r="A10" s="228" t="s">
        <v>284</v>
      </c>
      <c r="B10" s="290" t="s">
        <v>294</v>
      </c>
      <c r="C10" s="291" t="s">
        <v>295</v>
      </c>
      <c r="D10" s="286" t="s">
        <v>287</v>
      </c>
    </row>
    <row r="11" spans="1:10" ht="27">
      <c r="A11" s="228" t="s">
        <v>284</v>
      </c>
      <c r="B11" s="290" t="s">
        <v>261</v>
      </c>
      <c r="C11" s="291" t="s">
        <v>296</v>
      </c>
      <c r="D11" s="286" t="s">
        <v>297</v>
      </c>
      <c r="J11" s="125"/>
    </row>
    <row r="12" spans="1:10" ht="27">
      <c r="A12" s="228" t="s">
        <v>284</v>
      </c>
      <c r="B12" s="290" t="s">
        <v>298</v>
      </c>
      <c r="C12" s="291" t="s">
        <v>299</v>
      </c>
      <c r="D12" s="286" t="s">
        <v>300</v>
      </c>
    </row>
    <row r="13" spans="1:10">
      <c r="A13" s="228" t="s">
        <v>284</v>
      </c>
      <c r="B13" s="290" t="s">
        <v>301</v>
      </c>
      <c r="C13" s="291" t="s">
        <v>302</v>
      </c>
      <c r="D13" s="286" t="s">
        <v>303</v>
      </c>
    </row>
    <row r="14" spans="1:10">
      <c r="A14" s="228" t="s">
        <v>284</v>
      </c>
      <c r="B14" s="290" t="s">
        <v>304</v>
      </c>
      <c r="C14" s="291" t="s">
        <v>305</v>
      </c>
      <c r="D14" s="286" t="s">
        <v>87</v>
      </c>
    </row>
    <row r="15" spans="1:10">
      <c r="A15" s="228" t="s">
        <v>284</v>
      </c>
      <c r="B15" s="290" t="s">
        <v>306</v>
      </c>
      <c r="C15" s="291" t="s">
        <v>307</v>
      </c>
      <c r="D15" s="286" t="s">
        <v>308</v>
      </c>
    </row>
    <row r="16" spans="1:10" ht="74.25" customHeight="1">
      <c r="A16" s="228" t="s">
        <v>284</v>
      </c>
      <c r="B16" s="290" t="s">
        <v>268</v>
      </c>
      <c r="C16" s="291" t="s">
        <v>309</v>
      </c>
      <c r="D16" s="286" t="s">
        <v>92</v>
      </c>
    </row>
    <row r="17" spans="1:4" ht="20.25" customHeight="1">
      <c r="A17" s="228" t="s">
        <v>284</v>
      </c>
      <c r="B17" s="290" t="s">
        <v>306</v>
      </c>
      <c r="C17" s="291" t="s">
        <v>310</v>
      </c>
      <c r="D17" s="286" t="s">
        <v>221</v>
      </c>
    </row>
    <row r="18" spans="1:4" ht="21" customHeight="1">
      <c r="A18" s="228" t="s">
        <v>284</v>
      </c>
      <c r="B18" s="290" t="s">
        <v>306</v>
      </c>
      <c r="C18" s="291" t="s">
        <v>311</v>
      </c>
      <c r="D18" s="286" t="s">
        <v>221</v>
      </c>
    </row>
    <row r="19" spans="1:4" ht="21" customHeight="1">
      <c r="A19" s="228" t="s">
        <v>284</v>
      </c>
      <c r="B19" s="290" t="s">
        <v>312</v>
      </c>
      <c r="C19" s="291" t="s">
        <v>313</v>
      </c>
      <c r="D19" s="286" t="s">
        <v>221</v>
      </c>
    </row>
    <row r="20" spans="1:4" ht="38.5" customHeight="1">
      <c r="A20" s="228" t="s">
        <v>284</v>
      </c>
      <c r="B20" s="290" t="s">
        <v>314</v>
      </c>
      <c r="C20" s="1224" t="s">
        <v>315</v>
      </c>
      <c r="D20" s="286" t="s">
        <v>221</v>
      </c>
    </row>
    <row r="21" spans="1:4">
      <c r="A21" s="228" t="s">
        <v>284</v>
      </c>
      <c r="B21" s="290" t="s">
        <v>288</v>
      </c>
      <c r="C21" s="291" t="s">
        <v>316</v>
      </c>
      <c r="D21" s="286" t="s">
        <v>221</v>
      </c>
    </row>
    <row r="22" spans="1:4" ht="27">
      <c r="A22" s="1258" t="s">
        <v>284</v>
      </c>
      <c r="B22" s="290" t="s">
        <v>317</v>
      </c>
      <c r="C22" s="291" t="s">
        <v>318</v>
      </c>
      <c r="D22" s="292" t="s">
        <v>287</v>
      </c>
    </row>
    <row r="23" spans="1:4" ht="27">
      <c r="A23" s="1258" t="s">
        <v>284</v>
      </c>
      <c r="B23" s="290" t="s">
        <v>319</v>
      </c>
      <c r="C23" s="291" t="s">
        <v>320</v>
      </c>
      <c r="D23" s="292" t="s">
        <v>287</v>
      </c>
    </row>
    <row r="24" spans="1:4">
      <c r="A24" s="1258" t="s">
        <v>284</v>
      </c>
      <c r="B24" s="290" t="s">
        <v>321</v>
      </c>
      <c r="C24" s="291" t="s">
        <v>322</v>
      </c>
      <c r="D24" s="292" t="s">
        <v>287</v>
      </c>
    </row>
    <row r="25" spans="1:4">
      <c r="A25" s="1258" t="s">
        <v>284</v>
      </c>
      <c r="B25" s="290" t="s">
        <v>323</v>
      </c>
      <c r="C25" s="291" t="s">
        <v>324</v>
      </c>
      <c r="D25" s="292" t="s">
        <v>287</v>
      </c>
    </row>
    <row r="26" spans="1:4" ht="57.65" customHeight="1">
      <c r="A26" s="1258" t="s">
        <v>284</v>
      </c>
      <c r="B26" s="290" t="s">
        <v>325</v>
      </c>
      <c r="C26" s="291" t="s">
        <v>326</v>
      </c>
      <c r="D26" s="227" t="s">
        <v>84</v>
      </c>
    </row>
    <row r="27" spans="1:4" ht="63.65" customHeight="1">
      <c r="A27" s="1258" t="s">
        <v>284</v>
      </c>
      <c r="B27" s="290" t="s">
        <v>327</v>
      </c>
      <c r="C27" s="291" t="s">
        <v>328</v>
      </c>
      <c r="D27" s="227" t="s">
        <v>84</v>
      </c>
    </row>
    <row r="28" spans="1:4" ht="24" customHeight="1">
      <c r="A28" s="1258" t="s">
        <v>284</v>
      </c>
      <c r="B28" s="290" t="s">
        <v>329</v>
      </c>
      <c r="C28" s="291" t="s">
        <v>330</v>
      </c>
      <c r="D28" s="227" t="s">
        <v>331</v>
      </c>
    </row>
    <row r="29" spans="1:4" ht="54">
      <c r="A29" s="1258" t="s">
        <v>284</v>
      </c>
      <c r="B29" s="290" t="s">
        <v>332</v>
      </c>
      <c r="C29" s="291" t="s">
        <v>333</v>
      </c>
      <c r="D29" s="286" t="s">
        <v>334</v>
      </c>
    </row>
    <row r="30" spans="1:4">
      <c r="A30" s="1258" t="s">
        <v>284</v>
      </c>
      <c r="B30" s="290" t="s">
        <v>268</v>
      </c>
      <c r="C30" s="291" t="s">
        <v>335</v>
      </c>
      <c r="D30" s="286" t="s">
        <v>29</v>
      </c>
    </row>
    <row r="31" spans="1:4">
      <c r="A31" s="1258" t="s">
        <v>284</v>
      </c>
      <c r="B31" s="290" t="s">
        <v>336</v>
      </c>
      <c r="C31" s="291" t="s">
        <v>337</v>
      </c>
      <c r="D31" s="286" t="s">
        <v>338</v>
      </c>
    </row>
    <row r="32" spans="1:4">
      <c r="A32" s="1258" t="s">
        <v>284</v>
      </c>
      <c r="B32" s="290" t="s">
        <v>339</v>
      </c>
      <c r="C32" s="291" t="s">
        <v>340</v>
      </c>
      <c r="D32" s="286" t="s">
        <v>287</v>
      </c>
    </row>
    <row r="33" spans="1:4">
      <c r="A33" s="1258" t="s">
        <v>284</v>
      </c>
      <c r="B33" s="290" t="s">
        <v>339</v>
      </c>
      <c r="C33" s="291" t="s">
        <v>341</v>
      </c>
      <c r="D33" s="286" t="s">
        <v>287</v>
      </c>
    </row>
    <row r="34" spans="1:4">
      <c r="A34" s="1258" t="s">
        <v>284</v>
      </c>
      <c r="B34" s="290" t="s">
        <v>342</v>
      </c>
      <c r="C34" s="291" t="s">
        <v>343</v>
      </c>
      <c r="D34" s="286" t="s">
        <v>287</v>
      </c>
    </row>
    <row r="35" spans="1:4">
      <c r="A35" s="1258" t="s">
        <v>284</v>
      </c>
      <c r="B35" s="290" t="s">
        <v>344</v>
      </c>
      <c r="C35" s="291" t="s">
        <v>345</v>
      </c>
      <c r="D35" s="286" t="s">
        <v>287</v>
      </c>
    </row>
    <row r="36" spans="1:4">
      <c r="A36" s="1258" t="s">
        <v>284</v>
      </c>
      <c r="B36" s="290" t="s">
        <v>346</v>
      </c>
      <c r="C36" s="291" t="s">
        <v>347</v>
      </c>
      <c r="D36" s="286" t="s">
        <v>348</v>
      </c>
    </row>
    <row r="37" spans="1:4" ht="15" customHeight="1">
      <c r="A37" s="1258" t="s">
        <v>284</v>
      </c>
      <c r="B37" s="290" t="s">
        <v>346</v>
      </c>
      <c r="C37" s="291" t="s">
        <v>349</v>
      </c>
      <c r="D37" s="286" t="s">
        <v>348</v>
      </c>
    </row>
    <row r="38" spans="1:4" ht="17.5" customHeight="1">
      <c r="A38" s="1258" t="s">
        <v>284</v>
      </c>
      <c r="B38" s="290" t="s">
        <v>346</v>
      </c>
      <c r="C38" s="291" t="s">
        <v>350</v>
      </c>
      <c r="D38" s="286" t="s">
        <v>221</v>
      </c>
    </row>
    <row r="39" spans="1:4" ht="26.15" customHeight="1">
      <c r="A39" s="1258" t="s">
        <v>284</v>
      </c>
      <c r="B39" s="290" t="s">
        <v>346</v>
      </c>
      <c r="C39" s="291" t="s">
        <v>351</v>
      </c>
      <c r="D39" s="286" t="s">
        <v>348</v>
      </c>
    </row>
    <row r="40" spans="1:4" ht="27">
      <c r="A40" s="1258" t="s">
        <v>284</v>
      </c>
      <c r="B40" s="290" t="s">
        <v>342</v>
      </c>
      <c r="C40" s="291" t="s">
        <v>352</v>
      </c>
      <c r="D40" s="286" t="s">
        <v>221</v>
      </c>
    </row>
    <row r="41" spans="1:4" ht="27">
      <c r="A41" s="1258" t="s">
        <v>284</v>
      </c>
      <c r="B41" s="290" t="s">
        <v>353</v>
      </c>
      <c r="C41" s="291" t="s">
        <v>354</v>
      </c>
      <c r="D41" s="286" t="s">
        <v>287</v>
      </c>
    </row>
    <row r="42" spans="1:4">
      <c r="A42" s="1258" t="s">
        <v>284</v>
      </c>
      <c r="B42" s="290" t="s">
        <v>355</v>
      </c>
      <c r="C42" s="291" t="s">
        <v>356</v>
      </c>
      <c r="D42" s="286" t="s">
        <v>357</v>
      </c>
    </row>
    <row r="43" spans="1:4">
      <c r="A43" s="1258" t="s">
        <v>284</v>
      </c>
      <c r="B43" s="290" t="s">
        <v>358</v>
      </c>
      <c r="C43" s="291" t="s">
        <v>359</v>
      </c>
      <c r="D43" s="286" t="s">
        <v>287</v>
      </c>
    </row>
    <row r="44" spans="1:4">
      <c r="A44" s="1258"/>
      <c r="B44" s="148" t="s">
        <v>360</v>
      </c>
      <c r="C44" s="291" t="s">
        <v>361</v>
      </c>
      <c r="D44" s="286" t="s">
        <v>287</v>
      </c>
    </row>
    <row r="45" spans="1:4">
      <c r="A45" s="1258"/>
      <c r="B45" s="148" t="s">
        <v>362</v>
      </c>
      <c r="C45" s="291" t="s">
        <v>363</v>
      </c>
      <c r="D45" s="286" t="s">
        <v>287</v>
      </c>
    </row>
    <row r="46" spans="1:4">
      <c r="A46" s="1258" t="s">
        <v>284</v>
      </c>
      <c r="B46" s="290" t="s">
        <v>364</v>
      </c>
      <c r="C46" s="291" t="s">
        <v>365</v>
      </c>
      <c r="D46" s="286" t="s">
        <v>287</v>
      </c>
    </row>
    <row r="47" spans="1:4">
      <c r="A47" s="1258" t="s">
        <v>284</v>
      </c>
      <c r="B47" s="290" t="s">
        <v>366</v>
      </c>
      <c r="C47" s="291" t="s">
        <v>367</v>
      </c>
      <c r="D47" s="286" t="s">
        <v>287</v>
      </c>
    </row>
    <row r="48" spans="1:4">
      <c r="A48" s="1258" t="s">
        <v>284</v>
      </c>
      <c r="B48" s="290" t="s">
        <v>366</v>
      </c>
      <c r="C48" s="291" t="s">
        <v>368</v>
      </c>
      <c r="D48" s="286" t="s">
        <v>287</v>
      </c>
    </row>
    <row r="49" spans="1:4">
      <c r="A49" s="1258" t="s">
        <v>284</v>
      </c>
      <c r="B49" s="290" t="s">
        <v>366</v>
      </c>
      <c r="C49" s="291" t="s">
        <v>369</v>
      </c>
      <c r="D49" s="286" t="s">
        <v>370</v>
      </c>
    </row>
    <row r="50" spans="1:4">
      <c r="A50" s="1258" t="s">
        <v>284</v>
      </c>
      <c r="B50" s="290" t="s">
        <v>366</v>
      </c>
      <c r="C50" s="291" t="s">
        <v>371</v>
      </c>
      <c r="D50" s="286" t="s">
        <v>372</v>
      </c>
    </row>
    <row r="51" spans="1:4">
      <c r="A51" s="1258" t="s">
        <v>284</v>
      </c>
      <c r="B51" s="290" t="s">
        <v>373</v>
      </c>
      <c r="C51" s="291" t="s">
        <v>374</v>
      </c>
      <c r="D51" s="286" t="s">
        <v>375</v>
      </c>
    </row>
    <row r="52" spans="1:4">
      <c r="A52" s="1258" t="s">
        <v>284</v>
      </c>
      <c r="B52" s="290" t="s">
        <v>306</v>
      </c>
      <c r="C52" s="291" t="s">
        <v>376</v>
      </c>
      <c r="D52" s="286" t="s">
        <v>377</v>
      </c>
    </row>
    <row r="53" spans="1:4">
      <c r="A53" s="1258" t="s">
        <v>284</v>
      </c>
      <c r="B53" s="290" t="s">
        <v>378</v>
      </c>
      <c r="C53" s="291" t="s">
        <v>379</v>
      </c>
      <c r="D53" s="286" t="s">
        <v>377</v>
      </c>
    </row>
    <row r="54" spans="1:4">
      <c r="A54" s="1258" t="s">
        <v>284</v>
      </c>
      <c r="B54" s="290" t="s">
        <v>380</v>
      </c>
      <c r="C54" s="291" t="s">
        <v>381</v>
      </c>
      <c r="D54" s="227" t="s">
        <v>287</v>
      </c>
    </row>
    <row r="55" spans="1:4" ht="54">
      <c r="A55" s="1258" t="s">
        <v>382</v>
      </c>
      <c r="B55" s="290" t="s">
        <v>383</v>
      </c>
      <c r="C55" s="291" t="s">
        <v>384</v>
      </c>
      <c r="D55" s="292" t="s">
        <v>287</v>
      </c>
    </row>
    <row r="56" spans="1:4" ht="67.5">
      <c r="A56" s="1258" t="s">
        <v>382</v>
      </c>
      <c r="B56" s="290" t="s">
        <v>385</v>
      </c>
      <c r="C56" s="291" t="s">
        <v>386</v>
      </c>
      <c r="D56" s="292" t="s">
        <v>287</v>
      </c>
    </row>
    <row r="57" spans="1:4">
      <c r="A57" s="1258" t="s">
        <v>382</v>
      </c>
      <c r="B57" s="290" t="s">
        <v>387</v>
      </c>
      <c r="C57" s="291" t="s">
        <v>388</v>
      </c>
      <c r="D57" s="292" t="s">
        <v>287</v>
      </c>
    </row>
    <row r="58" spans="1:4">
      <c r="A58" s="1258" t="s">
        <v>382</v>
      </c>
      <c r="B58" s="290" t="s">
        <v>373</v>
      </c>
      <c r="C58" s="291" t="s">
        <v>389</v>
      </c>
      <c r="D58" s="292" t="s">
        <v>287</v>
      </c>
    </row>
    <row r="59" spans="1:4">
      <c r="A59" s="1258" t="s">
        <v>382</v>
      </c>
      <c r="B59" s="290" t="s">
        <v>390</v>
      </c>
      <c r="C59" s="291" t="s">
        <v>391</v>
      </c>
      <c r="D59" s="292" t="s">
        <v>392</v>
      </c>
    </row>
    <row r="60" spans="1:4" ht="27">
      <c r="A60" s="1258" t="s">
        <v>382</v>
      </c>
      <c r="B60" s="290" t="s">
        <v>342</v>
      </c>
      <c r="C60" s="291" t="s">
        <v>393</v>
      </c>
      <c r="D60" s="292" t="s">
        <v>392</v>
      </c>
    </row>
    <row r="61" spans="1:4">
      <c r="A61" s="1258" t="s">
        <v>382</v>
      </c>
      <c r="B61" s="290" t="s">
        <v>394</v>
      </c>
      <c r="C61" s="291" t="s">
        <v>395</v>
      </c>
      <c r="D61" s="292" t="s">
        <v>396</v>
      </c>
    </row>
    <row r="62" spans="1:4">
      <c r="A62" s="1258" t="s">
        <v>382</v>
      </c>
      <c r="B62" s="290" t="s">
        <v>383</v>
      </c>
      <c r="C62" s="291" t="s">
        <v>397</v>
      </c>
      <c r="D62" s="292" t="s">
        <v>221</v>
      </c>
    </row>
    <row r="63" spans="1:4">
      <c r="A63" s="1258" t="s">
        <v>382</v>
      </c>
      <c r="B63" s="290" t="s">
        <v>398</v>
      </c>
      <c r="C63" s="291" t="s">
        <v>399</v>
      </c>
      <c r="D63" s="292" t="s">
        <v>287</v>
      </c>
    </row>
    <row r="64" spans="1:4">
      <c r="A64" s="1258" t="s">
        <v>382</v>
      </c>
      <c r="B64" s="290" t="s">
        <v>277</v>
      </c>
      <c r="C64" s="291" t="s">
        <v>400</v>
      </c>
      <c r="D64" s="292" t="s">
        <v>287</v>
      </c>
    </row>
    <row r="65" spans="1:4">
      <c r="A65" s="1258" t="s">
        <v>382</v>
      </c>
      <c r="B65" s="290" t="s">
        <v>277</v>
      </c>
      <c r="C65" s="291" t="s">
        <v>401</v>
      </c>
      <c r="D65" s="292" t="s">
        <v>287</v>
      </c>
    </row>
    <row r="66" spans="1:4">
      <c r="A66" s="1258" t="s">
        <v>382</v>
      </c>
      <c r="B66" s="290" t="s">
        <v>278</v>
      </c>
      <c r="C66" s="291" t="s">
        <v>402</v>
      </c>
      <c r="D66" s="292" t="s">
        <v>287</v>
      </c>
    </row>
    <row r="67" spans="1:4">
      <c r="A67" s="1258" t="s">
        <v>382</v>
      </c>
      <c r="B67" s="290" t="s">
        <v>339</v>
      </c>
      <c r="C67" s="291" t="s">
        <v>403</v>
      </c>
      <c r="D67" s="292" t="s">
        <v>287</v>
      </c>
    </row>
    <row r="68" spans="1:4">
      <c r="A68" s="1258" t="s">
        <v>404</v>
      </c>
      <c r="B68" s="290" t="s">
        <v>405</v>
      </c>
      <c r="C68" s="291" t="s">
        <v>406</v>
      </c>
      <c r="D68" s="292" t="s">
        <v>287</v>
      </c>
    </row>
    <row r="69" spans="1:4">
      <c r="A69" s="1258" t="s">
        <v>404</v>
      </c>
      <c r="B69" s="290" t="s">
        <v>407</v>
      </c>
      <c r="C69" s="291" t="s">
        <v>408</v>
      </c>
      <c r="D69" s="292" t="s">
        <v>287</v>
      </c>
    </row>
    <row r="70" spans="1:4">
      <c r="A70" s="1258" t="s">
        <v>404</v>
      </c>
      <c r="B70" s="1207" t="s">
        <v>407</v>
      </c>
      <c r="C70" s="291" t="s">
        <v>409</v>
      </c>
      <c r="D70" s="292" t="s">
        <v>287</v>
      </c>
    </row>
    <row r="71" spans="1:4">
      <c r="A71" s="1258" t="s">
        <v>404</v>
      </c>
      <c r="B71" s="1207" t="s">
        <v>407</v>
      </c>
      <c r="C71" s="291" t="s">
        <v>410</v>
      </c>
      <c r="D71" s="292" t="s">
        <v>287</v>
      </c>
    </row>
    <row r="72" spans="1:4">
      <c r="A72" s="1258" t="s">
        <v>404</v>
      </c>
      <c r="B72" s="1207" t="s">
        <v>407</v>
      </c>
      <c r="C72" s="291" t="s">
        <v>411</v>
      </c>
      <c r="D72" s="292" t="s">
        <v>287</v>
      </c>
    </row>
    <row r="73" spans="1:4" ht="27">
      <c r="A73" s="1258" t="s">
        <v>404</v>
      </c>
      <c r="B73" s="1207" t="s">
        <v>412</v>
      </c>
      <c r="C73" s="291" t="s">
        <v>413</v>
      </c>
      <c r="D73" s="292" t="s">
        <v>287</v>
      </c>
    </row>
    <row r="74" spans="1:4" ht="27">
      <c r="A74" s="1258" t="s">
        <v>414</v>
      </c>
      <c r="B74" s="1207" t="s">
        <v>415</v>
      </c>
      <c r="C74" s="291" t="s">
        <v>416</v>
      </c>
      <c r="D74" s="292" t="s">
        <v>417</v>
      </c>
    </row>
    <row r="75" spans="1:4" ht="27">
      <c r="A75" s="1258" t="s">
        <v>414</v>
      </c>
      <c r="B75" s="1207" t="s">
        <v>418</v>
      </c>
      <c r="C75" s="291" t="s">
        <v>419</v>
      </c>
      <c r="D75" s="292" t="s">
        <v>417</v>
      </c>
    </row>
    <row r="76" spans="1:4">
      <c r="A76" s="1258" t="s">
        <v>414</v>
      </c>
      <c r="B76" s="1207" t="s">
        <v>420</v>
      </c>
      <c r="C76" s="291" t="s">
        <v>421</v>
      </c>
      <c r="D76" s="292" t="s">
        <v>422</v>
      </c>
    </row>
    <row r="77" spans="1:4" ht="27">
      <c r="A77" s="1258" t="s">
        <v>414</v>
      </c>
      <c r="B77" s="1217" t="s">
        <v>423</v>
      </c>
      <c r="C77" s="1225" t="s">
        <v>424</v>
      </c>
      <c r="D77" s="1218" t="s">
        <v>422</v>
      </c>
    </row>
    <row r="78" spans="1:4" ht="54">
      <c r="A78" s="1258" t="s">
        <v>414</v>
      </c>
      <c r="B78" s="290" t="s">
        <v>425</v>
      </c>
      <c r="C78" s="291" t="s">
        <v>426</v>
      </c>
      <c r="D78" s="227" t="s">
        <v>287</v>
      </c>
    </row>
    <row r="79" spans="1:4">
      <c r="A79" s="1258" t="s">
        <v>414</v>
      </c>
      <c r="B79" s="290" t="s">
        <v>427</v>
      </c>
      <c r="C79" s="291" t="s">
        <v>428</v>
      </c>
      <c r="D79" s="227" t="s">
        <v>287</v>
      </c>
    </row>
    <row r="80" spans="1:4">
      <c r="A80" s="1258" t="s">
        <v>414</v>
      </c>
      <c r="B80" s="290" t="s">
        <v>332</v>
      </c>
      <c r="C80" s="291" t="s">
        <v>429</v>
      </c>
      <c r="D80" s="227" t="s">
        <v>287</v>
      </c>
    </row>
    <row r="81" spans="1:4">
      <c r="A81" s="1258" t="s">
        <v>414</v>
      </c>
      <c r="B81" s="290" t="s">
        <v>332</v>
      </c>
      <c r="C81" s="291" t="s">
        <v>430</v>
      </c>
      <c r="D81" s="227" t="s">
        <v>287</v>
      </c>
    </row>
    <row r="82" spans="1:4">
      <c r="A82" s="1258" t="s">
        <v>414</v>
      </c>
      <c r="B82" s="290" t="s">
        <v>431</v>
      </c>
      <c r="C82" s="291" t="s">
        <v>432</v>
      </c>
      <c r="D82" s="227" t="s">
        <v>287</v>
      </c>
    </row>
    <row r="83" spans="1:4" ht="27">
      <c r="A83" s="1258" t="s">
        <v>414</v>
      </c>
      <c r="B83" s="290" t="s">
        <v>433</v>
      </c>
      <c r="C83" s="291" t="s">
        <v>434</v>
      </c>
      <c r="D83" s="227" t="s">
        <v>287</v>
      </c>
    </row>
    <row r="84" spans="1:4">
      <c r="A84" s="1267" t="s">
        <v>414</v>
      </c>
      <c r="B84" s="1222" t="s">
        <v>435</v>
      </c>
      <c r="C84" s="1225" t="s">
        <v>436</v>
      </c>
      <c r="D84" s="227" t="s">
        <v>287</v>
      </c>
    </row>
    <row r="85" spans="1:4">
      <c r="A85" s="1258" t="s">
        <v>414</v>
      </c>
      <c r="B85" s="290" t="s">
        <v>278</v>
      </c>
      <c r="C85" s="1226" t="s">
        <v>437</v>
      </c>
      <c r="D85" s="227" t="s">
        <v>287</v>
      </c>
    </row>
    <row r="86" spans="1:4">
      <c r="A86" s="1259" t="s">
        <v>438</v>
      </c>
      <c r="B86" s="1222" t="s">
        <v>306</v>
      </c>
      <c r="C86" s="1227" t="s">
        <v>439</v>
      </c>
      <c r="D86" s="227" t="s">
        <v>287</v>
      </c>
    </row>
    <row r="87" spans="1:4">
      <c r="A87" s="1259" t="s">
        <v>438</v>
      </c>
      <c r="B87" s="1242" t="s">
        <v>440</v>
      </c>
      <c r="C87" s="1228" t="s">
        <v>441</v>
      </c>
      <c r="D87" s="123" t="s">
        <v>442</v>
      </c>
    </row>
    <row r="88" spans="1:4">
      <c r="A88" s="1259" t="s">
        <v>438</v>
      </c>
      <c r="B88" s="290" t="s">
        <v>443</v>
      </c>
      <c r="C88" s="1240" t="s">
        <v>444</v>
      </c>
      <c r="D88" s="1241" t="s">
        <v>287</v>
      </c>
    </row>
    <row r="89" spans="1:4">
      <c r="A89" s="1259" t="s">
        <v>438</v>
      </c>
      <c r="B89" s="290" t="s">
        <v>445</v>
      </c>
      <c r="C89" s="1226" t="s">
        <v>446</v>
      </c>
      <c r="D89" s="227" t="s">
        <v>447</v>
      </c>
    </row>
    <row r="90" spans="1:4" ht="40.5">
      <c r="A90" s="1259" t="s">
        <v>438</v>
      </c>
      <c r="B90" s="1233" t="s">
        <v>448</v>
      </c>
      <c r="C90" s="1243" t="s">
        <v>449</v>
      </c>
      <c r="D90" s="202" t="s">
        <v>447</v>
      </c>
    </row>
    <row r="91" spans="1:4" ht="27">
      <c r="A91" s="1259" t="s">
        <v>438</v>
      </c>
      <c r="B91" s="1253" t="s">
        <v>450</v>
      </c>
      <c r="C91" s="1260" t="s">
        <v>451</v>
      </c>
      <c r="D91" s="1255" t="s">
        <v>452</v>
      </c>
    </row>
    <row r="92" spans="1:4">
      <c r="A92" s="1259" t="s">
        <v>438</v>
      </c>
      <c r="B92" s="1253" t="s">
        <v>453</v>
      </c>
      <c r="C92" s="123" t="s">
        <v>454</v>
      </c>
      <c r="D92" s="123" t="s">
        <v>455</v>
      </c>
    </row>
    <row r="93" spans="1:4" ht="27">
      <c r="A93" s="1259" t="s">
        <v>438</v>
      </c>
      <c r="B93" s="1253" t="s">
        <v>456</v>
      </c>
      <c r="C93" s="1254" t="s">
        <v>457</v>
      </c>
      <c r="D93" s="123" t="s">
        <v>455</v>
      </c>
    </row>
    <row r="94" spans="1:4" ht="27">
      <c r="A94" s="1259" t="s">
        <v>438</v>
      </c>
      <c r="B94" s="1253" t="s">
        <v>458</v>
      </c>
      <c r="C94" s="1254" t="s">
        <v>459</v>
      </c>
      <c r="D94" s="123" t="s">
        <v>460</v>
      </c>
    </row>
    <row r="95" spans="1:4">
      <c r="A95" s="1259" t="s">
        <v>438</v>
      </c>
      <c r="B95" s="1253" t="s">
        <v>461</v>
      </c>
      <c r="C95" s="1254" t="s">
        <v>462</v>
      </c>
      <c r="D95" s="123" t="s">
        <v>460</v>
      </c>
    </row>
    <row r="96" spans="1:4">
      <c r="A96" s="1259" t="s">
        <v>438</v>
      </c>
      <c r="B96" s="1253" t="s">
        <v>323</v>
      </c>
      <c r="C96" s="1254" t="s">
        <v>463</v>
      </c>
      <c r="D96" s="123" t="s">
        <v>464</v>
      </c>
    </row>
    <row r="97" spans="1:4" ht="126" customHeight="1">
      <c r="A97" s="1259" t="s">
        <v>438</v>
      </c>
      <c r="B97" s="1253" t="s">
        <v>260</v>
      </c>
      <c r="C97" s="1254" t="s">
        <v>465</v>
      </c>
      <c r="D97" s="1256" t="s">
        <v>466</v>
      </c>
    </row>
    <row r="98" spans="1:4" ht="46.5" customHeight="1">
      <c r="A98" s="1259" t="s">
        <v>438</v>
      </c>
      <c r="B98" s="1253" t="s">
        <v>467</v>
      </c>
      <c r="C98" s="1257" t="s">
        <v>468</v>
      </c>
      <c r="D98" s="1256" t="s">
        <v>464</v>
      </c>
    </row>
    <row r="99" spans="1:4">
      <c r="A99" s="1259" t="s">
        <v>438</v>
      </c>
      <c r="B99" s="1253" t="s">
        <v>339</v>
      </c>
      <c r="C99" s="1257" t="s">
        <v>469</v>
      </c>
      <c r="D99" s="1256" t="s">
        <v>470</v>
      </c>
    </row>
    <row r="100" spans="1:4">
      <c r="A100" s="1259" t="s">
        <v>438</v>
      </c>
      <c r="B100" s="1253" t="s">
        <v>471</v>
      </c>
      <c r="C100" s="1257" t="s">
        <v>472</v>
      </c>
      <c r="D100" s="1256" t="s">
        <v>287</v>
      </c>
    </row>
    <row r="101" spans="1:4">
      <c r="A101" s="1259" t="s">
        <v>438</v>
      </c>
      <c r="B101" s="1253" t="s">
        <v>323</v>
      </c>
      <c r="C101" s="1257" t="s">
        <v>473</v>
      </c>
      <c r="D101" s="1256" t="s">
        <v>287</v>
      </c>
    </row>
    <row r="102" spans="1:4">
      <c r="A102" s="1259" t="s">
        <v>438</v>
      </c>
      <c r="B102" s="1253" t="s">
        <v>323</v>
      </c>
      <c r="C102" s="1257" t="s">
        <v>474</v>
      </c>
      <c r="D102" s="1256" t="s">
        <v>475</v>
      </c>
    </row>
    <row r="103" spans="1:4">
      <c r="A103" s="1259" t="s">
        <v>438</v>
      </c>
      <c r="B103" s="1253" t="s">
        <v>277</v>
      </c>
      <c r="C103" s="1257" t="s">
        <v>476</v>
      </c>
      <c r="D103" s="1256" t="s">
        <v>287</v>
      </c>
    </row>
    <row r="104" spans="1:4" ht="27">
      <c r="A104" s="1259" t="s">
        <v>438</v>
      </c>
      <c r="B104" s="1253" t="s">
        <v>477</v>
      </c>
      <c r="C104" s="1257" t="s">
        <v>478</v>
      </c>
      <c r="D104" s="1256" t="s">
        <v>287</v>
      </c>
    </row>
    <row r="105" spans="1:4" ht="27">
      <c r="A105" s="1259" t="s">
        <v>438</v>
      </c>
      <c r="B105" s="1253" t="s">
        <v>265</v>
      </c>
      <c r="C105" s="1257" t="s">
        <v>479</v>
      </c>
      <c r="D105" s="1256" t="s">
        <v>287</v>
      </c>
    </row>
    <row r="106" spans="1:4">
      <c r="A106" s="1259" t="s">
        <v>438</v>
      </c>
      <c r="B106" s="1253" t="s">
        <v>480</v>
      </c>
      <c r="C106" s="1257" t="s">
        <v>481</v>
      </c>
      <c r="D106" s="1256" t="s">
        <v>204</v>
      </c>
    </row>
    <row r="107" spans="1:4">
      <c r="C107" s="37"/>
    </row>
    <row r="108" spans="1:4">
      <c r="C108" s="37"/>
    </row>
    <row r="109" spans="1:4">
      <c r="C109" s="37"/>
    </row>
    <row r="110" spans="1:4">
      <c r="C110" s="37"/>
    </row>
    <row r="111" spans="1:4">
      <c r="C111" s="37"/>
    </row>
    <row r="112" spans="1:4">
      <c r="C112" s="37"/>
    </row>
    <row r="113" spans="3:3">
      <c r="C113" s="37"/>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zoomScaleNormal="100" workbookViewId="0">
      <selection activeCell="A4" sqref="A4"/>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57" t="s">
        <v>482</v>
      </c>
      <c r="B1" s="348"/>
      <c r="C1" s="349"/>
      <c r="D1" s="349"/>
      <c r="E1" s="349"/>
      <c r="F1" s="349"/>
      <c r="G1" s="350"/>
      <c r="H1" s="350"/>
      <c r="I1" s="351"/>
      <c r="J1" s="351"/>
      <c r="K1" s="351"/>
      <c r="L1" s="352" t="s">
        <v>244</v>
      </c>
    </row>
    <row r="2" spans="1:20" ht="20">
      <c r="A2" s="315" t="str">
        <f>Licensee</f>
        <v>Cadent-London</v>
      </c>
      <c r="B2" s="353"/>
      <c r="C2" s="106"/>
      <c r="D2" s="106"/>
      <c r="E2" s="106"/>
      <c r="F2" s="106"/>
      <c r="G2" s="6"/>
      <c r="H2" s="6"/>
      <c r="I2" s="354"/>
      <c r="J2" s="354"/>
      <c r="K2" s="354"/>
      <c r="L2" s="355"/>
    </row>
    <row r="3" spans="1:20" ht="20">
      <c r="A3" s="106">
        <f>Reporting_Year</f>
        <v>2024</v>
      </c>
      <c r="B3" s="6" t="str">
        <f>IF(Licensee=Data!$B$86,"Only required to be completed to show Operational Performance",IF(Licensee=Data!$B$89,"not required to be completed",""))</f>
        <v/>
      </c>
      <c r="C3" s="6"/>
      <c r="D3" s="6"/>
      <c r="E3" s="6"/>
      <c r="F3" s="6"/>
      <c r="G3" s="6"/>
      <c r="H3" s="356"/>
      <c r="I3" s="357"/>
      <c r="J3" s="357"/>
      <c r="K3" s="357"/>
      <c r="L3" s="358"/>
    </row>
    <row r="4" spans="1:20" ht="12.75" customHeight="1"/>
    <row r="5" spans="1:20">
      <c r="D5" s="359" t="str">
        <f t="shared" ref="D5:H5" si="0">IF(D6&lt;=Reporting_Year,"Actuals","Forecast")</f>
        <v>Actuals</v>
      </c>
      <c r="E5" s="359" t="str">
        <f t="shared" si="0"/>
        <v>Actuals</v>
      </c>
      <c r="F5" s="359" t="str">
        <f t="shared" si="0"/>
        <v>Actuals</v>
      </c>
      <c r="G5" s="359" t="str">
        <f t="shared" si="0"/>
        <v>Forecast</v>
      </c>
      <c r="H5" s="359" t="str">
        <f t="shared" si="0"/>
        <v>Forecast</v>
      </c>
      <c r="I5" s="360"/>
      <c r="J5" s="360"/>
    </row>
    <row r="6" spans="1:20" ht="31.5" customHeight="1">
      <c r="C6" s="361"/>
      <c r="D6" s="362">
        <f>RIIO_2_start_date</f>
        <v>2022</v>
      </c>
      <c r="E6" s="362">
        <f>D6+1</f>
        <v>2023</v>
      </c>
      <c r="F6" s="362">
        <f>E6+1</f>
        <v>2024</v>
      </c>
      <c r="G6" s="362">
        <f t="shared" ref="G6:H6" si="1">F6+1</f>
        <v>2025</v>
      </c>
      <c r="H6" s="362">
        <f t="shared" si="1"/>
        <v>2026</v>
      </c>
      <c r="I6" s="10"/>
      <c r="J6" s="363" t="str">
        <f>"Cumulative to "&amp;'RFPR cover'!$C$9</f>
        <v>Cumulative to 2024</v>
      </c>
      <c r="K6" s="364" t="s">
        <v>483</v>
      </c>
    </row>
    <row r="7" spans="1:20">
      <c r="C7" s="361"/>
      <c r="D7" s="365" t="str">
        <f>RIIO_2_start_date-1&amp;"/"&amp;RIGHT(RIIO_2_start_date,2)</f>
        <v>2021/22</v>
      </c>
      <c r="E7" s="365" t="str">
        <f>RIIO_2_start_date&amp;"/"&amp;RIGHT(RIIO_2_start_date+1,2)</f>
        <v>2022/23</v>
      </c>
      <c r="F7" s="365" t="str">
        <f>RIIO_2_start_date+1&amp;"/"&amp;RIGHT(RIIO_2_start_date+2,2)</f>
        <v>2023/24</v>
      </c>
      <c r="G7" s="365" t="str">
        <f>RIIO_2_start_date+2&amp;"/"&amp;RIGHT(RIIO_2_start_date+3,2)</f>
        <v>2024/25</v>
      </c>
      <c r="H7" s="365" t="str">
        <f>RIIO_2_start_date+3&amp;"/"&amp;RIGHT(RIIO_2_start_date+4,2)</f>
        <v>2025/26</v>
      </c>
      <c r="I7" s="361"/>
      <c r="J7" s="361"/>
      <c r="K7" s="361"/>
      <c r="L7" s="361"/>
    </row>
    <row r="8" spans="1:20">
      <c r="C8" s="34"/>
      <c r="D8" s="34"/>
      <c r="E8" s="34"/>
      <c r="F8" s="34"/>
      <c r="G8" s="34"/>
      <c r="H8" s="34"/>
      <c r="I8" s="34"/>
      <c r="J8" s="34"/>
      <c r="K8" s="34"/>
      <c r="L8" s="34"/>
      <c r="M8" s="34"/>
      <c r="N8" s="34"/>
      <c r="O8" s="34"/>
      <c r="P8" s="34"/>
      <c r="Q8" s="34"/>
      <c r="R8" s="34"/>
      <c r="S8" s="34"/>
      <c r="T8" s="34"/>
    </row>
    <row r="9" spans="1:20">
      <c r="B9" s="366" t="s">
        <v>484</v>
      </c>
      <c r="C9" s="38"/>
      <c r="D9" s="38"/>
      <c r="E9" s="38"/>
      <c r="F9" s="38"/>
      <c r="G9" s="38"/>
      <c r="H9" s="38"/>
      <c r="I9" s="367"/>
      <c r="J9" s="38"/>
      <c r="K9" s="38"/>
      <c r="L9" s="38"/>
    </row>
    <row r="10" spans="1:20">
      <c r="B10" s="368"/>
      <c r="I10" s="10"/>
    </row>
    <row r="11" spans="1:20">
      <c r="B11" s="178" t="s">
        <v>485</v>
      </c>
      <c r="C11" s="177" t="s">
        <v>486</v>
      </c>
      <c r="D11" s="71">
        <f>IFERROR(Equity_Return_on_the_RAV/NPV_neutral_equity_element_of_RAV,0)</f>
        <v>4.5181881000000007E-2</v>
      </c>
      <c r="E11" s="71">
        <f>IFERROR(Equity_Return_on_the_RAV/NPV_neutral_equity_element_of_RAV,0)</f>
        <v>4.5568104999999998E-2</v>
      </c>
      <c r="F11" s="71">
        <f>IFERROR(Equity_Return_on_the_RAV/NPV_neutral_equity_element_of_RAV,0)</f>
        <v>5.2833943999999994E-2</v>
      </c>
      <c r="G11" s="71">
        <f>IFERROR(Equity_Return_on_the_RAV/NPV_neutral_equity_element_of_RAV,0)</f>
        <v>5.5875458000000003E-2</v>
      </c>
      <c r="H11" s="71">
        <f>IFERROR(Equity_Return_on_the_RAV/NPV_neutral_equity_element_of_RAV,0)</f>
        <v>5.5175426999999985E-2</v>
      </c>
      <c r="I11" s="369"/>
      <c r="J11" s="72">
        <f>IFERROR(AVERAGE(D65:INDEX(D65:H65,0,MATCH('RFPR cover'!$C$9,$D$6:$H$6,0)))/AVERAGE($D$90:INDEX($D$90:$H$90,0,MATCH('RFPR cover'!$C$9,$D$6:$H$6,0))),0)</f>
        <v>4.7896685702426542E-2</v>
      </c>
      <c r="K11" s="72">
        <f t="shared" ref="K11:K21" si="2">IFERROR(AVERAGE(D65:H65)/AVERAGE($D$90:$H$90),0)</f>
        <v>5.1014487020652616E-2</v>
      </c>
    </row>
    <row r="12" spans="1:20">
      <c r="B12" s="178" t="str">
        <f t="shared" ref="B12:B18" si="3">B66</f>
        <v>Totex outperformance</v>
      </c>
      <c r="C12" s="177" t="s">
        <v>486</v>
      </c>
      <c r="D12" s="71">
        <f>IFERROR(Totex_outperformance/NPV_neutral_equity_element_of_RAV,0)</f>
        <v>8.6059358262764538E-3</v>
      </c>
      <c r="E12" s="71">
        <f>IFERROR(Totex_outperformance/NPV_neutral_equity_element_of_RAV,0)</f>
        <v>-8.7044412731458517E-3</v>
      </c>
      <c r="F12" s="71">
        <f>IFERROR(Totex_outperformance/NPV_neutral_equity_element_of_RAV,0)</f>
        <v>-2.2312492782242239E-2</v>
      </c>
      <c r="G12" s="71">
        <f>IFERROR(Totex_outperformance/NPV_neutral_equity_element_of_RAV,0)</f>
        <v>-2.2484050955036864E-2</v>
      </c>
      <c r="H12" s="71">
        <f>IFERROR(Totex_outperformance/NPV_neutral_equity_element_of_RAV,0)</f>
        <v>-1.9294753393602353E-2</v>
      </c>
      <c r="I12" s="369"/>
      <c r="J12" s="72">
        <f>IFERROR(AVERAGE(D66:INDEX(D66:H66,0,MATCH('RFPR cover'!$C$9,$D$6:$H$6,0)))/AVERAGE($D$90:INDEX($D$90:$H$90,0,MATCH('RFPR cover'!$C$9,$D$6:$H$6,0))),0)</f>
        <v>-7.6008399086023894E-3</v>
      </c>
      <c r="K12" s="72">
        <f t="shared" si="2"/>
        <v>-1.3029180515750746E-2</v>
      </c>
      <c r="M12" s="369"/>
    </row>
    <row r="13" spans="1:20">
      <c r="A13" s="370" t="s">
        <v>487</v>
      </c>
      <c r="B13" s="178" t="str">
        <f t="shared" si="3"/>
        <v>Business Plan Incentive</v>
      </c>
      <c r="C13" s="177" t="s">
        <v>486</v>
      </c>
      <c r="D13" s="71">
        <f>IFERROR(Business_Plan_Incentive/NPV_neutral_equity_element_of_RAV,0)</f>
        <v>-1.2314921583641306E-18</v>
      </c>
      <c r="E13" s="71">
        <f>IFERROR(Business_Plan_Incentive/NPV_neutral_equity_element_of_RAV,0)</f>
        <v>-1.2200695694084244E-18</v>
      </c>
      <c r="F13" s="71">
        <f>IFERROR(Business_Plan_Incentive/NPV_neutral_equity_element_of_RAV,0)</f>
        <v>-1.2003892261138126E-18</v>
      </c>
      <c r="G13" s="71">
        <f>IFERROR(Business_Plan_Incentive/NPV_neutral_equity_element_of_RAV,0)</f>
        <v>-1.1809996183748194E-18</v>
      </c>
      <c r="H13" s="71">
        <f>IFERROR(Business_Plan_Incentive/NPV_neutral_equity_element_of_RAV,0)</f>
        <v>-1.1660190737897301E-18</v>
      </c>
      <c r="I13" s="369"/>
      <c r="J13" s="72">
        <f>IFERROR(AVERAGE(D67:INDEX(D67:H67,0,MATCH('RFPR cover'!$C$9,$D$6:$H$6,0)))/AVERAGE($D$90:INDEX($D$90:$H$90,0,MATCH('RFPR cover'!$C$9,$D$6:$H$6,0))),0)</f>
        <v>-1.2171809705668976E-18</v>
      </c>
      <c r="K13" s="72">
        <f t="shared" si="2"/>
        <v>-1.1993080143037642E-18</v>
      </c>
    </row>
    <row r="14" spans="1:20">
      <c r="A14" s="370" t="s">
        <v>488</v>
      </c>
      <c r="B14" s="178" t="str">
        <f t="shared" si="3"/>
        <v>Customer Satisfaction Survey ODI - (SpC 4.2)</v>
      </c>
      <c r="C14" s="177" t="s">
        <v>486</v>
      </c>
      <c r="D14" s="71">
        <f>IFERROR(ODI_1/NPV_neutral_equity_element_of_RAV,0)</f>
        <v>8.5365581247746989E-5</v>
      </c>
      <c r="E14" s="71">
        <f>IFERROR(ODI_1/NPV_neutral_equity_element_of_RAV,0)</f>
        <v>5.2349108368457767E-4</v>
      </c>
      <c r="F14" s="71">
        <f>IFERROR(ODI_1/NPV_neutral_equity_element_of_RAV,0)</f>
        <v>1.1772600095288444E-3</v>
      </c>
      <c r="G14" s="71">
        <f>IFERROR(ODI_1/NPV_neutral_equity_element_of_RAV,0)</f>
        <v>1.8468651556770438E-3</v>
      </c>
      <c r="H14" s="71">
        <f>IFERROR(ODI_1/NPV_neutral_equity_element_of_RAV,0)</f>
        <v>1.9498152678428472E-3</v>
      </c>
      <c r="I14" s="369"/>
      <c r="J14" s="72">
        <f>IFERROR(AVERAGE(D68:INDEX(D68:H68,0,MATCH('RFPR cover'!$C$9,$D$6:$H$6,0)))/AVERAGE($D$90:INDEX($D$90:$H$90,0,MATCH('RFPR cover'!$C$9,$D$6:$H$6,0))),0)</f>
        <v>6.001178126925664E-4</v>
      </c>
      <c r="K14" s="72">
        <f t="shared" si="2"/>
        <v>1.1309788649397762E-3</v>
      </c>
    </row>
    <row r="15" spans="1:20">
      <c r="A15" s="370" t="s">
        <v>489</v>
      </c>
      <c r="B15" s="178" t="str">
        <f t="shared" si="3"/>
        <v>Complaints metric ODI - (SpC 4.3)</v>
      </c>
      <c r="C15" s="177" t="s">
        <v>486</v>
      </c>
      <c r="D15" s="71">
        <f>IFERROR(ODI_2/NPV_neutral_equity_element_of_RAV,0)</f>
        <v>0</v>
      </c>
      <c r="E15" s="71">
        <f>IFERROR(ODI_2/NPV_neutral_equity_element_of_RAV,0)</f>
        <v>0</v>
      </c>
      <c r="F15" s="71">
        <f>IFERROR(ODI_2/NPV_neutral_equity_element_of_RAV,0)</f>
        <v>0</v>
      </c>
      <c r="G15" s="71">
        <f>IFERROR(ODI_2/NPV_neutral_equity_element_of_RAV,0)</f>
        <v>0</v>
      </c>
      <c r="H15" s="71">
        <f>IFERROR(ODI_2/NPV_neutral_equity_element_of_RAV,0)</f>
        <v>0</v>
      </c>
      <c r="I15" s="369"/>
      <c r="J15" s="72">
        <f>IFERROR(AVERAGE(D69:INDEX(D69:H69,0,MATCH('RFPR cover'!$C$9,$D$6:$H$6,0)))/AVERAGE($D$90:INDEX($D$90:$H$90,0,MATCH('RFPR cover'!$C$9,$D$6:$H$6,0))),0)</f>
        <v>0</v>
      </c>
      <c r="K15" s="72">
        <f t="shared" si="2"/>
        <v>0</v>
      </c>
    </row>
    <row r="16" spans="1:20">
      <c r="A16" s="370" t="s">
        <v>490</v>
      </c>
      <c r="B16" s="178" t="str">
        <f t="shared" si="3"/>
        <v>Unplanned Interruption Mean Duration ODI [NGN, SGN and WWU] - (SpC 4.5)</v>
      </c>
      <c r="C16" s="177" t="s">
        <v>486</v>
      </c>
      <c r="D16" s="71">
        <f>IFERROR(ODI_3/NPV_neutral_equity_element_of_RAV,0)</f>
        <v>0</v>
      </c>
      <c r="E16" s="71">
        <f>IFERROR(ODI_3/NPV_neutral_equity_element_of_RAV,0)</f>
        <v>0</v>
      </c>
      <c r="F16" s="71">
        <f>IFERROR(ODI_3/NPV_neutral_equity_element_of_RAV,0)</f>
        <v>0</v>
      </c>
      <c r="G16" s="71">
        <f>IFERROR(ODI_3/NPV_neutral_equity_element_of_RAV,0)</f>
        <v>0</v>
      </c>
      <c r="H16" s="71">
        <f>IFERROR(ODI_3/NPV_neutral_equity_element_of_RAV,0)</f>
        <v>0</v>
      </c>
      <c r="I16" s="369"/>
      <c r="J16" s="72">
        <f>IFERROR(AVERAGE(D70:INDEX(D70:H70,0,MATCH('RFPR cover'!$C$9,$D$6:$H$6,0)))/AVERAGE($D$90:INDEX($D$90:$H$90,0,MATCH('RFPR cover'!$C$9,$D$6:$H$6,0))),0)</f>
        <v>0</v>
      </c>
      <c r="K16" s="72">
        <f t="shared" si="2"/>
        <v>0</v>
      </c>
    </row>
    <row r="17" spans="1:11">
      <c r="A17" s="370" t="s">
        <v>491</v>
      </c>
      <c r="B17" s="178" t="str">
        <f t="shared" si="3"/>
        <v>Unplanned Interruption Mean Duration ODI [Cadent only]- (SpC 4.6)</v>
      </c>
      <c r="C17" s="177" t="s">
        <v>486</v>
      </c>
      <c r="D17" s="71">
        <f>IFERROR(ODI_4/NPV_neutral_equity_element_of_RAV,0)</f>
        <v>0</v>
      </c>
      <c r="E17" s="71">
        <f>IFERROR(ODI_4/NPV_neutral_equity_element_of_RAV,0)</f>
        <v>0</v>
      </c>
      <c r="F17" s="71">
        <f>IFERROR(ODI_4/NPV_neutral_equity_element_of_RAV,0)</f>
        <v>0</v>
      </c>
      <c r="G17" s="71">
        <f>IFERROR(ODI_4/NPV_neutral_equity_element_of_RAV,0)</f>
        <v>0</v>
      </c>
      <c r="H17" s="71">
        <f>IFERROR(ODI_4/NPV_neutral_equity_element_of_RAV,0)</f>
        <v>0</v>
      </c>
      <c r="I17" s="369"/>
      <c r="J17" s="72">
        <f>IFERROR(AVERAGE(D71:INDEX(D71:H71,0,MATCH('RFPR cover'!$C$9,$D$6:$H$6,0)))/AVERAGE($D$90:INDEX($D$90:$H$90,0,MATCH('RFPR cover'!$C$9,$D$6:$H$6,0))),0)</f>
        <v>0</v>
      </c>
      <c r="K17" s="72">
        <f t="shared" si="2"/>
        <v>0</v>
      </c>
    </row>
    <row r="18" spans="1:11">
      <c r="A18" s="370" t="s">
        <v>492</v>
      </c>
      <c r="B18" s="178" t="str">
        <f t="shared" si="3"/>
        <v>Shrinkage Management ODI- (SpC 4.4)</v>
      </c>
      <c r="C18" s="177" t="s">
        <v>486</v>
      </c>
      <c r="D18" s="71">
        <f>IFERROR(ODI_5/NPV_neutral_equity_element_of_RAV,0)</f>
        <v>-2.4303853485759441E-4</v>
      </c>
      <c r="E18" s="71">
        <f>IFERROR(ODI_5/NPV_neutral_equity_element_of_RAV,0)</f>
        <v>1.72085364359369E-4</v>
      </c>
      <c r="F18" s="71">
        <f>IFERROR(ODI_5/NPV_neutral_equity_element_of_RAV,0)</f>
        <v>2.0829259794721705E-5</v>
      </c>
      <c r="G18" s="71">
        <f>IFERROR(ODI_5/NPV_neutral_equity_element_of_RAV,0)</f>
        <v>1.7226705151763828E-5</v>
      </c>
      <c r="H18" s="71">
        <f>IFERROR(ODI_5/NPV_neutral_equity_element_of_RAV,0)</f>
        <v>1.6346840303850309E-5</v>
      </c>
      <c r="I18" s="369"/>
      <c r="J18" s="72">
        <f>IFERROR(AVERAGE(D72:INDEX(D72:H72,0,MATCH('RFPR cover'!$C$9,$D$6:$H$6,0)))/AVERAGE($D$90:INDEX($D$90:$H$90,0,MATCH('RFPR cover'!$C$9,$D$6:$H$6,0))),0)</f>
        <v>-1.5805202862149519E-5</v>
      </c>
      <c r="K18" s="72">
        <f t="shared" si="2"/>
        <v>-2.4824142979005119E-6</v>
      </c>
    </row>
    <row r="19" spans="1:11">
      <c r="A19" s="370" t="s">
        <v>493</v>
      </c>
      <c r="B19" s="178" t="str">
        <f>B73</f>
        <v>Collaborative streetworks ODI [Cadent Lon &amp; EoE, SGN So only]- (SpC 4.7)</v>
      </c>
      <c r="C19" s="177" t="s">
        <v>486</v>
      </c>
      <c r="D19" s="71">
        <f>IFERROR(ODI_6/NPV_neutral_equity_element_of_RAV,0)</f>
        <v>1.0696915586326967E-3</v>
      </c>
      <c r="E19" s="71">
        <f>IFERROR(ODI_6/NPV_neutral_equity_element_of_RAV,0)</f>
        <v>9.8196385648648111E-4</v>
      </c>
      <c r="F19" s="71">
        <f>IFERROR(ODI_6/NPV_neutral_equity_element_of_RAV,0)</f>
        <v>1.0426751104556451E-3</v>
      </c>
      <c r="G19" s="71">
        <f>IFERROR(ODI_6/NPV_neutral_equity_element_of_RAV,0)</f>
        <v>1.0258330221136847E-3</v>
      </c>
      <c r="H19" s="71">
        <f>IFERROR(ODI_6/NPV_neutral_equity_element_of_RAV,0)</f>
        <v>1.0128207085739239E-3</v>
      </c>
      <c r="I19" s="369"/>
      <c r="J19" s="72">
        <f>IFERROR(AVERAGE(D73:INDEX(D73:H73,0,MATCH('RFPR cover'!$C$9,$D$6:$H$6,0)))/AVERAGE($D$90:INDEX($D$90:$H$90,0,MATCH('RFPR cover'!$C$9,$D$6:$H$6,0))),0)</f>
        <v>1.0313867683762361E-3</v>
      </c>
      <c r="K19" s="72">
        <f t="shared" si="2"/>
        <v>1.0264395784980896E-3</v>
      </c>
    </row>
    <row r="20" spans="1:11">
      <c r="A20" s="370" t="s">
        <v>494</v>
      </c>
      <c r="B20" s="178" t="str">
        <f t="shared" ref="B20" si="4">B74</f>
        <v>Network innovation input for RORE</v>
      </c>
      <c r="C20" s="177" t="s">
        <v>486</v>
      </c>
      <c r="D20" s="71">
        <f>IFERROR(ORA_1/NPV_neutral_equity_element_of_RAV,0)</f>
        <v>-1.08323195810906E-4</v>
      </c>
      <c r="E20" s="71">
        <f>IFERROR(ORA_1/NPV_neutral_equity_element_of_RAV,0)</f>
        <v>-1.0731845426081762E-4</v>
      </c>
      <c r="F20" s="71">
        <f>IFERROR(ORA_1/NPV_neutral_equity_element_of_RAV,0)</f>
        <v>-1.0558735295753369E-4</v>
      </c>
      <c r="G20" s="71">
        <f>IFERROR(ORA_1/NPV_neutral_equity_element_of_RAV,0)</f>
        <v>-1.0388182502417061E-4</v>
      </c>
      <c r="H20" s="71">
        <f>IFERROR(ORA_1/NPV_neutral_equity_element_of_RAV,0)</f>
        <v>-1.0256412238723281E-4</v>
      </c>
      <c r="I20" s="369"/>
      <c r="J20" s="72">
        <f>IFERROR(AVERAGE(D74:INDEX(D74:H74,0,MATCH('RFPR cover'!$C$9,$D$6:$H$6,0)))/AVERAGE($D$90:INDEX($D$90:$H$90,0,MATCH('RFPR cover'!$C$9,$D$6:$H$6,0))),0)</f>
        <v>-1.0706437041967852E-4</v>
      </c>
      <c r="K20" s="72">
        <f t="shared" si="2"/>
        <v>-1.0549224856095474E-4</v>
      </c>
    </row>
    <row r="21" spans="1:11">
      <c r="A21" s="370" t="s">
        <v>495</v>
      </c>
      <c r="B21" s="178" t="str">
        <f t="shared" ref="B21" si="5">B75</f>
        <v>Carry-over Network innovation input for RORE</v>
      </c>
      <c r="C21" s="177" t="s">
        <v>486</v>
      </c>
      <c r="D21" s="71">
        <f>IFERROR(ORA_2/NPV_neutral_equity_element_of_RAV,0)</f>
        <v>-7.0033192605590058E-5</v>
      </c>
      <c r="E21" s="71">
        <f>IFERROR(ORA_2/NPV_neutral_equity_element_of_RAV,0)</f>
        <v>0</v>
      </c>
      <c r="F21" s="71">
        <f>IFERROR(ORA_2/NPV_neutral_equity_element_of_RAV,0)</f>
        <v>0</v>
      </c>
      <c r="G21" s="71">
        <f>IFERROR(ORA_2/NPV_neutral_equity_element_of_RAV,0)</f>
        <v>0</v>
      </c>
      <c r="H21" s="71">
        <f>IFERROR(ORA_2/NPV_neutral_equity_element_of_RAV,0)</f>
        <v>0</v>
      </c>
      <c r="I21" s="369"/>
      <c r="J21" s="72">
        <f>IFERROR(AVERAGE(D75:INDEX(D75:H75,0,MATCH('RFPR cover'!$C$9,$D$6:$H$6,0)))/AVERAGE($D$90:INDEX($D$90:$H$90,0,MATCH('RFPR cover'!$C$9,$D$6:$H$6,0))),0)</f>
        <v>-2.307311196113079E-5</v>
      </c>
      <c r="K21" s="72">
        <f t="shared" si="2"/>
        <v>-1.3640585299501111E-5</v>
      </c>
    </row>
    <row r="22" spans="1:11">
      <c r="A22" s="370" t="s">
        <v>496</v>
      </c>
      <c r="B22" s="178" t="str">
        <f t="shared" ref="B22:B27" si="6">B76</f>
        <v>Strategic innovation input for RORE</v>
      </c>
      <c r="C22" s="177" t="s">
        <v>486</v>
      </c>
      <c r="D22" s="71">
        <f>IFERROR(ORA_3/NPV_neutral_equity_element_of_RAV,0)</f>
        <v>0</v>
      </c>
      <c r="E22" s="71">
        <f>IFERROR(ORA_3/NPV_neutral_equity_element_of_RAV,0)</f>
        <v>0</v>
      </c>
      <c r="F22" s="71">
        <f>IFERROR(ORA_3/NPV_neutral_equity_element_of_RAV,0)</f>
        <v>0</v>
      </c>
      <c r="G22" s="71">
        <f>IFERROR(ORA_3/NPV_neutral_equity_element_of_RAV,0)</f>
        <v>0</v>
      </c>
      <c r="H22" s="71">
        <f>IFERROR(ORA_3/NPV_neutral_equity_element_of_RAV,0)</f>
        <v>0</v>
      </c>
      <c r="I22" s="369"/>
      <c r="J22" s="72">
        <f>IFERROR(AVERAGE(D76:INDEX(D76:H76,0,MATCH('RFPR cover'!$C$9,$D$6:$H$6,0)))/AVERAGE($D$90:INDEX($D$90:$H$90,0,MATCH('RFPR cover'!$C$9,$D$6:$H$6,0))),0)</f>
        <v>0</v>
      </c>
      <c r="K22" s="72">
        <f>IFERROR(AVERAGE(D76:H76)/AVERAGE($D$90:$H$90),0)</f>
        <v>0</v>
      </c>
    </row>
    <row r="23" spans="1:11">
      <c r="A23" s="370" t="s">
        <v>497</v>
      </c>
      <c r="B23" s="178" t="str">
        <f t="shared" si="6"/>
        <v/>
      </c>
      <c r="C23" s="177" t="s">
        <v>486</v>
      </c>
      <c r="D23" s="71">
        <f>IFERROR(ORA_4/NPV_neutral_equity_element_of_RAV,0)</f>
        <v>0</v>
      </c>
      <c r="E23" s="71">
        <f>IFERROR(ORA_4/NPV_neutral_equity_element_of_RAV,0)</f>
        <v>0</v>
      </c>
      <c r="F23" s="71">
        <f>IFERROR(ORA_4/NPV_neutral_equity_element_of_RAV,0)</f>
        <v>0</v>
      </c>
      <c r="G23" s="71">
        <f>IFERROR(ORA_4/NPV_neutral_equity_element_of_RAV,0)</f>
        <v>0</v>
      </c>
      <c r="H23" s="71">
        <f>IFERROR(ORA_4/NPV_neutral_equity_element_of_RAV,0)</f>
        <v>0</v>
      </c>
      <c r="I23" s="369"/>
      <c r="J23" s="72">
        <f>IFERROR(AVERAGE(D77:INDEX(D77:H77,0,MATCH('RFPR cover'!$C$9,$D$6:$H$6,0)))/AVERAGE($D$90:INDEX($D$90:$H$90,0,MATCH('RFPR cover'!$C$9,$D$6:$H$6,0))),0)</f>
        <v>0</v>
      </c>
      <c r="K23" s="72">
        <f t="shared" ref="K23:K28" si="7">IFERROR(AVERAGE(D77:H77)/AVERAGE($D$90:$H$90),0)</f>
        <v>0</v>
      </c>
    </row>
    <row r="24" spans="1:11">
      <c r="A24" s="370" t="s">
        <v>498</v>
      </c>
      <c r="B24" s="178" t="str">
        <f t="shared" si="6"/>
        <v/>
      </c>
      <c r="C24" s="177" t="s">
        <v>486</v>
      </c>
      <c r="D24" s="71">
        <f>IFERROR(ORA_5/NPV_neutral_equity_element_of_RAV,0)</f>
        <v>0</v>
      </c>
      <c r="E24" s="71">
        <f>IFERROR(ORA_5/NPV_neutral_equity_element_of_RAV,0)</f>
        <v>0</v>
      </c>
      <c r="F24" s="71">
        <f>IFERROR(ORA_5/NPV_neutral_equity_element_of_RAV,0)</f>
        <v>0</v>
      </c>
      <c r="G24" s="71">
        <f>IFERROR(ORA_5/NPV_neutral_equity_element_of_RAV,0)</f>
        <v>0</v>
      </c>
      <c r="H24" s="71">
        <f>IFERROR(ORA_5/NPV_neutral_equity_element_of_RAV,0)</f>
        <v>0</v>
      </c>
      <c r="I24" s="369"/>
      <c r="J24" s="72">
        <f>IFERROR(AVERAGE(D78:INDEX(D78:H78,0,MATCH('RFPR cover'!$C$9,$D$6:$H$6,0)))/AVERAGE($D$90:INDEX($D$90:$H$90,0,MATCH('RFPR cover'!$C$9,$D$6:$H$6,0))),0)</f>
        <v>0</v>
      </c>
      <c r="K24" s="72">
        <f t="shared" si="7"/>
        <v>0</v>
      </c>
    </row>
    <row r="25" spans="1:11">
      <c r="A25" s="370" t="s">
        <v>499</v>
      </c>
      <c r="B25" s="178" t="str">
        <f t="shared" si="6"/>
        <v/>
      </c>
      <c r="C25" s="177" t="s">
        <v>486</v>
      </c>
      <c r="D25" s="71">
        <f>IFERROR(ORA_6/NPV_neutral_equity_element_of_RAV,0)</f>
        <v>0</v>
      </c>
      <c r="E25" s="71">
        <f>IFERROR(ORA_6/NPV_neutral_equity_element_of_RAV,0)</f>
        <v>0</v>
      </c>
      <c r="F25" s="71">
        <f>IFERROR(ORA_6/NPV_neutral_equity_element_of_RAV,0)</f>
        <v>0</v>
      </c>
      <c r="G25" s="71">
        <f>IFERROR(ORA_6/NPV_neutral_equity_element_of_RAV,0)</f>
        <v>0</v>
      </c>
      <c r="H25" s="71">
        <f>IFERROR(ORA_6/NPV_neutral_equity_element_of_RAV,0)</f>
        <v>0</v>
      </c>
      <c r="I25" s="369"/>
      <c r="J25" s="72">
        <f>IFERROR(AVERAGE(D79:INDEX(D79:H79,0,MATCH('RFPR cover'!$C$9,$D$6:$H$6,0)))/AVERAGE($D$90:INDEX($D$90:$H$90,0,MATCH('RFPR cover'!$C$9,$D$6:$H$6,0))),0)</f>
        <v>0</v>
      </c>
      <c r="K25" s="72">
        <f t="shared" si="7"/>
        <v>0</v>
      </c>
    </row>
    <row r="26" spans="1:11">
      <c r="A26" s="370" t="s">
        <v>500</v>
      </c>
      <c r="B26" s="178" t="str">
        <f t="shared" si="6"/>
        <v/>
      </c>
      <c r="C26" s="177" t="s">
        <v>486</v>
      </c>
      <c r="D26" s="71">
        <f>IFERROR(ORA_7/NPV_neutral_equity_element_of_RAV,0)</f>
        <v>0</v>
      </c>
      <c r="E26" s="71">
        <f>IFERROR(ORA_7/NPV_neutral_equity_element_of_RAV,0)</f>
        <v>0</v>
      </c>
      <c r="F26" s="71">
        <f>IFERROR(ORA_7/NPV_neutral_equity_element_of_RAV,0)</f>
        <v>0</v>
      </c>
      <c r="G26" s="71">
        <f>IFERROR(ORA_7/NPV_neutral_equity_element_of_RAV,0)</f>
        <v>0</v>
      </c>
      <c r="H26" s="71">
        <f>IFERROR(ORA_7/NPV_neutral_equity_element_of_RAV,0)</f>
        <v>0</v>
      </c>
      <c r="I26" s="369"/>
      <c r="J26" s="72">
        <f>IFERROR(AVERAGE(D80:INDEX(D80:H80,0,MATCH('RFPR cover'!$C$9,$D$6:$H$6,0)))/AVERAGE($D$90:INDEX($D$90:$H$90,0,MATCH('RFPR cover'!$C$9,$D$6:$H$6,0))),0)</f>
        <v>0</v>
      </c>
      <c r="K26" s="72">
        <f t="shared" si="7"/>
        <v>0</v>
      </c>
    </row>
    <row r="27" spans="1:11">
      <c r="A27" s="370" t="s">
        <v>501</v>
      </c>
      <c r="B27" s="178" t="str">
        <f t="shared" si="6"/>
        <v/>
      </c>
      <c r="C27" s="177" t="s">
        <v>486</v>
      </c>
      <c r="D27" s="71">
        <f>IFERROR(ORA_8/NPV_neutral_equity_element_of_RAV,0)</f>
        <v>0</v>
      </c>
      <c r="E27" s="71">
        <f>IFERROR(ORA_8/NPV_neutral_equity_element_of_RAV,0)</f>
        <v>0</v>
      </c>
      <c r="F27" s="71">
        <f>IFERROR(ORA_8/NPV_neutral_equity_element_of_RAV,0)</f>
        <v>0</v>
      </c>
      <c r="G27" s="71">
        <f>IFERROR(ORA_8/NPV_neutral_equity_element_of_RAV,0)</f>
        <v>0</v>
      </c>
      <c r="H27" s="71">
        <f>IFERROR(ORA_8/NPV_neutral_equity_element_of_RAV,0)</f>
        <v>0</v>
      </c>
      <c r="I27" s="369"/>
      <c r="J27" s="72">
        <f>IFERROR(AVERAGE(D81:INDEX(D81:H81,0,MATCH('RFPR cover'!$C$9,$D$6:$H$6,0)))/AVERAGE($D$90:INDEX($D$90:$H$90,0,MATCH('RFPR cover'!$C$9,$D$6:$H$6,0))),0)</f>
        <v>0</v>
      </c>
      <c r="K27" s="72">
        <f t="shared" si="7"/>
        <v>0</v>
      </c>
    </row>
    <row r="28" spans="1:11" ht="14" thickBot="1">
      <c r="B28" s="178" t="str">
        <f t="shared" ref="B28:B30" si="8">B82</f>
        <v>Penalties and fines (Other Activities)</v>
      </c>
      <c r="C28" s="177" t="s">
        <v>486</v>
      </c>
      <c r="D28" s="371">
        <f>IFERROR(Penalties_and_fines/NPV_neutral_equity_element_of_RAV,0)</f>
        <v>-1.6414346795266394E-3</v>
      </c>
      <c r="E28" s="371">
        <f>IFERROR(Penalties_and_fines/NPV_neutral_equity_element_of_RAV,0)</f>
        <v>-1.6930451686567173E-3</v>
      </c>
      <c r="F28" s="371">
        <f>IFERROR(Penalties_and_fines/NPV_neutral_equity_element_of_RAV,0)</f>
        <v>-1.9539664714387536E-3</v>
      </c>
      <c r="G28" s="371">
        <f>IFERROR(Penalties_and_fines/NPV_neutral_equity_element_of_RAV,0)</f>
        <v>-5.7871226689429974E-4</v>
      </c>
      <c r="H28" s="371">
        <f>IFERROR(Penalties_and_fines/NPV_neutral_equity_element_of_RAV,0)</f>
        <v>-5.6271940648655139E-4</v>
      </c>
      <c r="I28" s="369"/>
      <c r="J28" s="72">
        <f>IFERROR(AVERAGE(D82:INDEX(D82:H82,0,MATCH('RFPR cover'!$C$9,$D$6:$H$6,0)))/AVERAGE($D$90:INDEX($D$90:$H$90,0,MATCH('RFPR cover'!$C$9,$D$6:$H$6,0))),0)</f>
        <v>-1.7642320017251735E-3</v>
      </c>
      <c r="K28" s="72">
        <f t="shared" si="7"/>
        <v>-1.2762893913367047E-3</v>
      </c>
    </row>
    <row r="29" spans="1:11" ht="14" thickBot="1">
      <c r="B29" s="179" t="str">
        <f t="shared" si="8"/>
        <v>RoRE - Operational performance</v>
      </c>
      <c r="C29" s="69" t="s">
        <v>486</v>
      </c>
      <c r="D29" s="166">
        <f>SUM(D11:D28)</f>
        <v>5.2880044363356173E-2</v>
      </c>
      <c r="E29" s="167">
        <f t="shared" ref="E29:H29" si="9">SUM(E11:E28)</f>
        <v>3.6740840408467042E-2</v>
      </c>
      <c r="F29" s="167">
        <f t="shared" si="9"/>
        <v>3.0702661773140672E-2</v>
      </c>
      <c r="G29" s="167">
        <f t="shared" si="9"/>
        <v>3.5598737835987167E-2</v>
      </c>
      <c r="H29" s="168">
        <f t="shared" si="9"/>
        <v>3.8194372894244467E-2</v>
      </c>
      <c r="I29" s="372"/>
      <c r="J29" s="170">
        <f>SUM(J11:J28)</f>
        <v>4.0017175687924816E-2</v>
      </c>
      <c r="K29" s="168">
        <f>SUM(K11:K28)</f>
        <v>3.8744820308844671E-2</v>
      </c>
    </row>
    <row r="30" spans="1:11">
      <c r="B30" s="178" t="str">
        <f t="shared" si="8"/>
        <v>Debt performance - at notional gearing</v>
      </c>
      <c r="C30" s="177" t="s">
        <v>486</v>
      </c>
      <c r="D30" s="373">
        <f>IFERROR(Debt_performance___at_notional_gearing/NPV_neutral_equity_element_of_RAV,0)</f>
        <v>4.3716167607117939E-2</v>
      </c>
      <c r="E30" s="373">
        <f>IFERROR(Debt_performance___at_notional_gearing/NPV_neutral_equity_element_of_RAV,0)</f>
        <v>7.8241497576492625E-2</v>
      </c>
      <c r="F30" s="373">
        <f>IFERROR(Debt_performance___at_notional_gearing/NPV_neutral_equity_element_of_RAV,0)</f>
        <v>6.135858040697055E-2</v>
      </c>
      <c r="G30" s="373">
        <f>IFERROR(Debt_performance___at_notional_gearing/NPV_neutral_equity_element_of_RAV,0)</f>
        <v>1.9456605376818516E-2</v>
      </c>
      <c r="H30" s="373">
        <f>IFERROR(Debt_performance___at_notional_gearing/NPV_neutral_equity_element_of_RAV,0)</f>
        <v>8.9832574797471063E-3</v>
      </c>
      <c r="I30" s="369"/>
      <c r="J30" s="169">
        <f>IFERROR(AVERAGE(D84:INDEX(D84:H84,0,MATCH('RFPR cover'!$C$9,$D$6:$H$6,0)))/AVERAGE($D$90:INDEX($D$90:$H$90,0,MATCH('RFPR cover'!$C$9,$D$6:$H$6,0))),0)</f>
        <v>6.1160432282904562E-2</v>
      </c>
      <c r="K30" s="169">
        <f>IFERROR(AVERAGE(D84:H84)/AVERAGE($D$90:$H$90),0)</f>
        <v>4.1957006006199893E-2</v>
      </c>
    </row>
    <row r="31" spans="1:11" ht="14" thickBot="1">
      <c r="B31" s="178" t="str">
        <f>B86</f>
        <v>Tax performance - at notional gearing</v>
      </c>
      <c r="C31" s="177" t="s">
        <v>486</v>
      </c>
      <c r="D31" s="371">
        <f>IFERROR(Tax_performance___at_notional_gearing/NPV_neutral_equity_element_of_RAV,0)</f>
        <v>1.7471731081641247E-3</v>
      </c>
      <c r="E31" s="371">
        <f>IFERROR(Tax_performance___at_notional_gearing/NPV_neutral_equity_element_of_RAV,0)</f>
        <v>2.3717115867161131E-3</v>
      </c>
      <c r="F31" s="371">
        <f>IFERROR(Tax_performance___at_notional_gearing/NPV_neutral_equity_element_of_RAV,0)</f>
        <v>-4.3894094743700393E-3</v>
      </c>
      <c r="G31" s="371">
        <f>IFERROR(Tax_performance___at_notional_gearing/NPV_neutral_equity_element_of_RAV,0)</f>
        <v>1.1778143657258995E-2</v>
      </c>
      <c r="H31" s="371">
        <f>IFERROR(Tax_performance___at_notional_gearing/NPV_neutral_equity_element_of_RAV,0)</f>
        <v>7.6752929579582856E-4</v>
      </c>
      <c r="I31" s="369"/>
      <c r="J31" s="33">
        <f>IFERROR(AVERAGE(D86:INDEX(D86:H86,0,MATCH('RFPR cover'!$C$9,$D$6:$H$6,0)))/AVERAGE($D$90:INDEX($D$90:$H$90,0,MATCH('RFPR cover'!$C$9,$D$6:$H$6,0))),0)</f>
        <v>-1.1928183762307124E-4</v>
      </c>
      <c r="K31" s="33">
        <f>IFERROR(AVERAGE(D86:H86)/AVERAGE($D$90:$H$90),0)</f>
        <v>2.4795169077828035E-3</v>
      </c>
    </row>
    <row r="32" spans="1:11" ht="14" thickBot="1">
      <c r="B32" s="179" t="str">
        <f>B88</f>
        <v>RoRE - including financing and tax</v>
      </c>
      <c r="C32" s="69" t="s">
        <v>486</v>
      </c>
      <c r="D32" s="166">
        <f>SUM(D29:D31)</f>
        <v>9.8343385078638226E-2</v>
      </c>
      <c r="E32" s="167">
        <f t="shared" ref="E32:H32" si="10">SUM(E29:E31)</f>
        <v>0.11735404957167578</v>
      </c>
      <c r="F32" s="167">
        <f t="shared" si="10"/>
        <v>8.7671832705741179E-2</v>
      </c>
      <c r="G32" s="167">
        <f t="shared" si="10"/>
        <v>6.6833486870064684E-2</v>
      </c>
      <c r="H32" s="168">
        <f t="shared" si="10"/>
        <v>4.79451596697874E-2</v>
      </c>
      <c r="I32" s="372"/>
      <c r="J32" s="170">
        <f>SUM(J29:J31)</f>
        <v>0.10105832613320631</v>
      </c>
      <c r="K32" s="168">
        <f>SUM(K29:K31)</f>
        <v>8.3181343222827372E-2</v>
      </c>
    </row>
    <row r="36" spans="1:13">
      <c r="B36" s="366" t="s">
        <v>502</v>
      </c>
      <c r="C36" s="38"/>
      <c r="D36" s="38"/>
      <c r="E36" s="38"/>
      <c r="F36" s="38"/>
      <c r="G36" s="38"/>
      <c r="H36" s="38"/>
      <c r="I36" s="367"/>
      <c r="J36" s="38"/>
      <c r="K36" s="38"/>
      <c r="L36" s="38"/>
    </row>
    <row r="37" spans="1:13">
      <c r="B37" s="368"/>
      <c r="I37" s="10"/>
    </row>
    <row r="38" spans="1:13">
      <c r="B38" s="178" t="s">
        <v>485</v>
      </c>
      <c r="C38" s="177" t="s">
        <v>486</v>
      </c>
      <c r="D38" s="71">
        <f>IFERROR(Equity_Return_on_the_RAV/Equity_RAV_based_on_actual_gearing,0)</f>
        <v>4.7220158073649848E-2</v>
      </c>
      <c r="E38" s="71">
        <f>IFERROR(Equity_Return_on_the_RAV/Equity_RAV_based_on_actual_gearing,0)</f>
        <v>4.5094417782280002E-2</v>
      </c>
      <c r="F38" s="71">
        <f>IFERROR(Equity_Return_on_the_RAV/Equity_RAV_based_on_actual_gearing,0)</f>
        <v>5.1329830943188035E-2</v>
      </c>
      <c r="G38" s="71">
        <f>IFERROR(Equity_Return_on_the_RAV/Equity_RAV_based_on_actual_gearing,0)</f>
        <v>5.6120247306510142E-2</v>
      </c>
      <c r="H38" s="71">
        <f>IFERROR(Equity_Return_on_the_RAV/Equity_RAV_based_on_actual_gearing,0)</f>
        <v>5.7474672565010834E-2</v>
      </c>
      <c r="I38" s="369"/>
      <c r="J38" s="30">
        <f>IFERROR(AVERAGE(D65:INDEX(D65:H65,0,MATCH('RFPR cover'!$C$9,$D$6:$H$6,0)))/AVERAGE($D$91:INDEX($D$91:$H$91,0,MATCH('RFPR cover'!$C$9,$D$6:$H$6,0))),0)</f>
        <v>4.793617702003039E-2</v>
      </c>
      <c r="K38" s="72">
        <f t="shared" ref="K38:K48" si="11">IFERROR(AVERAGE(D65:H65)/AVERAGE($D$91:$H$91),0)</f>
        <v>5.1509090614076269E-2</v>
      </c>
      <c r="M38" s="374"/>
    </row>
    <row r="39" spans="1:13">
      <c r="B39" s="178" t="str">
        <f t="shared" ref="B39:B46" si="12">B66</f>
        <v>Totex outperformance</v>
      </c>
      <c r="C39" s="177" t="s">
        <v>486</v>
      </c>
      <c r="D39" s="71">
        <f>IFERROR(Totex_outperformance/Equity_RAV_based_on_actual_gearing,0)</f>
        <v>8.9941729094559063E-3</v>
      </c>
      <c r="E39" s="71">
        <f>IFERROR(Totex_outperformance/Equity_RAV_based_on_actual_gearing,0)</f>
        <v>-8.6139573136201353E-3</v>
      </c>
      <c r="F39" s="71">
        <f>IFERROR(Totex_outperformance/Equity_RAV_based_on_actual_gearing,0)</f>
        <v>-2.1677285391255241E-2</v>
      </c>
      <c r="G39" s="71">
        <f>IFERROR(Totex_outperformance/Equity_RAV_based_on_actual_gearing,0)</f>
        <v>-2.2582553149700257E-2</v>
      </c>
      <c r="H39" s="71">
        <f>IFERROR(Totex_outperformance/Equity_RAV_based_on_actual_gearing,0)</f>
        <v>-2.0098795674384672E-2</v>
      </c>
      <c r="I39" s="369"/>
      <c r="J39" s="30">
        <f>IFERROR(AVERAGE(D66:INDEX(D66:H66,0,MATCH('RFPR cover'!$C$9,$D$6:$H$6,0)))/AVERAGE($D$91:INDEX($D$91:$H$91,0,MATCH('RFPR cover'!$C$9,$D$6:$H$6,0))),0)</f>
        <v>-7.6071068804916663E-3</v>
      </c>
      <c r="K39" s="72">
        <f t="shared" si="11"/>
        <v>-1.3155503054284689E-2</v>
      </c>
    </row>
    <row r="40" spans="1:13">
      <c r="A40" s="370" t="s">
        <v>487</v>
      </c>
      <c r="B40" s="178" t="str">
        <f t="shared" si="12"/>
        <v>Business Plan Incentive</v>
      </c>
      <c r="C40" s="177" t="s">
        <v>486</v>
      </c>
      <c r="D40" s="71">
        <f>IFERROR(Business_Plan_Incentive/Equity_RAV_based_on_actual_gearing,0)</f>
        <v>-1.2870481063950056E-18</v>
      </c>
      <c r="E40" s="71">
        <f>IFERROR(Business_Plan_Incentive/Equity_RAV_based_on_actual_gearing,0)</f>
        <v>-1.2073867650706554E-18</v>
      </c>
      <c r="F40" s="71">
        <f>IFERROR(Business_Plan_Incentive/Equity_RAV_based_on_actual_gearing,0)</f>
        <v>-1.1662157200008828E-18</v>
      </c>
      <c r="G40" s="71">
        <f>IFERROR(Business_Plan_Incentive/Equity_RAV_based_on_actual_gearing,0)</f>
        <v>-1.1861735549816695E-18</v>
      </c>
      <c r="H40" s="71">
        <f>IFERROR(Business_Plan_Incentive/Equity_RAV_based_on_actual_gearing,0)</f>
        <v>-1.2146088959243028E-18</v>
      </c>
      <c r="I40" s="369"/>
      <c r="J40" s="30">
        <f>IFERROR(AVERAGE(D67:INDEX(D67:H67,0,MATCH('RFPR cover'!$C$9,$D$6:$H$6,0)))/AVERAGE($D$91:INDEX($D$91:$H$91,0,MATCH('RFPR cover'!$C$9,$D$6:$H$6,0))),0)</f>
        <v>-1.2181845489896023E-18</v>
      </c>
      <c r="K40" s="72">
        <f t="shared" si="11"/>
        <v>-1.2109357320000389E-18</v>
      </c>
    </row>
    <row r="41" spans="1:13">
      <c r="A41" s="370" t="s">
        <v>488</v>
      </c>
      <c r="B41" s="178" t="str">
        <f t="shared" si="12"/>
        <v>Customer Satisfaction Survey ODI - (SpC 4.2)</v>
      </c>
      <c r="C41" s="177" t="s">
        <v>486</v>
      </c>
      <c r="D41" s="71">
        <f>IFERROR(ODI_1/Equity_RAV_based_on_actual_gearing,0)</f>
        <v>8.9216653918583244E-5</v>
      </c>
      <c r="E41" s="71">
        <f>IFERROR(ODI_1/Equity_RAV_based_on_actual_gearing,0)</f>
        <v>5.1804931613835706E-4</v>
      </c>
      <c r="F41" s="71">
        <f>IFERROR(ODI_1/Equity_RAV_based_on_actual_gearing,0)</f>
        <v>1.1437449618618577E-3</v>
      </c>
      <c r="G41" s="71">
        <f>IFERROR(ODI_1/Equity_RAV_based_on_actual_gearing,0)</f>
        <v>1.8549562363922288E-3</v>
      </c>
      <c r="H41" s="71">
        <f>IFERROR(ODI_1/Equity_RAV_based_on_actual_gearing,0)</f>
        <v>2.0310670922678419E-3</v>
      </c>
      <c r="I41" s="369"/>
      <c r="J41" s="30">
        <f>IFERROR(AVERAGE(D68:INDEX(D68:H68,0,MATCH('RFPR cover'!$C$9,$D$6:$H$6,0)))/AVERAGE($D$91:INDEX($D$91:$H$91,0,MATCH('RFPR cover'!$C$9,$D$6:$H$6,0))),0)</f>
        <v>6.0061261609687733E-4</v>
      </c>
      <c r="K41" s="72">
        <f t="shared" si="11"/>
        <v>1.1419441072337728E-3</v>
      </c>
    </row>
    <row r="42" spans="1:13">
      <c r="A42" s="370" t="s">
        <v>489</v>
      </c>
      <c r="B42" s="178" t="str">
        <f t="shared" si="12"/>
        <v>Complaints metric ODI - (SpC 4.3)</v>
      </c>
      <c r="C42" s="177" t="s">
        <v>486</v>
      </c>
      <c r="D42" s="71">
        <f>IFERROR(ODI_2/Equity_RAV_based_on_actual_gearing,0)</f>
        <v>0</v>
      </c>
      <c r="E42" s="71">
        <f>IFERROR(ODI_2/Equity_RAV_based_on_actual_gearing,0)</f>
        <v>0</v>
      </c>
      <c r="F42" s="71">
        <f>IFERROR(ODI_2/Equity_RAV_based_on_actual_gearing,0)</f>
        <v>0</v>
      </c>
      <c r="G42" s="71">
        <f>IFERROR(ODI_2/Equity_RAV_based_on_actual_gearing,0)</f>
        <v>0</v>
      </c>
      <c r="H42" s="71">
        <f>IFERROR(ODI_2/Equity_RAV_based_on_actual_gearing,0)</f>
        <v>0</v>
      </c>
      <c r="I42" s="369"/>
      <c r="J42" s="30">
        <f>IFERROR(AVERAGE(D69:INDEX(D69:H69,0,MATCH('RFPR cover'!$C$9,$D$6:$H$6,0)))/AVERAGE($D$91:INDEX($D$91:$H$91,0,MATCH('RFPR cover'!$C$9,$D$6:$H$6,0))),0)</f>
        <v>0</v>
      </c>
      <c r="K42" s="72">
        <f t="shared" si="11"/>
        <v>0</v>
      </c>
    </row>
    <row r="43" spans="1:13">
      <c r="A43" s="370" t="s">
        <v>490</v>
      </c>
      <c r="B43" s="178" t="str">
        <f t="shared" si="12"/>
        <v>Unplanned Interruption Mean Duration ODI [NGN, SGN and WWU] - (SpC 4.5)</v>
      </c>
      <c r="C43" s="177" t="s">
        <v>486</v>
      </c>
      <c r="D43" s="71">
        <f>IFERROR(ODI_3/Equity_RAV_based_on_actual_gearing,0)</f>
        <v>0</v>
      </c>
      <c r="E43" s="71">
        <f>IFERROR(ODI_3/Equity_RAV_based_on_actual_gearing,0)</f>
        <v>0</v>
      </c>
      <c r="F43" s="71">
        <f>IFERROR(ODI_3/Equity_RAV_based_on_actual_gearing,0)</f>
        <v>0</v>
      </c>
      <c r="G43" s="71">
        <f>IFERROR(ODI_3/Equity_RAV_based_on_actual_gearing,0)</f>
        <v>0</v>
      </c>
      <c r="H43" s="71">
        <f>IFERROR(ODI_3/Equity_RAV_based_on_actual_gearing,0)</f>
        <v>0</v>
      </c>
      <c r="I43" s="369"/>
      <c r="J43" s="30">
        <f>IFERROR(AVERAGE(D70:INDEX(D70:H70,0,MATCH('RFPR cover'!$C$9,$D$6:$H$6,0)))/AVERAGE($D$91:INDEX($D$91:$H$91,0,MATCH('RFPR cover'!$C$9,$D$6:$H$6,0))),0)</f>
        <v>0</v>
      </c>
      <c r="K43" s="72">
        <f t="shared" si="11"/>
        <v>0</v>
      </c>
    </row>
    <row r="44" spans="1:13">
      <c r="A44" s="370" t="s">
        <v>491</v>
      </c>
      <c r="B44" s="178" t="str">
        <f t="shared" si="12"/>
        <v>Unplanned Interruption Mean Duration ODI [Cadent only]- (SpC 4.6)</v>
      </c>
      <c r="C44" s="177" t="s">
        <v>486</v>
      </c>
      <c r="D44" s="71">
        <f>IFERROR(ODI_4/Equity_RAV_based_on_actual_gearing,0)</f>
        <v>0</v>
      </c>
      <c r="E44" s="71">
        <f>IFERROR(ODI_4/Equity_RAV_based_on_actual_gearing,0)</f>
        <v>0</v>
      </c>
      <c r="F44" s="71">
        <f>IFERROR(ODI_4/Equity_RAV_based_on_actual_gearing,0)</f>
        <v>0</v>
      </c>
      <c r="G44" s="71">
        <f>IFERROR(ODI_4/Equity_RAV_based_on_actual_gearing,0)</f>
        <v>0</v>
      </c>
      <c r="H44" s="71">
        <f>IFERROR(ODI_4/Equity_RAV_based_on_actual_gearing,0)</f>
        <v>0</v>
      </c>
      <c r="I44" s="369"/>
      <c r="J44" s="30">
        <f>IFERROR(AVERAGE(D71:INDEX(D71:H71,0,MATCH('RFPR cover'!$C$9,$D$6:$H$6,0)))/AVERAGE($D$91:INDEX($D$91:$H$91,0,MATCH('RFPR cover'!$C$9,$D$6:$H$6,0))),0)</f>
        <v>0</v>
      </c>
      <c r="K44" s="72">
        <f t="shared" si="11"/>
        <v>0</v>
      </c>
    </row>
    <row r="45" spans="1:13">
      <c r="A45" s="370" t="s">
        <v>492</v>
      </c>
      <c r="B45" s="178" t="str">
        <f t="shared" si="12"/>
        <v>Shrinkage Management ODI- (SpC 4.4)</v>
      </c>
      <c r="C45" s="177" t="s">
        <v>486</v>
      </c>
      <c r="D45" s="71">
        <f>IFERROR(ODI_5/Equity_RAV_based_on_actual_gearing,0)</f>
        <v>-2.5400266168564044E-4</v>
      </c>
      <c r="E45" s="71">
        <f>IFERROR(ODI_5/Equity_RAV_based_on_actual_gearing,0)</f>
        <v>1.7029651144451284E-4</v>
      </c>
      <c r="F45" s="71">
        <f>IFERROR(ODI_5/Equity_RAV_based_on_actual_gearing,0)</f>
        <v>2.0236278100586411E-5</v>
      </c>
      <c r="G45" s="71">
        <f>IFERROR(ODI_5/Equity_RAV_based_on_actual_gearing,0)</f>
        <v>1.7302175015609147E-5</v>
      </c>
      <c r="H45" s="71">
        <f>IFERROR(ODI_5/Equity_RAV_based_on_actual_gearing,0)</f>
        <v>1.7028038476916887E-5</v>
      </c>
      <c r="I45" s="369"/>
      <c r="J45" s="30">
        <f>IFERROR(AVERAGE(D72:INDEX(D72:H72,0,MATCH('RFPR cover'!$C$9,$D$6:$H$6,0)))/AVERAGE($D$91:INDEX($D$91:$H$91,0,MATCH('RFPR cover'!$C$9,$D$6:$H$6,0))),0)</f>
        <v>-1.581823441698194E-5</v>
      </c>
      <c r="K45" s="72">
        <f t="shared" si="11"/>
        <v>-2.506482187314175E-6</v>
      </c>
    </row>
    <row r="46" spans="1:13">
      <c r="A46" s="370" t="s">
        <v>493</v>
      </c>
      <c r="B46" s="178" t="str">
        <f t="shared" si="12"/>
        <v>Collaborative streetworks ODI [Cadent Lon &amp; EoE, SGN So only]- (SpC 4.7)</v>
      </c>
      <c r="C46" s="177" t="s">
        <v>486</v>
      </c>
      <c r="D46" s="71">
        <f>IFERROR(ODI_6/Equity_RAV_based_on_actual_gearing,0)</f>
        <v>1.1179482432058289E-3</v>
      </c>
      <c r="E46" s="71">
        <f>IFERROR(ODI_6/Equity_RAV_based_on_actual_gearing,0)</f>
        <v>9.7175619639000186E-4</v>
      </c>
      <c r="F46" s="71">
        <f>IFERROR(ODI_6/Equity_RAV_based_on_actual_gearing,0)</f>
        <v>1.0129915182625431E-3</v>
      </c>
      <c r="G46" s="71">
        <f>IFERROR(ODI_6/Equity_RAV_based_on_actual_gearing,0)</f>
        <v>1.0303271768475647E-3</v>
      </c>
      <c r="H46" s="71">
        <f>IFERROR(ODI_6/Equity_RAV_based_on_actual_gearing,0)</f>
        <v>1.0550265173724629E-3</v>
      </c>
      <c r="I46" s="369"/>
      <c r="J46" s="30">
        <f>IFERROR(AVERAGE(D73:INDEX(D73:H73,0,MATCH('RFPR cover'!$C$9,$D$6:$H$6,0)))/AVERAGE($D$91:INDEX($D$91:$H$91,0,MATCH('RFPR cover'!$C$9,$D$6:$H$6,0))),0)</f>
        <v>1.0322371575387642E-3</v>
      </c>
      <c r="K46" s="72">
        <f t="shared" si="11"/>
        <v>1.0363912752338008E-3</v>
      </c>
    </row>
    <row r="47" spans="1:13">
      <c r="A47" s="370" t="s">
        <v>494</v>
      </c>
      <c r="B47" s="178" t="str">
        <f t="shared" ref="B47" si="13">B74</f>
        <v>Network innovation input for RORE</v>
      </c>
      <c r="C47" s="177" t="s">
        <v>486</v>
      </c>
      <c r="D47" s="71">
        <f>IFERROR(ORA_1/Equity_RAV_based_on_actual_gearing,0)</f>
        <v>-1.1320994867907127E-4</v>
      </c>
      <c r="E47" s="71">
        <f>IFERROR(ORA_1/Equity_RAV_based_on_actual_gearing,0)</f>
        <v>-1.0620286299344283E-4</v>
      </c>
      <c r="F47" s="71">
        <f>IFERROR(ORA_1/Equity_RAV_based_on_actual_gearing,0)</f>
        <v>-1.0258141957089044E-4</v>
      </c>
      <c r="G47" s="71">
        <f>IFERROR(ORA_1/Equity_RAV_based_on_actual_gearing,0)</f>
        <v>-1.0433692930101921E-4</v>
      </c>
      <c r="H47" s="71">
        <f>IFERROR(ORA_1/Equity_RAV_based_on_actual_gearing,0)</f>
        <v>-1.0683812834151523E-4</v>
      </c>
      <c r="I47" s="369"/>
      <c r="J47" s="30">
        <f>IFERROR(AVERAGE(D74:INDEX(D74:H74,0,MATCH('RFPR cover'!$C$9,$D$6:$H$6,0)))/AVERAGE($D$91:INDEX($D$91:$H$91,0,MATCH('RFPR cover'!$C$9,$D$6:$H$6,0))),0)</f>
        <v>-1.0715264611129043E-4</v>
      </c>
      <c r="K47" s="72">
        <f t="shared" si="11"/>
        <v>-1.065150334258788E-4</v>
      </c>
    </row>
    <row r="48" spans="1:13">
      <c r="A48" s="370" t="s">
        <v>495</v>
      </c>
      <c r="B48" s="178" t="str">
        <f t="shared" ref="B48" si="14">B75</f>
        <v>Carry-over Network innovation input for RORE</v>
      </c>
      <c r="C48" s="177" t="s">
        <v>486</v>
      </c>
      <c r="D48" s="71">
        <f>IFERROR(ORA_2/Equity_RAV_based_on_actual_gearing,0)</f>
        <v>-7.3192579681185201E-5</v>
      </c>
      <c r="E48" s="71">
        <f>IFERROR(ORA_2/Equity_RAV_based_on_actual_gearing,0)</f>
        <v>0</v>
      </c>
      <c r="F48" s="71">
        <f>IFERROR(ORA_2/Equity_RAV_based_on_actual_gearing,0)</f>
        <v>0</v>
      </c>
      <c r="G48" s="71">
        <f>IFERROR(ORA_2/Equity_RAV_based_on_actual_gearing,0)</f>
        <v>0</v>
      </c>
      <c r="H48" s="71">
        <f>IFERROR(ORA_2/Equity_RAV_based_on_actual_gearing,0)</f>
        <v>0</v>
      </c>
      <c r="I48" s="369"/>
      <c r="J48" s="30">
        <f>IFERROR(AVERAGE(D75:INDEX(D75:H75,0,MATCH('RFPR cover'!$C$9,$D$6:$H$6,0)))/AVERAGE($D$91:INDEX($D$91:$H$91,0,MATCH('RFPR cover'!$C$9,$D$6:$H$6,0))),0)</f>
        <v>-2.3092135982922763E-5</v>
      </c>
      <c r="K48" s="72">
        <f t="shared" si="11"/>
        <v>-1.3772835624841122E-5</v>
      </c>
    </row>
    <row r="49" spans="1:12">
      <c r="A49" s="370" t="s">
        <v>496</v>
      </c>
      <c r="B49" s="256" t="str">
        <f>B76</f>
        <v>Strategic innovation input for RORE</v>
      </c>
      <c r="C49" s="177" t="s">
        <v>486</v>
      </c>
      <c r="D49" s="71">
        <f>IFERROR(ORA_3/Equity_RAV_based_on_actual_gearing,0)</f>
        <v>0</v>
      </c>
      <c r="E49" s="71">
        <f>IFERROR(ORA_3/Equity_RAV_based_on_actual_gearing,0)</f>
        <v>0</v>
      </c>
      <c r="F49" s="71">
        <f>IFERROR(ORA_3/Equity_RAV_based_on_actual_gearing,0)</f>
        <v>0</v>
      </c>
      <c r="G49" s="71">
        <f>IFERROR(ORA_3/Equity_RAV_based_on_actual_gearing,0)</f>
        <v>0</v>
      </c>
      <c r="H49" s="71">
        <f>IFERROR(ORA_3/Equity_RAV_based_on_actual_gearing,0)</f>
        <v>0</v>
      </c>
      <c r="I49" s="369"/>
      <c r="J49" s="30">
        <f>IFERROR(AVERAGE(D76:INDEX(D76:H76,0,MATCH('RFPR cover'!$C$9,$D$6:$H$6,0)))/AVERAGE($D$91:INDEX($D$91:$H$91,0,MATCH('RFPR cover'!$C$9,$D$6:$H$6,0))),0)</f>
        <v>0</v>
      </c>
      <c r="K49" s="72">
        <f>IFERROR(AVERAGE(D76:H76)/AVERAGE($D$91:$H$91),0)</f>
        <v>0</v>
      </c>
    </row>
    <row r="50" spans="1:12">
      <c r="A50" s="370" t="s">
        <v>497</v>
      </c>
      <c r="B50" s="178" t="str">
        <f t="shared" ref="B50:B54" si="15">B77</f>
        <v/>
      </c>
      <c r="C50" s="177" t="s">
        <v>486</v>
      </c>
      <c r="D50" s="71">
        <f>IFERROR(ORA_4/Equity_RAV_based_on_actual_gearing,0)</f>
        <v>0</v>
      </c>
      <c r="E50" s="71">
        <f>IFERROR(ORA_4/Equity_RAV_based_on_actual_gearing,0)</f>
        <v>0</v>
      </c>
      <c r="F50" s="71">
        <f>IFERROR(ORA_4/Equity_RAV_based_on_actual_gearing,0)</f>
        <v>0</v>
      </c>
      <c r="G50" s="71">
        <f>IFERROR(ORA_4/Equity_RAV_based_on_actual_gearing,0)</f>
        <v>0</v>
      </c>
      <c r="H50" s="71">
        <f>IFERROR(ORA_4/Equity_RAV_based_on_actual_gearing,0)</f>
        <v>0</v>
      </c>
      <c r="I50" s="369"/>
      <c r="J50" s="30">
        <f>IFERROR(AVERAGE(D77:INDEX(D77:H77,0,MATCH('RFPR cover'!$C$9,$D$6:$H$6,0)))/AVERAGE($D$91:INDEX($D$91:$H$91,0,MATCH('RFPR cover'!$C$9,$D$6:$H$6,0))),0)</f>
        <v>0</v>
      </c>
      <c r="K50" s="72">
        <f t="shared" ref="K50:K55" si="16">IFERROR(AVERAGE(D77:H77)/AVERAGE($D$91:$H$91),0)</f>
        <v>0</v>
      </c>
    </row>
    <row r="51" spans="1:12">
      <c r="A51" s="370" t="s">
        <v>498</v>
      </c>
      <c r="B51" s="178" t="str">
        <f t="shared" si="15"/>
        <v/>
      </c>
      <c r="C51" s="177" t="s">
        <v>486</v>
      </c>
      <c r="D51" s="71">
        <f>IFERROR(ORA_5/Equity_RAV_based_on_actual_gearing,0)</f>
        <v>0</v>
      </c>
      <c r="E51" s="71">
        <f>IFERROR(ORA_5/Equity_RAV_based_on_actual_gearing,0)</f>
        <v>0</v>
      </c>
      <c r="F51" s="71">
        <f>IFERROR(ORA_5/Equity_RAV_based_on_actual_gearing,0)</f>
        <v>0</v>
      </c>
      <c r="G51" s="71">
        <f>IFERROR(ORA_5/Equity_RAV_based_on_actual_gearing,0)</f>
        <v>0</v>
      </c>
      <c r="H51" s="71">
        <f>IFERROR(ORA_5/Equity_RAV_based_on_actual_gearing,0)</f>
        <v>0</v>
      </c>
      <c r="I51" s="369"/>
      <c r="J51" s="30">
        <f>IFERROR(AVERAGE(D78:INDEX(D78:H78,0,MATCH('RFPR cover'!$C$9,$D$6:$H$6,0)))/AVERAGE($D$91:INDEX($D$91:$H$91,0,MATCH('RFPR cover'!$C$9,$D$6:$H$6,0))),0)</f>
        <v>0</v>
      </c>
      <c r="K51" s="72">
        <f t="shared" si="16"/>
        <v>0</v>
      </c>
    </row>
    <row r="52" spans="1:12">
      <c r="A52" s="370" t="s">
        <v>499</v>
      </c>
      <c r="B52" s="178" t="str">
        <f t="shared" si="15"/>
        <v/>
      </c>
      <c r="C52" s="177" t="s">
        <v>486</v>
      </c>
      <c r="D52" s="71">
        <f>IFERROR(ORA_6/Equity_RAV_based_on_actual_gearing,0)</f>
        <v>0</v>
      </c>
      <c r="E52" s="71">
        <f>IFERROR(ORA_6/Equity_RAV_based_on_actual_gearing,0)</f>
        <v>0</v>
      </c>
      <c r="F52" s="71">
        <f>IFERROR(ORA_6/Equity_RAV_based_on_actual_gearing,0)</f>
        <v>0</v>
      </c>
      <c r="G52" s="71">
        <f>IFERROR(ORA_6/Equity_RAV_based_on_actual_gearing,0)</f>
        <v>0</v>
      </c>
      <c r="H52" s="71">
        <f>IFERROR(ORA_6/Equity_RAV_based_on_actual_gearing,0)</f>
        <v>0</v>
      </c>
      <c r="I52" s="369"/>
      <c r="J52" s="30">
        <f>IFERROR(AVERAGE(D79:INDEX(D79:H79,0,MATCH('RFPR cover'!$C$9,$D$6:$H$6,0)))/AVERAGE($D$91:INDEX($D$91:$H$91,0,MATCH('RFPR cover'!$C$9,$D$6:$H$6,0))),0)</f>
        <v>0</v>
      </c>
      <c r="K52" s="72">
        <f t="shared" si="16"/>
        <v>0</v>
      </c>
    </row>
    <row r="53" spans="1:12">
      <c r="A53" s="370" t="s">
        <v>500</v>
      </c>
      <c r="B53" s="178" t="str">
        <f t="shared" si="15"/>
        <v/>
      </c>
      <c r="C53" s="177" t="s">
        <v>486</v>
      </c>
      <c r="D53" s="71">
        <f>IFERROR(ORA_7/Equity_RAV_based_on_actual_gearing,0)</f>
        <v>0</v>
      </c>
      <c r="E53" s="71">
        <f>IFERROR(ORA_7/Equity_RAV_based_on_actual_gearing,0)</f>
        <v>0</v>
      </c>
      <c r="F53" s="71">
        <f>IFERROR(ORA_7/Equity_RAV_based_on_actual_gearing,0)</f>
        <v>0</v>
      </c>
      <c r="G53" s="71">
        <f>IFERROR(ORA_7/Equity_RAV_based_on_actual_gearing,0)</f>
        <v>0</v>
      </c>
      <c r="H53" s="71">
        <f>IFERROR(ORA_7/Equity_RAV_based_on_actual_gearing,0)</f>
        <v>0</v>
      </c>
      <c r="I53" s="369"/>
      <c r="J53" s="30">
        <f>IFERROR(AVERAGE(D80:INDEX(D80:H80,0,MATCH('RFPR cover'!$C$9,$D$6:$H$6,0)))/AVERAGE($D$91:INDEX($D$91:$H$91,0,MATCH('RFPR cover'!$C$9,$D$6:$H$6,0))),0)</f>
        <v>0</v>
      </c>
      <c r="K53" s="72">
        <f t="shared" si="16"/>
        <v>0</v>
      </c>
    </row>
    <row r="54" spans="1:12">
      <c r="A54" s="370" t="s">
        <v>501</v>
      </c>
      <c r="B54" s="178" t="str">
        <f t="shared" si="15"/>
        <v/>
      </c>
      <c r="C54" s="177" t="s">
        <v>486</v>
      </c>
      <c r="D54" s="71">
        <f>IFERROR(ORA_8/Equity_RAV_based_on_actual_gearing,0)</f>
        <v>0</v>
      </c>
      <c r="E54" s="71">
        <f>IFERROR(ORA_8/Equity_RAV_based_on_actual_gearing,0)</f>
        <v>0</v>
      </c>
      <c r="F54" s="71">
        <f>IFERROR(ORA_8/Equity_RAV_based_on_actual_gearing,0)</f>
        <v>0</v>
      </c>
      <c r="G54" s="71">
        <f>IFERROR(ORA_8/Equity_RAV_based_on_actual_gearing,0)</f>
        <v>0</v>
      </c>
      <c r="H54" s="71">
        <f>IFERROR(ORA_8/Equity_RAV_based_on_actual_gearing,0)</f>
        <v>0</v>
      </c>
      <c r="I54" s="369"/>
      <c r="J54" s="30">
        <f>IFERROR(AVERAGE(D81:INDEX(D81:H81,0,MATCH('RFPR cover'!$C$9,$D$6:$H$6,0)))/AVERAGE($D$91:INDEX($D$91:$H$91,0,MATCH('RFPR cover'!$C$9,$D$6:$H$6,0))),0)</f>
        <v>0</v>
      </c>
      <c r="K54" s="72">
        <f t="shared" si="16"/>
        <v>0</v>
      </c>
    </row>
    <row r="55" spans="1:12" ht="14" thickBot="1">
      <c r="B55" s="178" t="str">
        <f t="shared" ref="B55:B56" si="17">B82</f>
        <v>Penalties and fines (Other Activities)</v>
      </c>
      <c r="C55" s="177" t="s">
        <v>486</v>
      </c>
      <c r="D55" s="371">
        <f>IFERROR(Penalties_and_fines/Equity_RAV_based_on_actual_gearing,0)</f>
        <v>-1.7154842454394205E-3</v>
      </c>
      <c r="E55" s="371">
        <f>IFERROR(Penalties_and_fines/Equity_RAV_based_on_actual_gearing,0)</f>
        <v>-1.6754457127343067E-3</v>
      </c>
      <c r="F55" s="371">
        <f>IFERROR(Penalties_and_fines/Equity_RAV_based_on_actual_gearing,0)</f>
        <v>-1.8983396099978621E-3</v>
      </c>
      <c r="G55" s="371">
        <f>IFERROR(Penalties_and_fines/Equity_RAV_based_on_actual_gearing,0)</f>
        <v>-5.812475942017192E-4</v>
      </c>
      <c r="H55" s="371">
        <f>IFERROR(Penalties_and_fines/Equity_RAV_based_on_actual_gearing,0)</f>
        <v>-5.8616879637001776E-4</v>
      </c>
      <c r="I55" s="369"/>
      <c r="J55" s="30">
        <f>IFERROR(AVERAGE(D82:INDEX(D82:H82,0,MATCH('RFPR cover'!$C$9,$D$6:$H$6,0)))/AVERAGE($D$91:INDEX($D$91:$H$91,0,MATCH('RFPR cover'!$C$9,$D$6:$H$6,0))),0)</f>
        <v>-1.7656866294365743E-3</v>
      </c>
      <c r="K55" s="72">
        <f t="shared" si="16"/>
        <v>-1.2886634708594107E-3</v>
      </c>
    </row>
    <row r="56" spans="1:12" ht="14" thickBot="1">
      <c r="B56" s="179" t="str">
        <f t="shared" si="17"/>
        <v>RoRE - Operational performance</v>
      </c>
      <c r="C56" s="69" t="s">
        <v>486</v>
      </c>
      <c r="D56" s="166">
        <f t="shared" ref="D56:H56" si="18">SUM(D38:D55)</f>
        <v>5.5265606444744854E-2</v>
      </c>
      <c r="E56" s="167">
        <f t="shared" si="18"/>
        <v>3.6358913916904989E-2</v>
      </c>
      <c r="F56" s="167">
        <f t="shared" si="18"/>
        <v>2.982859728058903E-2</v>
      </c>
      <c r="G56" s="167">
        <f t="shared" si="18"/>
        <v>3.5754695221562542E-2</v>
      </c>
      <c r="H56" s="168">
        <f t="shared" si="18"/>
        <v>3.9785991614031853E-2</v>
      </c>
      <c r="I56" s="372"/>
      <c r="J56" s="170">
        <f>SUM(J38:J55)</f>
        <v>4.0050170267226598E-2</v>
      </c>
      <c r="K56" s="168">
        <f>SUM(K38:K55)</f>
        <v>3.91204651201617E-2</v>
      </c>
    </row>
    <row r="57" spans="1:12">
      <c r="B57" s="178" t="s">
        <v>503</v>
      </c>
      <c r="C57" s="177" t="s">
        <v>486</v>
      </c>
      <c r="D57" s="373">
        <f>IFERROR((Debt_performance___at_notional_gearing+Debt_performance___impact_of_actual_gearing)/Equity_RAV_based_on_actual_gearing,0)</f>
        <v>4.6078281680217638E-2</v>
      </c>
      <c r="E57" s="373">
        <f>IFERROR((Debt_performance___at_notional_gearing+Debt_performance___impact_of_actual_gearing)/Equity_RAV_based_on_actual_gearing,0)</f>
        <v>7.708345208922153E-2</v>
      </c>
      <c r="F57" s="373">
        <f>IFERROR((Debt_performance___at_notional_gearing+Debt_performance___impact_of_actual_gearing)/Equity_RAV_based_on_actual_gearing,0)</f>
        <v>5.8993848763897273E-2</v>
      </c>
      <c r="G57" s="373">
        <f>IFERROR((Debt_performance___at_notional_gearing+Debt_performance___impact_of_actual_gearing)/Equity_RAV_based_on_actual_gearing,0)</f>
        <v>1.9506231705811779E-2</v>
      </c>
      <c r="H57" s="373">
        <f>IFERROR((Debt_performance___at_notional_gearing+Debt_performance___impact_of_actual_gearing)/Equity_RAV_based_on_actual_gearing,0)</f>
        <v>8.652889423462741E-3</v>
      </c>
      <c r="I57" s="369"/>
      <c r="J57" s="169">
        <f>IFERROR((AVERAGE(D84:INDEX(D84:H84,0,MATCH('RFPR cover'!$C$9,$D$6:$H$6,0)))+AVERAGE(D85:INDEX(D85:H85,0,MATCH('RFPR cover'!$C$9,$D$6:$H$6,0))))/AVERAGE($D$91:INDEX($D$91:$H$91,0,MATCH('RFPR cover'!$C$9,$D$6:$H$6,0))),0)</f>
        <v>6.1002802539372611E-2</v>
      </c>
      <c r="K57" s="169">
        <f>IFERROR((AVERAGE(D84:H84)+AVERAGE(D85:H85))/AVERAGE($D$91:$H$91),0)</f>
        <v>4.2091914776636555E-2</v>
      </c>
    </row>
    <row r="58" spans="1:12" ht="14" thickBot="1">
      <c r="B58" s="178" t="s">
        <v>504</v>
      </c>
      <c r="C58" s="177" t="s">
        <v>486</v>
      </c>
      <c r="D58" s="171">
        <f>IFERROR((Tax_performance___at_notional_gearing+Tax_performance___impact_of_actual_gearing)/D$91,0)</f>
        <v>1.7519005537144279E-3</v>
      </c>
      <c r="E58" s="171">
        <f>IFERROR((Tax_performance___at_notional_gearing+Tax_performance___impact_of_actual_gearing)/E$91,0)</f>
        <v>2.4125528580162311E-3</v>
      </c>
      <c r="F58" s="171">
        <f>IFERROR((Tax_performance___at_notional_gearing+Tax_performance___impact_of_actual_gearing)/F$91,0)</f>
        <v>-4.109965402979269E-3</v>
      </c>
      <c r="G58" s="171">
        <f>IFERROR((Tax_performance___at_notional_gearing+Tax_performance___impact_of_actual_gearing)/G$91,0)</f>
        <v>1.1838646649231002E-2</v>
      </c>
      <c r="H58" s="171">
        <f>IFERROR((Tax_performance___at_notional_gearing+Tax_performance___impact_of_actual_gearing)/H$91,0)</f>
        <v>9.7569201110116806E-4</v>
      </c>
      <c r="I58" s="369"/>
      <c r="J58" s="33">
        <f>IFERROR((AVERAGE(D86:INDEX(D86:H86,0,MATCH('RFPR cover'!$C$9,$D$6:$H$6,0)))+AVERAGE(D87:INDEX(D87:H87,0,MATCH('RFPR cover'!$C$9,$D$6:$H$6,0))))/AVERAGE($D$91:INDEX($D$91:$H$91,0,MATCH('RFPR cover'!$C$9,$D$6:$H$6,0))),0)</f>
        <v>-6.6939932975432402E-5</v>
      </c>
      <c r="K58" s="33">
        <f>IFERROR((AVERAGE(D86:H86)+AVERAGE(D87:H87))/AVERAGE($D$91:$H$91),0)</f>
        <v>2.5717805944835311E-3</v>
      </c>
    </row>
    <row r="59" spans="1:12" ht="14" thickBot="1">
      <c r="B59" s="179" t="str">
        <f>B88</f>
        <v>RoRE - including financing and tax</v>
      </c>
      <c r="C59" s="69" t="s">
        <v>486</v>
      </c>
      <c r="D59" s="166">
        <f>SUM(D56:D58)</f>
        <v>0.10309578867867691</v>
      </c>
      <c r="E59" s="167">
        <f t="shared" ref="E59:H59" si="19">SUM(E56:E58)</f>
        <v>0.11585491886414274</v>
      </c>
      <c r="F59" s="167">
        <f t="shared" si="19"/>
        <v>8.4712480641507035E-2</v>
      </c>
      <c r="G59" s="167">
        <f t="shared" si="19"/>
        <v>6.7099573576605315E-2</v>
      </c>
      <c r="H59" s="168">
        <f t="shared" si="19"/>
        <v>4.9414573048595763E-2</v>
      </c>
      <c r="I59" s="372"/>
      <c r="J59" s="170">
        <f>SUM(J56:J58)</f>
        <v>0.10098603287362377</v>
      </c>
      <c r="K59" s="168">
        <f>SUM(K56:K58)</f>
        <v>8.3784160491281776E-2</v>
      </c>
    </row>
    <row r="60" spans="1:12">
      <c r="B60" s="68"/>
      <c r="C60" s="69"/>
      <c r="D60" s="70"/>
      <c r="E60" s="70"/>
      <c r="F60" s="70"/>
      <c r="G60" s="70"/>
      <c r="H60" s="70"/>
      <c r="I60" s="372"/>
      <c r="J60" s="70"/>
      <c r="K60" s="70"/>
    </row>
    <row r="61" spans="1:12">
      <c r="B61" s="68"/>
      <c r="C61" s="69"/>
      <c r="D61" s="70"/>
      <c r="E61" s="70"/>
      <c r="F61" s="70"/>
      <c r="G61" s="70"/>
      <c r="H61" s="70"/>
      <c r="I61" s="372"/>
      <c r="J61" s="70"/>
      <c r="K61" s="70"/>
    </row>
    <row r="62" spans="1:12">
      <c r="B62" s="75" t="s">
        <v>505</v>
      </c>
      <c r="C62" s="76"/>
      <c r="D62" s="77"/>
      <c r="E62" s="77"/>
      <c r="F62" s="77"/>
      <c r="G62" s="77"/>
      <c r="H62" s="77"/>
      <c r="I62" s="375"/>
      <c r="J62" s="77"/>
      <c r="K62" s="77"/>
      <c r="L62" s="38"/>
    </row>
    <row r="63" spans="1:12">
      <c r="B63" s="79" t="str">
        <f>"Input values provided in "&amp;Data!C9&amp;" prices"</f>
        <v>Input values provided in £m 18/19 prices</v>
      </c>
      <c r="C63" s="78"/>
      <c r="D63" s="78"/>
      <c r="E63" s="78"/>
      <c r="F63" s="78"/>
      <c r="G63" s="78"/>
      <c r="H63" s="78"/>
      <c r="I63" s="78"/>
      <c r="J63" s="78"/>
      <c r="K63" s="78"/>
      <c r="L63" s="78"/>
    </row>
    <row r="65" spans="1:12">
      <c r="B65" s="376" t="s">
        <v>506</v>
      </c>
      <c r="C65" s="377" t="str">
        <f>Data!$C$9</f>
        <v>£m 18/19</v>
      </c>
      <c r="D65" s="31">
        <f>'R7 - RAV'!F44</f>
        <v>41.710254818249268</v>
      </c>
      <c r="E65" s="32">
        <f>'R7 - RAV'!G44</f>
        <v>42.460642313441419</v>
      </c>
      <c r="F65" s="32">
        <f>'R7 - RAV'!H44</f>
        <v>50.038136689769416</v>
      </c>
      <c r="G65" s="32">
        <f>'R7 - RAV'!I44</f>
        <v>53.787520566758658</v>
      </c>
      <c r="H65" s="32">
        <f>'R7 - RAV'!J44</f>
        <v>53.796030927544145</v>
      </c>
      <c r="I65" s="34"/>
      <c r="J65" s="18">
        <f>SUM(D65:INDEX(D65:H65,0,MATCH('RFPR cover'!$C$9,$D$6:$H$6,0)))</f>
        <v>134.20903382146008</v>
      </c>
      <c r="K65" s="18">
        <f t="shared" ref="K65:K82" si="20">SUM(D65:H65)</f>
        <v>241.79258531576286</v>
      </c>
      <c r="L65" s="34"/>
    </row>
    <row r="66" spans="1:12">
      <c r="B66" s="376" t="s">
        <v>507</v>
      </c>
      <c r="C66" s="377" t="str">
        <f>Data!$C$9</f>
        <v>£m 18/19</v>
      </c>
      <c r="D66" s="46">
        <f>'R3 - Totex - Reconciliation'!D102</f>
        <v>7.9446842034640266</v>
      </c>
      <c r="E66" s="46">
        <f>'R3 - Totex - Reconciliation'!E102</f>
        <v>-8.1108522603123969</v>
      </c>
      <c r="F66" s="46">
        <f>'R3 - Totex - Reconciliation'!F102</f>
        <v>-21.131785348588227</v>
      </c>
      <c r="G66" s="46">
        <f>'R3 - Totex - Reconciliation'!G102</f>
        <v>-21.643873651435573</v>
      </c>
      <c r="H66" s="46">
        <f>'R3 - Totex - Reconciliation'!H102</f>
        <v>-18.812380922789593</v>
      </c>
      <c r="I66" s="34"/>
      <c r="J66" s="18">
        <f>SUM(D66:INDEX(D66:H66,0,MATCH('RFPR cover'!$C$9,$D$6:$H$6,0)))</f>
        <v>-21.297953405436598</v>
      </c>
      <c r="K66" s="18">
        <f t="shared" si="20"/>
        <v>-61.754207979661764</v>
      </c>
      <c r="L66" s="34"/>
    </row>
    <row r="67" spans="1:12">
      <c r="A67" s="370" t="s">
        <v>487</v>
      </c>
      <c r="B67" s="376" t="s">
        <v>508</v>
      </c>
      <c r="C67" s="377" t="str">
        <f>Data!$C$9</f>
        <v>£m 18/19</v>
      </c>
      <c r="D67" s="43">
        <f>'R4 - Incentives and Other Rev'!D12</f>
        <v>-1.1368683772161603E-15</v>
      </c>
      <c r="E67" s="43">
        <f>'R4 - Incentives and Other Rev'!E12</f>
        <v>-1.1368683772161603E-15</v>
      </c>
      <c r="F67" s="43">
        <f>'R4 - Incentives and Other Rev'!F12</f>
        <v>-1.1368683772161603E-15</v>
      </c>
      <c r="G67" s="43">
        <f>'R4 - Incentives and Other Rev'!G12</f>
        <v>-1.1368683772161603E-15</v>
      </c>
      <c r="H67" s="43">
        <f>'R4 - Incentives and Other Rev'!H12</f>
        <v>-1.1368683772161603E-15</v>
      </c>
      <c r="I67" s="34"/>
      <c r="J67" s="18">
        <f>SUM(D67:INDEX(D67:H67,0,MATCH('RFPR cover'!$C$9,$D$6:$H$6,0)))</f>
        <v>-3.4106051316484808E-15</v>
      </c>
      <c r="K67" s="18">
        <f t="shared" si="20"/>
        <v>-5.6843418860808018E-15</v>
      </c>
      <c r="L67" s="34"/>
    </row>
    <row r="68" spans="1:12">
      <c r="A68" s="370" t="s">
        <v>488</v>
      </c>
      <c r="B68" s="255" t="str">
        <f>'R4 - Incentives and Other Rev'!B14</f>
        <v>Customer Satisfaction Survey ODI - (SpC 4.2)</v>
      </c>
      <c r="C68" s="377" t="str">
        <f>Data!$C$9</f>
        <v>£m 18/19</v>
      </c>
      <c r="D68" s="43">
        <f>'R4 - Incentives and Other Rev'!D14</f>
        <v>7.8806372549019996E-2</v>
      </c>
      <c r="E68" s="43">
        <f>'R4 - Incentives and Other Rev'!E14</f>
        <v>0.48779223227752577</v>
      </c>
      <c r="F68" s="43">
        <f>'R4 - Incentives and Other Rev'!F14</f>
        <v>1.1149630865377675</v>
      </c>
      <c r="G68" s="43">
        <f>'R4 - Incentives and Other Rev'!G14</f>
        <v>1.7778520499108736</v>
      </c>
      <c r="H68" s="43">
        <f>'R4 - Incentives and Other Rev'!H14</f>
        <v>1.9010695187165765</v>
      </c>
      <c r="I68" s="378"/>
      <c r="J68" s="18">
        <f>SUM(D68:INDEX(D68:H68,0,MATCH('RFPR cover'!$C$9,$D$6:$H$6,0)))</f>
        <v>1.6815616913643132</v>
      </c>
      <c r="K68" s="18">
        <f t="shared" si="20"/>
        <v>5.3604832599917636</v>
      </c>
      <c r="L68" s="34"/>
    </row>
    <row r="69" spans="1:12">
      <c r="A69" s="370" t="s">
        <v>489</v>
      </c>
      <c r="B69" s="255" t="str">
        <f>'R4 - Incentives and Other Rev'!B15</f>
        <v>Complaints metric ODI - (SpC 4.3)</v>
      </c>
      <c r="C69" s="377" t="str">
        <f>Data!$C$9</f>
        <v>£m 18/19</v>
      </c>
      <c r="D69" s="43">
        <f>'R4 - Incentives and Other Rev'!D15</f>
        <v>0</v>
      </c>
      <c r="E69" s="43">
        <f>'R4 - Incentives and Other Rev'!E15</f>
        <v>0</v>
      </c>
      <c r="F69" s="43">
        <f>'R4 - Incentives and Other Rev'!F15</f>
        <v>0</v>
      </c>
      <c r="G69" s="43">
        <f>'R4 - Incentives and Other Rev'!G15</f>
        <v>0</v>
      </c>
      <c r="H69" s="43">
        <f>'R4 - Incentives and Other Rev'!H15</f>
        <v>0</v>
      </c>
      <c r="I69" s="378"/>
      <c r="J69" s="18">
        <f>SUM(D69:INDEX(D69:H69,0,MATCH('RFPR cover'!$C$9,$D$6:$H$6,0)))</f>
        <v>0</v>
      </c>
      <c r="K69" s="18">
        <f t="shared" si="20"/>
        <v>0</v>
      </c>
      <c r="L69" s="34"/>
    </row>
    <row r="70" spans="1:12">
      <c r="A70" s="370" t="s">
        <v>490</v>
      </c>
      <c r="B70" s="255" t="str">
        <f>'R4 - Incentives and Other Rev'!B16</f>
        <v>Unplanned Interruption Mean Duration ODI [NGN, SGN and WWU] - (SpC 4.5)</v>
      </c>
      <c r="C70" s="377" t="str">
        <f>Data!$C$9</f>
        <v>£m 18/19</v>
      </c>
      <c r="D70" s="43">
        <f>'R4 - Incentives and Other Rev'!D16</f>
        <v>0</v>
      </c>
      <c r="E70" s="43">
        <f>'R4 - Incentives and Other Rev'!E16</f>
        <v>0</v>
      </c>
      <c r="F70" s="43">
        <f>'R4 - Incentives and Other Rev'!F16</f>
        <v>0</v>
      </c>
      <c r="G70" s="43">
        <f>'R4 - Incentives and Other Rev'!G16</f>
        <v>0</v>
      </c>
      <c r="H70" s="43">
        <f>'R4 - Incentives and Other Rev'!H16</f>
        <v>0</v>
      </c>
      <c r="I70" s="378"/>
      <c r="J70" s="18">
        <f>SUM(D70:INDEX(D70:H70,0,MATCH('RFPR cover'!$C$9,$D$6:$H$6,0)))</f>
        <v>0</v>
      </c>
      <c r="K70" s="18">
        <f t="shared" si="20"/>
        <v>0</v>
      </c>
      <c r="L70" s="34"/>
    </row>
    <row r="71" spans="1:12">
      <c r="A71" s="370" t="s">
        <v>491</v>
      </c>
      <c r="B71" s="255" t="str">
        <f>'R4 - Incentives and Other Rev'!B17</f>
        <v>Unplanned Interruption Mean Duration ODI [Cadent only]- (SpC 4.6)</v>
      </c>
      <c r="C71" s="377" t="str">
        <f>Data!$C$9</f>
        <v>£m 18/19</v>
      </c>
      <c r="D71" s="43">
        <f>'R4 - Incentives and Other Rev'!D17</f>
        <v>0</v>
      </c>
      <c r="E71" s="43">
        <f>'R4 - Incentives and Other Rev'!E17</f>
        <v>0</v>
      </c>
      <c r="F71" s="43">
        <f>'R4 - Incentives and Other Rev'!F17</f>
        <v>0</v>
      </c>
      <c r="G71" s="43">
        <f>'R4 - Incentives and Other Rev'!G17</f>
        <v>0</v>
      </c>
      <c r="H71" s="43">
        <f>'R4 - Incentives and Other Rev'!H17</f>
        <v>0</v>
      </c>
      <c r="I71" s="378"/>
      <c r="J71" s="18">
        <f>SUM(D71:INDEX(D71:H71,0,MATCH('RFPR cover'!$C$9,$D$6:$H$6,0)))</f>
        <v>0</v>
      </c>
      <c r="K71" s="18">
        <f t="shared" si="20"/>
        <v>0</v>
      </c>
      <c r="L71" s="34"/>
    </row>
    <row r="72" spans="1:12">
      <c r="A72" s="370" t="s">
        <v>492</v>
      </c>
      <c r="B72" s="255" t="str">
        <f>'R4 - Incentives and Other Rev'!B18</f>
        <v>Shrinkage Management ODI- (SpC 4.4)</v>
      </c>
      <c r="C72" s="377" t="str">
        <f>Data!$C$9</f>
        <v>£m 18/19</v>
      </c>
      <c r="D72" s="43">
        <f>'R4 - Incentives and Other Rev'!D18</f>
        <v>-0.224364258308861</v>
      </c>
      <c r="E72" s="43">
        <f>'R4 - Incentives and Other Rev'!E18</f>
        <v>0.16035020774819159</v>
      </c>
      <c r="F72" s="43">
        <f>'R4 - Incentives and Other Rev'!F18</f>
        <v>1.9727040418466645E-2</v>
      </c>
      <c r="G72" s="43">
        <f>'R4 - Incentives and Other Rev'!G18</f>
        <v>1.6582982776588321E-2</v>
      </c>
      <c r="H72" s="43">
        <f>'R4 - Incentives and Other Rev'!H18</f>
        <v>1.593816621579669E-2</v>
      </c>
      <c r="I72" s="378"/>
      <c r="J72" s="18">
        <f>SUM(D72:INDEX(D72:H72,0,MATCH('RFPR cover'!$C$9,$D$6:$H$6,0)))</f>
        <v>-4.4287010142202772E-2</v>
      </c>
      <c r="K72" s="18">
        <f t="shared" si="20"/>
        <v>-1.1765861149817761E-2</v>
      </c>
      <c r="L72" s="34"/>
    </row>
    <row r="73" spans="1:12">
      <c r="A73" s="1270" t="s">
        <v>493</v>
      </c>
      <c r="B73" s="255" t="str">
        <f>'R4 - Incentives and Other Rev'!B19</f>
        <v>Collaborative streetworks ODI [Cadent Lon &amp; EoE, SGN So only]- (SpC 4.7)</v>
      </c>
      <c r="C73" s="377" t="str">
        <f>Data!$C$9</f>
        <v>£m 18/19</v>
      </c>
      <c r="D73" s="43">
        <f>'R4 - Incentives and Other Rev'!D19</f>
        <v>0.98750000000000004</v>
      </c>
      <c r="E73" s="43">
        <f>'R4 - Incentives and Other Rev'!E19</f>
        <v>0.91500000000000004</v>
      </c>
      <c r="F73" s="43">
        <f>'R4 - Incentives and Other Rev'!F19</f>
        <v>0.98750000000000004</v>
      </c>
      <c r="G73" s="43">
        <f>'R4 - Incentives and Other Rev'!G19</f>
        <v>0.98750000000000004</v>
      </c>
      <c r="H73" s="43">
        <f>'R4 - Incentives and Other Rev'!H19</f>
        <v>0.98750000000000004</v>
      </c>
      <c r="I73" s="378"/>
      <c r="J73" s="18">
        <f>SUM(D73:INDEX(D73:H73,0,MATCH('RFPR cover'!$C$9,$D$6:$H$6,0)))</f>
        <v>2.89</v>
      </c>
      <c r="K73" s="18">
        <f t="shared" ref="K73:K76" si="21">SUM(D73:H73)</f>
        <v>4.8650000000000002</v>
      </c>
      <c r="L73" s="34"/>
    </row>
    <row r="74" spans="1:12">
      <c r="A74" s="370" t="s">
        <v>494</v>
      </c>
      <c r="B74" s="255" t="str">
        <f>'R4 - Incentives and Other Rev'!B45</f>
        <v>Network innovation input for RORE</v>
      </c>
      <c r="C74" s="377" t="str">
        <f>Data!$C$9</f>
        <v>£m 18/19</v>
      </c>
      <c r="D74" s="43">
        <f>-'R4 - Incentives and Other Rev'!D45</f>
        <v>-0.1</v>
      </c>
      <c r="E74" s="43">
        <f>-'R4 - Incentives and Other Rev'!E45</f>
        <v>-0.1</v>
      </c>
      <c r="F74" s="43">
        <f>-'R4 - Incentives and Other Rev'!F45</f>
        <v>-0.1</v>
      </c>
      <c r="G74" s="43">
        <f>-'R4 - Incentives and Other Rev'!G45</f>
        <v>-0.1</v>
      </c>
      <c r="H74" s="43">
        <f>-'R4 - Incentives and Other Rev'!H45</f>
        <v>-0.1</v>
      </c>
      <c r="I74" s="34"/>
      <c r="J74" s="18">
        <f>SUM(D74:INDEX(D74:H74,0,MATCH('RFPR cover'!$C$9,$D$6:$H$6,0)))</f>
        <v>-0.30000000000000004</v>
      </c>
      <c r="K74" s="18">
        <f t="shared" si="21"/>
        <v>-0.5</v>
      </c>
      <c r="L74" s="34"/>
    </row>
    <row r="75" spans="1:12">
      <c r="A75" s="370" t="s">
        <v>495</v>
      </c>
      <c r="B75" s="255" t="str">
        <f>'R4 - Incentives and Other Rev'!B52</f>
        <v>Carry-over Network innovation input for RORE</v>
      </c>
      <c r="C75" s="377" t="str">
        <f>Data!$C$9</f>
        <v>£m 18/19</v>
      </c>
      <c r="D75" s="43">
        <f>-'R4 - Incentives and Other Rev'!D52</f>
        <v>-6.4652073899151993E-2</v>
      </c>
      <c r="E75" s="43">
        <f>-'R4 - Incentives and Other Rev'!E52</f>
        <v>0</v>
      </c>
      <c r="F75" s="43">
        <f>-'R4 - Incentives and Other Rev'!F52</f>
        <v>0</v>
      </c>
      <c r="G75" s="43">
        <f>-'R4 - Incentives and Other Rev'!G52</f>
        <v>0</v>
      </c>
      <c r="H75" s="43">
        <f>-'R4 - Incentives and Other Rev'!H52</f>
        <v>0</v>
      </c>
      <c r="I75" s="34"/>
      <c r="J75" s="18">
        <f>SUM(D75:INDEX(D75:H75,0,MATCH('RFPR cover'!$C$9,$D$6:$H$6,0)))</f>
        <v>-6.4652073899151993E-2</v>
      </c>
      <c r="K75" s="18">
        <f t="shared" si="21"/>
        <v>-6.4652073899151993E-2</v>
      </c>
      <c r="L75" s="34"/>
    </row>
    <row r="76" spans="1:12">
      <c r="A76" s="370" t="s">
        <v>496</v>
      </c>
      <c r="B76" s="255" t="str">
        <f>'R4 - Incentives and Other Rev'!B59</f>
        <v>Strategic innovation input for RORE</v>
      </c>
      <c r="C76" s="377" t="str">
        <f>Data!$C$9</f>
        <v>£m 18/19</v>
      </c>
      <c r="D76" s="43">
        <f>-'R4 - Incentives and Other Rev'!D59</f>
        <v>0</v>
      </c>
      <c r="E76" s="43">
        <f>-'R4 - Incentives and Other Rev'!E59</f>
        <v>0</v>
      </c>
      <c r="F76" s="43">
        <f>-'R4 - Incentives and Other Rev'!F59</f>
        <v>0</v>
      </c>
      <c r="G76" s="43">
        <f>-'R4 - Incentives and Other Rev'!G59</f>
        <v>0</v>
      </c>
      <c r="H76" s="43">
        <f>-'R4 - Incentives and Other Rev'!H59</f>
        <v>0</v>
      </c>
      <c r="I76" s="34"/>
      <c r="J76" s="18">
        <f>SUM(D76:INDEX(D76:H76,0,MATCH('RFPR cover'!$C$9,$D$6:$H$6,0)))</f>
        <v>0</v>
      </c>
      <c r="K76" s="18">
        <f t="shared" si="21"/>
        <v>0</v>
      </c>
      <c r="L76" s="34"/>
    </row>
    <row r="77" spans="1:12">
      <c r="A77" s="370" t="s">
        <v>497</v>
      </c>
      <c r="B77" s="255" t="str">
        <f>'R4 - Incentives and Other Rev'!B66</f>
        <v/>
      </c>
      <c r="C77" s="377" t="str">
        <f>Data!$C$9</f>
        <v>£m 18/19</v>
      </c>
      <c r="D77" s="44">
        <f>'R4 - Incentives and Other Rev'!D66</f>
        <v>0</v>
      </c>
      <c r="E77" s="44">
        <f>'R4 - Incentives and Other Rev'!E66</f>
        <v>0</v>
      </c>
      <c r="F77" s="44">
        <f>'R4 - Incentives and Other Rev'!F66</f>
        <v>0</v>
      </c>
      <c r="G77" s="44">
        <f>'R4 - Incentives and Other Rev'!G66</f>
        <v>0</v>
      </c>
      <c r="H77" s="44">
        <f>'R4 - Incentives and Other Rev'!H66</f>
        <v>0</v>
      </c>
      <c r="I77" s="34"/>
      <c r="J77" s="18">
        <f>SUM(D77:INDEX(D77:H77,0,MATCH('RFPR cover'!$C$9,$D$6:$H$6,0)))</f>
        <v>0</v>
      </c>
      <c r="K77" s="18">
        <f t="shared" si="20"/>
        <v>0</v>
      </c>
      <c r="L77" s="34"/>
    </row>
    <row r="78" spans="1:12">
      <c r="A78" s="370" t="s">
        <v>498</v>
      </c>
      <c r="B78" s="255" t="str">
        <f>'R4 - Incentives and Other Rev'!B67</f>
        <v/>
      </c>
      <c r="C78" s="377" t="str">
        <f>Data!$C$9</f>
        <v>£m 18/19</v>
      </c>
      <c r="D78" s="44">
        <f>'R4 - Incentives and Other Rev'!D67</f>
        <v>0</v>
      </c>
      <c r="E78" s="44">
        <f>'R4 - Incentives and Other Rev'!E67</f>
        <v>0</v>
      </c>
      <c r="F78" s="44">
        <f>'R4 - Incentives and Other Rev'!F67</f>
        <v>0</v>
      </c>
      <c r="G78" s="44">
        <f>'R4 - Incentives and Other Rev'!G67</f>
        <v>0</v>
      </c>
      <c r="H78" s="44">
        <f>'R4 - Incentives and Other Rev'!H67</f>
        <v>0</v>
      </c>
      <c r="I78" s="34"/>
      <c r="J78" s="18">
        <f>SUM(D78:INDEX(D78:H78,0,MATCH('RFPR cover'!$C$9,$D$6:$H$6,0)))</f>
        <v>0</v>
      </c>
      <c r="K78" s="18">
        <f t="shared" si="20"/>
        <v>0</v>
      </c>
      <c r="L78" s="34"/>
    </row>
    <row r="79" spans="1:12">
      <c r="A79" s="370" t="s">
        <v>499</v>
      </c>
      <c r="B79" s="255" t="str">
        <f>'R4 - Incentives and Other Rev'!B68</f>
        <v/>
      </c>
      <c r="C79" s="377" t="str">
        <f>Data!$C$9</f>
        <v>£m 18/19</v>
      </c>
      <c r="D79" s="44">
        <f>'R4 - Incentives and Other Rev'!D68</f>
        <v>0</v>
      </c>
      <c r="E79" s="44">
        <f>'R4 - Incentives and Other Rev'!E68</f>
        <v>0</v>
      </c>
      <c r="F79" s="44">
        <f>'R4 - Incentives and Other Rev'!F68</f>
        <v>0</v>
      </c>
      <c r="G79" s="44">
        <f>'R4 - Incentives and Other Rev'!G68</f>
        <v>0</v>
      </c>
      <c r="H79" s="44">
        <f>'R4 - Incentives and Other Rev'!H68</f>
        <v>0</v>
      </c>
      <c r="I79" s="34"/>
      <c r="J79" s="18">
        <f>SUM(D79:INDEX(D79:H79,0,MATCH('RFPR cover'!$C$9,$D$6:$H$6,0)))</f>
        <v>0</v>
      </c>
      <c r="K79" s="18">
        <f t="shared" si="20"/>
        <v>0</v>
      </c>
      <c r="L79" s="34"/>
    </row>
    <row r="80" spans="1:12">
      <c r="A80" s="370" t="s">
        <v>500</v>
      </c>
      <c r="B80" s="255" t="str">
        <f>'R4 - Incentives and Other Rev'!B69</f>
        <v/>
      </c>
      <c r="C80" s="377" t="str">
        <f>Data!$C$9</f>
        <v>£m 18/19</v>
      </c>
      <c r="D80" s="44">
        <f>'R4 - Incentives and Other Rev'!D69</f>
        <v>0</v>
      </c>
      <c r="E80" s="44">
        <f>'R4 - Incentives and Other Rev'!E69</f>
        <v>0</v>
      </c>
      <c r="F80" s="44">
        <f>'R4 - Incentives and Other Rev'!F69</f>
        <v>0</v>
      </c>
      <c r="G80" s="44">
        <f>'R4 - Incentives and Other Rev'!G69</f>
        <v>0</v>
      </c>
      <c r="H80" s="44">
        <f>'R4 - Incentives and Other Rev'!H69</f>
        <v>0</v>
      </c>
      <c r="I80" s="34"/>
      <c r="J80" s="18">
        <f>SUM(D80:INDEX(D80:H80,0,MATCH('RFPR cover'!$C$9,$D$6:$H$6,0)))</f>
        <v>0</v>
      </c>
      <c r="K80" s="18">
        <f>SUM(D80:H80)</f>
        <v>0</v>
      </c>
      <c r="L80" s="34"/>
    </row>
    <row r="81" spans="1:23">
      <c r="A81" s="370" t="s">
        <v>501</v>
      </c>
      <c r="B81" s="255" t="str">
        <f>'R4 - Incentives and Other Rev'!B70</f>
        <v/>
      </c>
      <c r="C81" s="377" t="str">
        <f>Data!$C$9</f>
        <v>£m 18/19</v>
      </c>
      <c r="D81" s="44">
        <f>'R4 - Incentives and Other Rev'!D70</f>
        <v>0</v>
      </c>
      <c r="E81" s="44">
        <f>'R4 - Incentives and Other Rev'!E70</f>
        <v>0</v>
      </c>
      <c r="F81" s="44">
        <f>'R4 - Incentives and Other Rev'!F70</f>
        <v>0</v>
      </c>
      <c r="G81" s="44">
        <f>'R4 - Incentives and Other Rev'!G70</f>
        <v>0</v>
      </c>
      <c r="H81" s="44">
        <f>'R4 - Incentives and Other Rev'!H70</f>
        <v>0</v>
      </c>
      <c r="I81" s="34"/>
      <c r="J81" s="18">
        <f>SUM(D81:INDEX(D81:H81,0,MATCH('RFPR cover'!$C$9,$D$6:$H$6,0)))</f>
        <v>0</v>
      </c>
      <c r="K81" s="18">
        <f>SUM(D81:H81)</f>
        <v>0</v>
      </c>
      <c r="L81" s="34"/>
    </row>
    <row r="82" spans="1:23" ht="14" thickBot="1">
      <c r="B82" s="376" t="s">
        <v>509</v>
      </c>
      <c r="C82" s="377" t="str">
        <f>Data!$C$9</f>
        <v>£m 18/19</v>
      </c>
      <c r="D82" s="44">
        <f>-'R10 - Pensions &amp; Oth Activities'!D54</f>
        <v>-1.5153122719828209</v>
      </c>
      <c r="E82" s="44">
        <f>-'R10 - Pensions &amp; Oth Activities'!E54</f>
        <v>-1.5775899683963812</v>
      </c>
      <c r="F82" s="44">
        <f>-'R10 - Pensions &amp; Oth Activities'!F54</f>
        <v>-1.8505686682235722</v>
      </c>
      <c r="G82" s="44">
        <f>-'R10 - Pensions &amp; Oth Activities'!G54</f>
        <v>-0.55708711967627489</v>
      </c>
      <c r="H82" s="44">
        <f>-'R10 - Pensions &amp; Oth Activities'!H54</f>
        <v>-0.5486513152835194</v>
      </c>
      <c r="I82" s="34"/>
      <c r="J82" s="154">
        <f>SUM(D82:INDEX(D82:H82,0,MATCH('RFPR cover'!$C$9,$D$6:$H$6,0)))</f>
        <v>-4.9434709086027748</v>
      </c>
      <c r="K82" s="154">
        <f t="shared" si="20"/>
        <v>-6.0492093435625698</v>
      </c>
      <c r="L82" s="34"/>
    </row>
    <row r="83" spans="1:23" ht="14" thickBot="1">
      <c r="B83" s="379" t="s">
        <v>510</v>
      </c>
      <c r="C83" s="380" t="str">
        <f>Data!$C$9</f>
        <v>£m 18/19</v>
      </c>
      <c r="D83" s="162">
        <f>SUM(D65:D82)</f>
        <v>48.816916790071474</v>
      </c>
      <c r="E83" s="164">
        <f>SUM(E65:E82)</f>
        <v>34.235342524758359</v>
      </c>
      <c r="F83" s="164">
        <f>SUM(F65:F82)</f>
        <v>29.077972799913848</v>
      </c>
      <c r="G83" s="164">
        <f>SUM(G65:G82)</f>
        <v>34.268494828334276</v>
      </c>
      <c r="H83" s="163">
        <f>SUM(H65:H82)</f>
        <v>37.239506374403398</v>
      </c>
      <c r="I83" s="89"/>
      <c r="J83" s="162">
        <f>SUM(J65:J82)</f>
        <v>112.13023211474366</v>
      </c>
      <c r="K83" s="163">
        <f>SUM(K65:K82)</f>
        <v>183.63823331748131</v>
      </c>
      <c r="L83" s="34"/>
    </row>
    <row r="84" spans="1:23">
      <c r="B84" s="376" t="s">
        <v>511</v>
      </c>
      <c r="C84" s="377" t="str">
        <f>Data!$C$9</f>
        <v>£m 18/19</v>
      </c>
      <c r="D84" s="44">
        <f>IFERROR('R5 - Financing'!D85,0)</f>
        <v>40.357161990891512</v>
      </c>
      <c r="E84" s="44">
        <f>IFERROR('R5 - Financing'!E85,0)</f>
        <v>72.905911770161325</v>
      </c>
      <c r="F84" s="44">
        <f>IFERROR('R5 - Financing'!F85,0)</f>
        <v>58.111675961465238</v>
      </c>
      <c r="G84" s="44">
        <f>IFERROR('R5 - Financing'!G85,0)</f>
        <v>18.729556755757294</v>
      </c>
      <c r="H84" s="44">
        <f>IFERROR('R5 - Financing'!H85,0)</f>
        <v>8.75867434991609</v>
      </c>
      <c r="I84" s="34"/>
      <c r="J84" s="161">
        <f>SUM(D84:INDEX(D84:H84,0,MATCH('RFPR cover'!$C$9,$D$6:$H$6,0)))</f>
        <v>171.37474972251806</v>
      </c>
      <c r="K84" s="161">
        <f>SUM(D84:H84)</f>
        <v>198.86298082819144</v>
      </c>
      <c r="L84" s="34"/>
    </row>
    <row r="85" spans="1:23">
      <c r="B85" s="376" t="s">
        <v>512</v>
      </c>
      <c r="C85" s="377" t="str">
        <f>Data!$C$9</f>
        <v>£m 18/19</v>
      </c>
      <c r="D85" s="44">
        <f>IFERROR('R5 - Financing'!D87,0)</f>
        <v>0.34445674302455132</v>
      </c>
      <c r="E85" s="44">
        <f>IFERROR('R5 - Financing'!E87,0)</f>
        <v>-0.32458023488922549</v>
      </c>
      <c r="F85" s="44">
        <f>IFERROR('R5 - Financing'!F87,0)</f>
        <v>-0.60238333257089494</v>
      </c>
      <c r="G85" s="44">
        <f>IFERROR('R5 - Financing'!G87,0)</f>
        <v>-3.4132387329734115E-2</v>
      </c>
      <c r="H85" s="44">
        <f>IFERROR('R5 - Financing'!H87,0)</f>
        <v>-0.65960938333112651</v>
      </c>
      <c r="I85" s="34"/>
      <c r="J85" s="18">
        <f>SUM(D85:INDEX(D85:H85,0,MATCH('RFPR cover'!$C$9,$D$6:$H$6,0)))</f>
        <v>-0.58250682443556911</v>
      </c>
      <c r="K85" s="18">
        <f>SUM(D85:H85)</f>
        <v>-1.2762485950964297</v>
      </c>
      <c r="L85" s="34"/>
    </row>
    <row r="86" spans="1:23">
      <c r="B86" s="376" t="s">
        <v>513</v>
      </c>
      <c r="C86" s="377" t="str">
        <f>Data!$C$9</f>
        <v>£m 18/19</v>
      </c>
      <c r="D86" s="44">
        <f>IFERROR('R8 - Tax'!E70,0)</f>
        <v>1.612926109763297</v>
      </c>
      <c r="E86" s="44">
        <f>IFERROR('R8 - Tax'!F70,0)</f>
        <v>2.2099755378064874</v>
      </c>
      <c r="F86" s="44">
        <f>IFERROR('R8 - Tax'!G70,0)</f>
        <v>-4.1571356335975409</v>
      </c>
      <c r="G86" s="44">
        <f>IFERROR('R8 - Tax'!H70,0)</f>
        <v>11.338021501372861</v>
      </c>
      <c r="H86" s="44">
        <f>IFERROR('R8 - Tax'!I70,0)</f>
        <v>0.74834091876495279</v>
      </c>
      <c r="I86" s="34"/>
      <c r="J86" s="18">
        <f>SUM(D86:INDEX(D86:H86,0,MATCH('RFPR cover'!$C$9,$D$6:$H$6,0)))</f>
        <v>-0.33423398602775656</v>
      </c>
      <c r="K86" s="18">
        <f>SUM(D86:H86)</f>
        <v>11.752128434110057</v>
      </c>
      <c r="L86" s="34"/>
    </row>
    <row r="87" spans="1:23" ht="14" thickBot="1">
      <c r="B87" s="376" t="s">
        <v>514</v>
      </c>
      <c r="C87" s="377" t="str">
        <f>Data!$C$9</f>
        <v>£m 18/19</v>
      </c>
      <c r="D87" s="44">
        <f>IFERROR('R8 - Tax'!E72,0)</f>
        <v>-6.5446781174664181E-2</v>
      </c>
      <c r="E87" s="44">
        <f>IFERROR('R8 - Tax'!F72,0)</f>
        <v>6.167024462895121E-2</v>
      </c>
      <c r="F87" s="44">
        <f>IFERROR('R8 - Tax'!G72,0)</f>
        <v>0.15059583314272729</v>
      </c>
      <c r="G87" s="44">
        <f>IFERROR('R8 - Tax'!H72,0)</f>
        <v>8.5330968324335288E-3</v>
      </c>
      <c r="H87" s="44">
        <f>IFERROR('R8 - Tax'!I72,0)</f>
        <v>0.16490234583277896</v>
      </c>
      <c r="I87" s="34"/>
      <c r="J87" s="154">
        <f>SUM(D87:INDEX(D87:H87,0,MATCH('RFPR cover'!$C$9,$D$6:$H$6,0)))</f>
        <v>0.14681929659701431</v>
      </c>
      <c r="K87" s="154">
        <f>SUM(D87:H87)</f>
        <v>0.32025473926222681</v>
      </c>
      <c r="L87" s="34"/>
    </row>
    <row r="88" spans="1:23" ht="14" thickBot="1">
      <c r="B88" s="379" t="s">
        <v>515</v>
      </c>
      <c r="C88" s="380" t="str">
        <f>Data!$C$9</f>
        <v>£m 18/19</v>
      </c>
      <c r="D88" s="247">
        <f>IF(OR(Licensee=Data!$B$86,Licensee=Data!$B$89),"N/A",SUM(D83:D87))</f>
        <v>91.06601485257616</v>
      </c>
      <c r="E88" s="247">
        <f>IF(OR(Licensee=Data!$B$86,Licensee=Data!$B$89),"N/A",SUM(E83:E87))</f>
        <v>109.08831984246591</v>
      </c>
      <c r="F88" s="247">
        <f>IF(OR(Licensee=Data!$B$86,Licensee=Data!$B$89),"N/A",SUM(F83:F87))</f>
        <v>82.580725628353392</v>
      </c>
      <c r="G88" s="247">
        <f>IF(OR(Licensee=Data!$B$86,Licensee=Data!$B$89),"N/A",SUM(G83:G87))</f>
        <v>64.310473794967137</v>
      </c>
      <c r="H88" s="247">
        <f>IF(OR(Licensee=Data!$B$86,Licensee=Data!$B$89),"N/A",SUM(H83:H87))</f>
        <v>46.251814605586098</v>
      </c>
      <c r="I88" s="89"/>
      <c r="J88" s="162">
        <f>SUM(J83:J87)</f>
        <v>282.73506032339537</v>
      </c>
      <c r="K88" s="163">
        <f>SUM(K83:K87)</f>
        <v>393.29734872394857</v>
      </c>
      <c r="L88" s="34"/>
    </row>
    <row r="89" spans="1:23">
      <c r="D89" s="165"/>
      <c r="I89" s="34"/>
      <c r="L89" s="34"/>
    </row>
    <row r="90" spans="1:23">
      <c r="B90" s="381" t="s">
        <v>516</v>
      </c>
      <c r="C90" s="377" t="str">
        <f>Data!$C$9</f>
        <v>£m 18/19</v>
      </c>
      <c r="D90" s="42">
        <f>'R7 - RAV'!F40</f>
        <v>923.16331005008988</v>
      </c>
      <c r="E90" s="32">
        <f>'R7 - RAV'!G40</f>
        <v>931.8061901727408</v>
      </c>
      <c r="F90" s="32">
        <f>'R7 - RAV'!H40</f>
        <v>947.08312311057875</v>
      </c>
      <c r="G90" s="32">
        <f>'R7 - RAV'!I40</f>
        <v>962.63229854435656</v>
      </c>
      <c r="H90" s="32">
        <f>'R7 - RAV'!J40</f>
        <v>974.99981155640455</v>
      </c>
      <c r="I90" s="34"/>
      <c r="L90" s="34"/>
    </row>
    <row r="91" spans="1:23">
      <c r="B91" s="376" t="s">
        <v>517</v>
      </c>
      <c r="C91" s="377" t="str">
        <f>Data!$C$9</f>
        <v>£m 18/19</v>
      </c>
      <c r="D91" s="45">
        <f>IFERROR('R6 - Net Debt'!D73,0)</f>
        <v>883.31459528774303</v>
      </c>
      <c r="E91" s="45">
        <f>IFERROR('R6 - Net Debt'!E73,0)</f>
        <v>941.59420171350939</v>
      </c>
      <c r="F91" s="45">
        <f>IFERROR('R6 - Net Debt'!F73,0)</f>
        <v>974.83540799407137</v>
      </c>
      <c r="G91" s="45">
        <f>IFERROR('R6 - Net Debt'!G73,0)</f>
        <v>958.43342016989152</v>
      </c>
      <c r="H91" s="45">
        <f>IFERROR('R6 - Net Debt'!H73,0)</f>
        <v>935.99543114742062</v>
      </c>
      <c r="I91" s="34"/>
      <c r="L91" s="34"/>
    </row>
    <row r="92" spans="1:23">
      <c r="L92" s="34"/>
    </row>
    <row r="93" spans="1:23">
      <c r="L93" s="34"/>
    </row>
    <row r="94" spans="1:23">
      <c r="L94" s="34"/>
      <c r="S94" s="114"/>
      <c r="T94" s="114"/>
      <c r="U94" s="114"/>
      <c r="V94" s="114"/>
      <c r="W94" s="114"/>
    </row>
    <row r="95" spans="1:23">
      <c r="S95" s="114"/>
      <c r="T95" s="114"/>
      <c r="U95" s="114"/>
      <c r="V95" s="114"/>
      <c r="W95" s="114"/>
    </row>
    <row r="99" spans="13:17">
      <c r="M99" s="114"/>
      <c r="N99" s="114"/>
      <c r="O99" s="114"/>
      <c r="P99" s="114"/>
      <c r="Q99" s="114"/>
    </row>
    <row r="101" spans="13:17">
      <c r="M101" s="114"/>
      <c r="N101" s="114"/>
      <c r="O101" s="114"/>
      <c r="P101" s="114"/>
      <c r="Q101" s="114"/>
    </row>
  </sheetData>
  <sheetProtection sort="0" autoFilter="0" pivotTables="0"/>
  <phoneticPr fontId="260" type="noConversion"/>
  <conditionalFormatting sqref="D6:G6">
    <cfRule type="expression" dxfId="120" priority="8">
      <formula>AND(D$5="Actuals",E$5="Forecast")</formula>
    </cfRule>
  </conditionalFormatting>
  <conditionalFormatting sqref="D7:H7">
    <cfRule type="expression" dxfId="119" priority="2">
      <formula>AND(D$5="Actuals",E$5="Forecast")</formula>
    </cfRule>
  </conditionalFormatting>
  <conditionalFormatting sqref="H6">
    <cfRule type="expression" dxfId="118"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53"/>
  <sheetViews>
    <sheetView zoomScale="80" zoomScaleNormal="80" workbookViewId="0">
      <pane xSplit="3" ySplit="7" topLeftCell="D8" activePane="bottomRight" state="frozen"/>
      <selection pane="topRight" activeCell="D1" sqref="D1"/>
      <selection pane="bottomLeft" activeCell="A8" sqref="A8"/>
      <selection pane="bottomRight" activeCell="A3" sqref="A3"/>
    </sheetView>
  </sheetViews>
  <sheetFormatPr defaultColWidth="9.15234375" defaultRowHeight="13.5"/>
  <cols>
    <col min="1" max="1" width="8.3828125" style="339" customWidth="1"/>
    <col min="2" max="2" width="64.4609375" style="389" customWidth="1"/>
    <col min="3" max="3" width="13.3828125" style="29" customWidth="1"/>
    <col min="4" max="4" width="11.15234375" style="339" customWidth="1"/>
    <col min="5" max="5" width="17.61328125" style="339" customWidth="1"/>
    <col min="6" max="8" width="11.15234375" style="339" customWidth="1"/>
    <col min="9" max="10" width="12.84375" style="339" customWidth="1"/>
    <col min="11" max="16384" width="9.15234375" style="339"/>
  </cols>
  <sheetData>
    <row r="1" spans="1:19" s="114" customFormat="1" ht="20">
      <c r="A1" s="324" t="s">
        <v>588</v>
      </c>
      <c r="B1" s="325"/>
      <c r="C1" s="455"/>
      <c r="D1" s="327"/>
      <c r="E1" s="327"/>
      <c r="F1" s="327"/>
      <c r="G1" s="327"/>
      <c r="H1" s="327"/>
      <c r="I1" s="328"/>
      <c r="J1" s="328"/>
      <c r="K1" s="456"/>
    </row>
    <row r="2" spans="1:19" s="114" customFormat="1" ht="20">
      <c r="A2" s="329" t="str">
        <f>Licensee</f>
        <v>Cadent-London</v>
      </c>
      <c r="B2" s="330"/>
      <c r="C2" s="386"/>
      <c r="D2" s="332"/>
      <c r="E2" s="332"/>
      <c r="F2" s="332"/>
      <c r="G2" s="332"/>
      <c r="H2" s="332"/>
      <c r="I2" s="333"/>
      <c r="J2" s="333"/>
      <c r="K2" s="334"/>
    </row>
    <row r="3" spans="1:19" s="114" customFormat="1" ht="20">
      <c r="A3" s="331">
        <f>Reporting_Year</f>
        <v>2024</v>
      </c>
      <c r="B3" s="387"/>
      <c r="C3" s="388"/>
      <c r="D3" s="335"/>
      <c r="E3" s="335"/>
      <c r="F3" s="335"/>
      <c r="G3" s="335"/>
      <c r="H3" s="335"/>
      <c r="I3" s="336"/>
      <c r="J3" s="336"/>
      <c r="K3" s="337"/>
    </row>
    <row r="4" spans="1:19" ht="12.75" customHeight="1"/>
    <row r="5" spans="1:19" ht="30" customHeight="1">
      <c r="D5" s="338" t="str">
        <f>IF(D6&lt;=Reporting_Year,"Actuals","Forecast")</f>
        <v>Actuals</v>
      </c>
      <c r="E5" s="338" t="str">
        <f t="shared" ref="E5:H5" si="0">IF(E6&lt;=Reporting_Year,"Actuals","Forecast")</f>
        <v>Actuals</v>
      </c>
      <c r="F5" s="338" t="str">
        <f t="shared" si="0"/>
        <v>Actuals</v>
      </c>
      <c r="G5" s="338" t="str">
        <f t="shared" si="0"/>
        <v>Forecast</v>
      </c>
      <c r="H5" s="338" t="str">
        <f t="shared" si="0"/>
        <v>Forecast</v>
      </c>
    </row>
    <row r="6" spans="1:19" ht="27.75" customHeight="1">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9">
      <c r="B8" s="460" t="s">
        <v>589</v>
      </c>
      <c r="C8" s="461"/>
      <c r="D8" s="461"/>
      <c r="E8" s="461"/>
      <c r="F8" s="461"/>
      <c r="G8" s="461"/>
      <c r="H8" s="462"/>
      <c r="I8" s="462"/>
      <c r="J8" s="462"/>
      <c r="K8" s="389"/>
    </row>
    <row r="9" spans="1:19">
      <c r="B9" s="463" t="s">
        <v>590</v>
      </c>
      <c r="C9" s="464"/>
      <c r="D9" s="464"/>
      <c r="E9" s="464"/>
      <c r="F9" s="464"/>
      <c r="G9" s="464"/>
      <c r="H9" s="464"/>
      <c r="I9" s="464"/>
      <c r="J9" s="464"/>
      <c r="K9" s="389"/>
      <c r="L9" s="389"/>
    </row>
    <row r="11" spans="1:19">
      <c r="B11" s="465" t="str">
        <f>IF(Sector="GD2","Capitalisation 1 totex (excluding repex)","Capitalisation 1 totex")</f>
        <v>Capitalisation 1 totex (excluding repex)</v>
      </c>
      <c r="C11" s="466"/>
      <c r="D11" s="394"/>
      <c r="E11" s="394"/>
      <c r="F11" s="394"/>
      <c r="G11" s="394"/>
      <c r="H11" s="394"/>
      <c r="I11" s="394"/>
      <c r="J11" s="394"/>
      <c r="K11" s="389"/>
    </row>
    <row r="12" spans="1:19">
      <c r="B12" s="396"/>
      <c r="D12" s="467"/>
      <c r="E12" s="467"/>
      <c r="F12" s="467"/>
      <c r="G12" s="467"/>
      <c r="H12" s="467"/>
      <c r="I12" s="467"/>
      <c r="J12" s="467"/>
      <c r="K12" s="389"/>
    </row>
    <row r="13" spans="1:19">
      <c r="B13" s="88" t="s">
        <v>591</v>
      </c>
      <c r="C13" s="468" t="str">
        <f>Data!$C$9</f>
        <v>£m 18/19</v>
      </c>
      <c r="D13" s="469">
        <v>118.95138907096164</v>
      </c>
      <c r="E13" s="469">
        <v>134.66989027082218</v>
      </c>
      <c r="F13" s="469">
        <v>139.55253527488222</v>
      </c>
      <c r="G13" s="469">
        <v>144.36001848487373</v>
      </c>
      <c r="H13" s="469">
        <v>139.9058838931916</v>
      </c>
      <c r="I13" s="499">
        <f>SUM(D13:INDEX(D13:H13,0,MATCH('RFPR cover'!$C$9,$D$6:$H$6,0)))</f>
        <v>393.17381461666605</v>
      </c>
      <c r="J13" s="500">
        <f>SUM(D13:H13)</f>
        <v>677.43971699473138</v>
      </c>
      <c r="K13" s="389"/>
    </row>
    <row r="14" spans="1:19" ht="17.149999999999999" customHeight="1">
      <c r="B14" s="470" t="s">
        <v>592</v>
      </c>
      <c r="C14" s="468" t="str">
        <f>Data!$C$9</f>
        <v>£m 18/19</v>
      </c>
      <c r="D14" s="469">
        <v>134.62566721327664</v>
      </c>
      <c r="E14" s="469">
        <v>134.4968407667364</v>
      </c>
      <c r="F14" s="469">
        <v>130.45136568441524</v>
      </c>
      <c r="G14" s="469">
        <v>121.20539957963061</v>
      </c>
      <c r="H14" s="469">
        <v>113.63896468703273</v>
      </c>
      <c r="I14" s="501">
        <f>SUM(D14:INDEX(D14:H14,0,MATCH('RFPR cover'!$C$9,$D$6:$H$6,0)))</f>
        <v>399.57387366442828</v>
      </c>
      <c r="J14" s="502">
        <f>SUM(D14:H14)</f>
        <v>634.41823793109165</v>
      </c>
      <c r="K14" s="471"/>
    </row>
    <row r="15" spans="1:19">
      <c r="B15" s="86" t="s">
        <v>593</v>
      </c>
      <c r="C15" s="468" t="str">
        <f>Data!$C$9</f>
        <v>£m 18/19</v>
      </c>
      <c r="D15" s="498">
        <f>D14-D13</f>
        <v>15.674278142315003</v>
      </c>
      <c r="E15" s="498">
        <f>E14-E13</f>
        <v>-0.17304950408578179</v>
      </c>
      <c r="F15" s="498">
        <f t="shared" ref="F15:J15" si="2">F14-F13</f>
        <v>-9.1011695904669807</v>
      </c>
      <c r="G15" s="498">
        <f t="shared" si="2"/>
        <v>-23.154618905243126</v>
      </c>
      <c r="H15" s="498">
        <f t="shared" si="2"/>
        <v>-26.266919206158875</v>
      </c>
      <c r="I15" s="21">
        <f t="shared" si="2"/>
        <v>6.4000590477622268</v>
      </c>
      <c r="J15" s="23">
        <f t="shared" si="2"/>
        <v>-43.021479063639731</v>
      </c>
      <c r="K15" s="1357"/>
      <c r="L15" s="1357"/>
      <c r="M15" s="1357"/>
      <c r="N15" s="136"/>
      <c r="O15" s="136"/>
      <c r="P15" s="136"/>
      <c r="Q15" s="114"/>
      <c r="R15" s="114"/>
      <c r="S15" s="114"/>
    </row>
    <row r="16" spans="1:19">
      <c r="B16" s="86"/>
      <c r="C16" s="468"/>
      <c r="D16" s="472"/>
      <c r="E16" s="472"/>
      <c r="F16" s="472"/>
      <c r="G16" s="472"/>
      <c r="H16" s="472"/>
      <c r="I16" s="472"/>
      <c r="J16" s="472"/>
      <c r="K16" s="473"/>
      <c r="L16" s="473"/>
      <c r="M16" s="473"/>
      <c r="N16" s="473"/>
      <c r="O16" s="473"/>
      <c r="P16" s="473"/>
      <c r="Q16" s="114"/>
      <c r="R16" s="114"/>
      <c r="S16" s="114"/>
    </row>
    <row r="17" spans="2:19">
      <c r="B17" s="389" t="s">
        <v>594</v>
      </c>
      <c r="C17" s="29" t="s">
        <v>486</v>
      </c>
      <c r="D17" s="503">
        <f>INDEX(Data!$C$63:$C$91,MATCH('RFPR cover'!$C$7,Data!$B$63:$B$91,0),0)</f>
        <v>0.5</v>
      </c>
      <c r="E17" s="503">
        <f>INDEX(Data!$C$63:$C$91,MATCH('RFPR cover'!$C$7,Data!$B$63:$B$91,0),0)</f>
        <v>0.5</v>
      </c>
      <c r="F17" s="503">
        <f>INDEX(Data!$C$63:$C$91,MATCH('RFPR cover'!$C$7,Data!$B$63:$B$91,0),0)</f>
        <v>0.5</v>
      </c>
      <c r="G17" s="503">
        <f>INDEX(Data!$C$63:$C$91,MATCH('RFPR cover'!$C$7,Data!$B$63:$B$91,0),0)</f>
        <v>0.5</v>
      </c>
      <c r="H17" s="503">
        <f>INDEX(Data!$C$63:$C$91,MATCH('RFPR cover'!$C$7,Data!$B$63:$B$91,0),0)</f>
        <v>0.5</v>
      </c>
      <c r="I17" s="474"/>
      <c r="J17" s="474"/>
      <c r="K17" s="114"/>
      <c r="L17" s="114"/>
      <c r="M17" s="114"/>
      <c r="N17" s="114"/>
      <c r="O17" s="114"/>
      <c r="P17" s="114"/>
      <c r="Q17" s="114"/>
      <c r="R17" s="114"/>
      <c r="S17" s="114"/>
    </row>
    <row r="18" spans="2:19">
      <c r="K18" s="114"/>
      <c r="L18" s="114"/>
      <c r="M18" s="114"/>
      <c r="N18" s="114"/>
      <c r="O18" s="114"/>
      <c r="P18" s="114"/>
      <c r="Q18" s="114"/>
      <c r="R18" s="114"/>
      <c r="S18" s="114"/>
    </row>
    <row r="19" spans="2:19">
      <c r="B19" s="389" t="s">
        <v>595</v>
      </c>
      <c r="C19" s="468" t="str">
        <f>Data!$C$9</f>
        <v>£m 18/19</v>
      </c>
      <c r="D19" s="498">
        <f>D15*D17</f>
        <v>7.8371390711575017</v>
      </c>
      <c r="E19" s="498">
        <f t="shared" ref="E19:H19" si="3">E15*E17</f>
        <v>-8.6524752042890896E-2</v>
      </c>
      <c r="F19" s="498">
        <f t="shared" si="3"/>
        <v>-4.5505847952334904</v>
      </c>
      <c r="G19" s="498">
        <f t="shared" si="3"/>
        <v>-11.577309452621563</v>
      </c>
      <c r="H19" s="498">
        <f t="shared" si="3"/>
        <v>-13.133459603079437</v>
      </c>
      <c r="I19" s="18">
        <f>SUM(D19:INDEX(D19:H19,0,MATCH('RFPR cover'!$C$9,$D$6:$H$6,0)))</f>
        <v>3.2000295238811205</v>
      </c>
      <c r="J19" s="20">
        <f>SUM(D19:H19)</f>
        <v>-21.51073953181988</v>
      </c>
      <c r="K19" s="114"/>
      <c r="L19" s="114"/>
      <c r="M19" s="114"/>
      <c r="N19" s="114"/>
      <c r="O19" s="114"/>
      <c r="P19" s="114"/>
      <c r="Q19" s="114"/>
      <c r="R19" s="114"/>
      <c r="S19" s="114"/>
    </row>
    <row r="20" spans="2:19">
      <c r="B20" s="389" t="s">
        <v>596</v>
      </c>
      <c r="C20" s="468" t="str">
        <f>Data!$C$9</f>
        <v>£m 18/19</v>
      </c>
      <c r="D20" s="498">
        <f>D15*(1-D17)</f>
        <v>7.8371390711575017</v>
      </c>
      <c r="E20" s="498">
        <f t="shared" ref="E20:H20" si="4">E15*(1-E17)</f>
        <v>-8.6524752042890896E-2</v>
      </c>
      <c r="F20" s="498">
        <f t="shared" si="4"/>
        <v>-4.5505847952334904</v>
      </c>
      <c r="G20" s="498">
        <f t="shared" si="4"/>
        <v>-11.577309452621563</v>
      </c>
      <c r="H20" s="498">
        <f t="shared" si="4"/>
        <v>-13.133459603079437</v>
      </c>
      <c r="I20" s="15">
        <f>SUM(D20:INDEX(D20:H20,0,MATCH('RFPR cover'!$C$9,$D$6:$H$6,0)))</f>
        <v>3.2000295238811205</v>
      </c>
      <c r="J20" s="17">
        <f>SUM(D20:H20)</f>
        <v>-21.51073953181988</v>
      </c>
      <c r="L20" s="114"/>
      <c r="M20" s="114"/>
      <c r="N20" s="114"/>
      <c r="O20" s="114"/>
      <c r="P20" s="114"/>
      <c r="Q20" s="114"/>
      <c r="R20" s="114"/>
      <c r="S20" s="114"/>
    </row>
    <row r="21" spans="2:19">
      <c r="C21" s="389"/>
      <c r="D21" s="389"/>
      <c r="E21" s="389"/>
      <c r="F21" s="389"/>
      <c r="G21" s="389"/>
      <c r="H21" s="389"/>
      <c r="I21" s="389"/>
      <c r="J21" s="389"/>
      <c r="L21" s="114"/>
      <c r="M21" s="114"/>
      <c r="N21" s="114"/>
      <c r="O21" s="114"/>
      <c r="P21" s="114"/>
      <c r="Q21" s="114"/>
      <c r="R21" s="114"/>
      <c r="S21" s="114"/>
    </row>
    <row r="22" spans="2:19">
      <c r="B22" s="396" t="s">
        <v>597</v>
      </c>
      <c r="L22" s="114"/>
      <c r="M22" s="114"/>
      <c r="N22" s="114"/>
      <c r="O22" s="114"/>
      <c r="P22" s="114"/>
    </row>
    <row r="23" spans="2:19">
      <c r="B23" s="402" t="s">
        <v>598</v>
      </c>
      <c r="C23" s="468" t="str">
        <f>Data!$C$9</f>
        <v>£m 18/19</v>
      </c>
      <c r="D23" s="475">
        <v>0</v>
      </c>
      <c r="E23" s="475">
        <v>0</v>
      </c>
      <c r="F23" s="475">
        <v>0</v>
      </c>
      <c r="G23" s="475">
        <v>0</v>
      </c>
      <c r="H23" s="475">
        <v>0</v>
      </c>
      <c r="I23" s="15">
        <f>SUM(D23:INDEX(D23:H23,0,MATCH('RFPR cover'!$C$9,$D$6:$H$6,0)))</f>
        <v>0</v>
      </c>
      <c r="J23" s="17">
        <f t="shared" ref="J23:J28" si="5">SUM(D23:H23)</f>
        <v>0</v>
      </c>
      <c r="L23" s="114"/>
      <c r="M23" s="114"/>
      <c r="N23" s="114"/>
      <c r="O23" s="114"/>
      <c r="P23" s="114"/>
      <c r="Q23" s="114"/>
      <c r="R23" s="114"/>
      <c r="S23" s="114"/>
    </row>
    <row r="24" spans="2:19">
      <c r="B24" s="402" t="s">
        <v>599</v>
      </c>
      <c r="C24" s="468" t="str">
        <f>Data!$C$9</f>
        <v>£m 18/19</v>
      </c>
      <c r="D24" s="475">
        <v>0</v>
      </c>
      <c r="E24" s="475">
        <v>0</v>
      </c>
      <c r="F24" s="475">
        <v>0</v>
      </c>
      <c r="G24" s="475">
        <v>0</v>
      </c>
      <c r="H24" s="475">
        <v>0</v>
      </c>
      <c r="I24" s="15">
        <f>SUM(D24:INDEX(D24:H24,0,MATCH('RFPR cover'!$C$9,$D$6:$H$6,0)))</f>
        <v>0</v>
      </c>
      <c r="J24" s="17">
        <f t="shared" si="5"/>
        <v>0</v>
      </c>
      <c r="L24" s="114"/>
      <c r="M24" s="114"/>
      <c r="N24" s="114"/>
      <c r="O24" s="114"/>
      <c r="P24" s="114"/>
      <c r="Q24" s="114"/>
      <c r="R24" s="114"/>
      <c r="S24" s="114"/>
    </row>
    <row r="25" spans="2:19">
      <c r="B25" s="402" t="s">
        <v>599</v>
      </c>
      <c r="C25" s="468" t="str">
        <f>Data!$C$9</f>
        <v>£m 18/19</v>
      </c>
      <c r="D25" s="475">
        <v>0</v>
      </c>
      <c r="E25" s="475">
        <v>0</v>
      </c>
      <c r="F25" s="475">
        <v>0</v>
      </c>
      <c r="G25" s="475">
        <v>0</v>
      </c>
      <c r="H25" s="475">
        <v>0</v>
      </c>
      <c r="I25" s="15">
        <f>SUM(D25:INDEX(D25:H25,0,MATCH('RFPR cover'!$C$9,$D$6:$H$6,0)))</f>
        <v>0</v>
      </c>
      <c r="J25" s="17">
        <f t="shared" si="5"/>
        <v>0</v>
      </c>
      <c r="L25" s="114"/>
      <c r="M25" s="114"/>
      <c r="N25" s="114"/>
      <c r="O25" s="114"/>
      <c r="P25" s="114"/>
      <c r="Q25" s="114"/>
      <c r="R25" s="114"/>
      <c r="S25" s="114"/>
    </row>
    <row r="26" spans="2:19">
      <c r="B26" s="402" t="s">
        <v>599</v>
      </c>
      <c r="C26" s="468" t="str">
        <f>Data!$C$9</f>
        <v>£m 18/19</v>
      </c>
      <c r="D26" s="475">
        <v>0</v>
      </c>
      <c r="E26" s="475">
        <v>0</v>
      </c>
      <c r="F26" s="475">
        <v>0</v>
      </c>
      <c r="G26" s="475">
        <v>0</v>
      </c>
      <c r="H26" s="475">
        <v>0</v>
      </c>
      <c r="I26" s="15">
        <f>SUM(D26:INDEX(D26:H26,0,MATCH('RFPR cover'!$C$9,$D$6:$H$6,0)))</f>
        <v>0</v>
      </c>
      <c r="J26" s="17">
        <f t="shared" si="5"/>
        <v>0</v>
      </c>
      <c r="L26" s="114"/>
      <c r="M26" s="114"/>
      <c r="N26" s="114"/>
      <c r="O26" s="114"/>
      <c r="P26" s="114"/>
      <c r="Q26" s="114"/>
      <c r="R26" s="114"/>
      <c r="S26" s="114"/>
    </row>
    <row r="27" spans="2:19">
      <c r="B27" s="402" t="s">
        <v>599</v>
      </c>
      <c r="C27" s="468" t="str">
        <f>Data!$C$9</f>
        <v>£m 18/19</v>
      </c>
      <c r="D27" s="475">
        <v>0</v>
      </c>
      <c r="E27" s="475">
        <v>0</v>
      </c>
      <c r="F27" s="475">
        <v>0</v>
      </c>
      <c r="G27" s="475">
        <v>0</v>
      </c>
      <c r="H27" s="475">
        <v>0</v>
      </c>
      <c r="I27" s="15">
        <f>SUM(D27:INDEX(D27:H27,0,MATCH('RFPR cover'!$C$9,$D$6:$H$6,0)))</f>
        <v>0</v>
      </c>
      <c r="J27" s="17">
        <f t="shared" si="5"/>
        <v>0</v>
      </c>
      <c r="L27" s="114"/>
      <c r="M27" s="114"/>
      <c r="N27" s="114"/>
      <c r="O27" s="114"/>
      <c r="P27" s="114"/>
      <c r="Q27" s="114"/>
      <c r="R27" s="114"/>
      <c r="S27" s="114"/>
    </row>
    <row r="28" spans="2:19">
      <c r="B28" s="402" t="s">
        <v>599</v>
      </c>
      <c r="C28" s="468" t="str">
        <f>Data!$C$9</f>
        <v>£m 18/19</v>
      </c>
      <c r="D28" s="475">
        <v>0</v>
      </c>
      <c r="E28" s="475">
        <v>0</v>
      </c>
      <c r="F28" s="475">
        <v>0</v>
      </c>
      <c r="G28" s="475">
        <v>0</v>
      </c>
      <c r="H28" s="475">
        <v>0</v>
      </c>
      <c r="I28" s="15">
        <f>SUM(D28:INDEX(D28:H28,0,MATCH('RFPR cover'!$C$9,$D$6:$H$6,0)))</f>
        <v>0</v>
      </c>
      <c r="J28" s="17">
        <f t="shared" si="5"/>
        <v>0</v>
      </c>
      <c r="L28" s="114"/>
      <c r="M28" s="114"/>
      <c r="N28" s="114"/>
      <c r="O28" s="114"/>
      <c r="P28" s="114"/>
      <c r="Q28" s="114"/>
      <c r="R28" s="114"/>
      <c r="S28" s="114"/>
    </row>
    <row r="29" spans="2:19">
      <c r="B29" s="402" t="s">
        <v>599</v>
      </c>
      <c r="C29" s="468" t="str">
        <f>Data!$C$9</f>
        <v>£m 18/19</v>
      </c>
      <c r="D29" s="475">
        <v>0</v>
      </c>
      <c r="E29" s="475">
        <v>0</v>
      </c>
      <c r="F29" s="475">
        <v>0</v>
      </c>
      <c r="G29" s="475">
        <v>0</v>
      </c>
      <c r="H29" s="475">
        <v>0</v>
      </c>
      <c r="I29" s="15">
        <f>SUM(D29:INDEX(D29:H29,0,MATCH('RFPR cover'!$C$9,$D$6:$H$6,0)))</f>
        <v>0</v>
      </c>
      <c r="J29" s="17">
        <f t="shared" ref="J29" si="6">SUM(D29:H29)</f>
        <v>0</v>
      </c>
      <c r="L29" s="114"/>
      <c r="M29" s="114"/>
      <c r="N29" s="114"/>
      <c r="O29" s="114"/>
      <c r="P29" s="114"/>
      <c r="Q29" s="114"/>
      <c r="R29" s="114"/>
      <c r="S29" s="114"/>
    </row>
    <row r="30" spans="2:19">
      <c r="B30" s="396" t="s">
        <v>600</v>
      </c>
      <c r="C30" s="468" t="str">
        <f>Data!$C$9</f>
        <v>£m 18/19</v>
      </c>
      <c r="D30" s="498">
        <f>SUM(D23:D29)</f>
        <v>0</v>
      </c>
      <c r="E30" s="498">
        <f t="shared" ref="E30:H30" si="7">SUM(E23:E29)</f>
        <v>0</v>
      </c>
      <c r="F30" s="498">
        <f t="shared" si="7"/>
        <v>0</v>
      </c>
      <c r="G30" s="498">
        <f t="shared" si="7"/>
        <v>0</v>
      </c>
      <c r="H30" s="498">
        <f t="shared" si="7"/>
        <v>0</v>
      </c>
      <c r="I30" s="15">
        <f>SUM(D30:INDEX(D30:H30,0,MATCH('RFPR cover'!$C$9,$D$6:$H$6,0)))</f>
        <v>0</v>
      </c>
      <c r="J30" s="17">
        <f t="shared" ref="J30" si="8">SUM(D30:H30)</f>
        <v>0</v>
      </c>
      <c r="L30" s="114"/>
      <c r="M30" s="114"/>
      <c r="N30" s="114"/>
      <c r="O30" s="114"/>
      <c r="P30" s="114"/>
      <c r="Q30" s="114"/>
      <c r="R30" s="114"/>
      <c r="S30" s="114"/>
    </row>
    <row r="31" spans="2:19">
      <c r="B31" s="396"/>
      <c r="L31" s="114"/>
      <c r="M31" s="114"/>
      <c r="N31" s="114"/>
      <c r="O31" s="114"/>
      <c r="P31" s="114"/>
      <c r="Q31" s="114"/>
      <c r="R31" s="114"/>
      <c r="S31" s="114"/>
    </row>
    <row r="32" spans="2:19">
      <c r="B32" s="396" t="s">
        <v>601</v>
      </c>
      <c r="L32" s="114"/>
      <c r="M32" s="114"/>
      <c r="N32" s="114"/>
      <c r="O32" s="114"/>
      <c r="P32" s="114"/>
      <c r="Q32" s="114"/>
      <c r="R32" s="114"/>
      <c r="S32" s="114"/>
    </row>
    <row r="33" spans="2:19">
      <c r="B33" s="402" t="s">
        <v>598</v>
      </c>
      <c r="C33" s="468" t="str">
        <f>Data!$C$9</f>
        <v>£m 18/19</v>
      </c>
      <c r="D33" s="475">
        <v>0</v>
      </c>
      <c r="E33" s="475">
        <v>0</v>
      </c>
      <c r="F33" s="475">
        <v>0</v>
      </c>
      <c r="G33" s="475">
        <v>0</v>
      </c>
      <c r="H33" s="475">
        <v>0</v>
      </c>
      <c r="I33" s="15">
        <f>SUM(D33:INDEX(D33:H33,0,MATCH('RFPR cover'!$C$9,$D$6:$H$6,0)))</f>
        <v>0</v>
      </c>
      <c r="J33" s="17">
        <f>SUM(D33:H33)</f>
        <v>0</v>
      </c>
      <c r="L33" s="114"/>
      <c r="M33" s="114"/>
      <c r="N33" s="114"/>
      <c r="O33" s="114"/>
      <c r="P33" s="114"/>
      <c r="Q33" s="114"/>
      <c r="R33" s="114"/>
      <c r="S33" s="114"/>
    </row>
    <row r="34" spans="2:19">
      <c r="B34" s="402" t="s">
        <v>599</v>
      </c>
      <c r="C34" s="468" t="str">
        <f>Data!$C$9</f>
        <v>£m 18/19</v>
      </c>
      <c r="D34" s="475">
        <v>0</v>
      </c>
      <c r="E34" s="475">
        <v>0</v>
      </c>
      <c r="F34" s="475">
        <v>0</v>
      </c>
      <c r="G34" s="475">
        <v>0</v>
      </c>
      <c r="H34" s="475">
        <v>0</v>
      </c>
      <c r="I34" s="15">
        <f>SUM(D34:INDEX(D34:H34,0,MATCH('RFPR cover'!$C$9,$D$6:$H$6,0)))</f>
        <v>0</v>
      </c>
      <c r="J34" s="17">
        <f t="shared" ref="J34:J35" si="9">SUM(D34:H34)</f>
        <v>0</v>
      </c>
      <c r="L34" s="114"/>
      <c r="M34" s="114"/>
      <c r="N34" s="114"/>
      <c r="O34" s="114"/>
      <c r="P34" s="114"/>
      <c r="Q34" s="114"/>
      <c r="R34" s="114"/>
      <c r="S34" s="114"/>
    </row>
    <row r="35" spans="2:19">
      <c r="B35" s="396" t="s">
        <v>600</v>
      </c>
      <c r="C35" s="468" t="str">
        <f>Data!$C$9</f>
        <v>£m 18/19</v>
      </c>
      <c r="D35" s="498">
        <f>SUM(D33:D34)</f>
        <v>0</v>
      </c>
      <c r="E35" s="498">
        <f t="shared" ref="E35:H35" si="10">SUM(E33:E34)</f>
        <v>0</v>
      </c>
      <c r="F35" s="498">
        <f t="shared" si="10"/>
        <v>0</v>
      </c>
      <c r="G35" s="498">
        <f t="shared" si="10"/>
        <v>0</v>
      </c>
      <c r="H35" s="498">
        <f t="shared" si="10"/>
        <v>0</v>
      </c>
      <c r="I35" s="15">
        <f>SUM(D35:INDEX(D35:H35,0,MATCH('RFPR cover'!$C$9,$D$6:$H$6,0)))</f>
        <v>0</v>
      </c>
      <c r="J35" s="17">
        <f t="shared" si="9"/>
        <v>0</v>
      </c>
      <c r="L35" s="114"/>
      <c r="M35" s="114"/>
      <c r="N35" s="114"/>
      <c r="O35" s="114"/>
      <c r="P35" s="114"/>
      <c r="Q35" s="114"/>
      <c r="R35" s="114"/>
      <c r="S35" s="114"/>
    </row>
    <row r="36" spans="2:19">
      <c r="B36" s="396"/>
      <c r="L36" s="114"/>
      <c r="M36" s="114"/>
      <c r="N36" s="114"/>
      <c r="O36" s="114"/>
      <c r="P36" s="114"/>
      <c r="Q36" s="114"/>
      <c r="R36" s="114"/>
      <c r="S36" s="114"/>
    </row>
    <row r="37" spans="2:19">
      <c r="B37" s="389" t="s">
        <v>602</v>
      </c>
      <c r="C37" s="468" t="str">
        <f>Data!$C$9</f>
        <v>£m 18/19</v>
      </c>
      <c r="D37" s="498">
        <f>D30*D17</f>
        <v>0</v>
      </c>
      <c r="E37" s="498">
        <f t="shared" ref="E37:H37" si="11">E30*E17</f>
        <v>0</v>
      </c>
      <c r="F37" s="498">
        <f t="shared" si="11"/>
        <v>0</v>
      </c>
      <c r="G37" s="498">
        <f t="shared" si="11"/>
        <v>0</v>
      </c>
      <c r="H37" s="498">
        <f t="shared" si="11"/>
        <v>0</v>
      </c>
      <c r="I37" s="18">
        <f>SUM(D37:INDEX(D37:H37,0,MATCH('RFPR cover'!$C$9,$D$6:$H$6,0)))</f>
        <v>0</v>
      </c>
      <c r="J37" s="20">
        <f>SUM(D37:H37)</f>
        <v>0</v>
      </c>
      <c r="L37" s="114"/>
      <c r="M37" s="114"/>
      <c r="N37" s="114"/>
      <c r="O37" s="114"/>
      <c r="P37" s="114"/>
      <c r="Q37" s="114"/>
      <c r="R37" s="114"/>
      <c r="S37" s="114"/>
    </row>
    <row r="38" spans="2:19">
      <c r="B38" s="389" t="s">
        <v>603</v>
      </c>
      <c r="C38" s="468" t="str">
        <f>Data!$C$9</f>
        <v>£m 18/19</v>
      </c>
      <c r="D38" s="498">
        <f>D30*(1-D17)+D35</f>
        <v>0</v>
      </c>
      <c r="E38" s="498">
        <f t="shared" ref="E38:H38" si="12">E30*(1-E17)+E35</f>
        <v>0</v>
      </c>
      <c r="F38" s="498">
        <f t="shared" si="12"/>
        <v>0</v>
      </c>
      <c r="G38" s="498">
        <f t="shared" si="12"/>
        <v>0</v>
      </c>
      <c r="H38" s="498">
        <f t="shared" si="12"/>
        <v>0</v>
      </c>
      <c r="I38" s="18">
        <f>SUM(D38:INDEX(D38:H38,0,MATCH('RFPR cover'!$C$9,$D$6:$H$6,0)))</f>
        <v>0</v>
      </c>
      <c r="J38" s="17">
        <f>SUM(D38:H38)</f>
        <v>0</v>
      </c>
      <c r="L38" s="114"/>
      <c r="M38" s="114"/>
      <c r="N38" s="114"/>
      <c r="O38" s="114"/>
      <c r="P38" s="114"/>
      <c r="Q38" s="114"/>
      <c r="R38" s="114"/>
      <c r="S38" s="114"/>
    </row>
    <row r="39" spans="2:19">
      <c r="B39" s="396"/>
      <c r="L39" s="114"/>
      <c r="M39" s="114"/>
      <c r="N39" s="114"/>
      <c r="O39" s="114"/>
      <c r="P39" s="114"/>
      <c r="Q39" s="114"/>
      <c r="R39" s="114"/>
      <c r="S39" s="114"/>
    </row>
    <row r="40" spans="2:19">
      <c r="B40" s="396" t="s">
        <v>604</v>
      </c>
      <c r="L40" s="114"/>
      <c r="M40" s="114"/>
      <c r="N40" s="114"/>
      <c r="O40" s="114"/>
      <c r="P40" s="114"/>
      <c r="Q40" s="114"/>
      <c r="R40" s="114"/>
      <c r="S40" s="114"/>
    </row>
    <row r="41" spans="2:19">
      <c r="B41" s="389" t="s">
        <v>595</v>
      </c>
      <c r="C41" s="468" t="str">
        <f>Data!$C$9</f>
        <v>£m 18/19</v>
      </c>
      <c r="D41" s="498">
        <f>D19+D37</f>
        <v>7.8371390711575017</v>
      </c>
      <c r="E41" s="498">
        <f t="shared" ref="E41:H41" si="13">E19+E37</f>
        <v>-8.6524752042890896E-2</v>
      </c>
      <c r="F41" s="498">
        <f t="shared" si="13"/>
        <v>-4.5505847952334904</v>
      </c>
      <c r="G41" s="498">
        <f t="shared" si="13"/>
        <v>-11.577309452621563</v>
      </c>
      <c r="H41" s="498">
        <f t="shared" si="13"/>
        <v>-13.133459603079437</v>
      </c>
      <c r="I41" s="18">
        <f>SUM(D41:INDEX(D41:H41,0,MATCH('RFPR cover'!$C$9,$D$6:$H$6,0)))</f>
        <v>3.2000295238811205</v>
      </c>
      <c r="J41" s="20">
        <f>SUM(D41:H41)</f>
        <v>-21.51073953181988</v>
      </c>
      <c r="L41" s="114"/>
      <c r="M41" s="114"/>
      <c r="N41" s="114"/>
      <c r="O41" s="114"/>
      <c r="P41" s="114"/>
      <c r="Q41" s="114"/>
      <c r="R41" s="114"/>
      <c r="S41" s="114"/>
    </row>
    <row r="42" spans="2:19">
      <c r="B42" s="389" t="s">
        <v>596</v>
      </c>
      <c r="C42" s="468" t="str">
        <f>Data!$C$9</f>
        <v>£m 18/19</v>
      </c>
      <c r="D42" s="498">
        <f>D20+D38</f>
        <v>7.8371390711575017</v>
      </c>
      <c r="E42" s="498">
        <f t="shared" ref="E42:H42" si="14">E20+E38</f>
        <v>-8.6524752042890896E-2</v>
      </c>
      <c r="F42" s="498">
        <f t="shared" si="14"/>
        <v>-4.5505847952334904</v>
      </c>
      <c r="G42" s="498">
        <f t="shared" si="14"/>
        <v>-11.577309452621563</v>
      </c>
      <c r="H42" s="498">
        <f t="shared" si="14"/>
        <v>-13.133459603079437</v>
      </c>
      <c r="I42" s="18">
        <f>SUM(D42:INDEX(D42:H42,0,MATCH('RFPR cover'!$C$9,$D$6:$H$6,0)))</f>
        <v>3.2000295238811205</v>
      </c>
      <c r="J42" s="17">
        <f t="shared" ref="J42" si="15">SUM(D42:H42)</f>
        <v>-21.51073953181988</v>
      </c>
      <c r="L42" s="114"/>
      <c r="M42" s="114"/>
      <c r="N42" s="114"/>
      <c r="O42" s="114"/>
      <c r="P42" s="114"/>
      <c r="Q42" s="114"/>
      <c r="R42" s="114"/>
      <c r="S42" s="114"/>
    </row>
    <row r="43" spans="2:19">
      <c r="B43" s="396" t="s">
        <v>605</v>
      </c>
      <c r="C43" s="476" t="str">
        <f>Data!$C$9</f>
        <v>£m 18/19</v>
      </c>
      <c r="D43" s="498">
        <f>SUM(D41:D42)</f>
        <v>15.674278142315003</v>
      </c>
      <c r="E43" s="498">
        <f t="shared" ref="E43:H43" si="16">SUM(E41:E42)</f>
        <v>-0.17304950408578179</v>
      </c>
      <c r="F43" s="498">
        <f t="shared" si="16"/>
        <v>-9.1011695904669807</v>
      </c>
      <c r="G43" s="498">
        <f t="shared" si="16"/>
        <v>-23.154618905243126</v>
      </c>
      <c r="H43" s="498">
        <f t="shared" si="16"/>
        <v>-26.266919206158875</v>
      </c>
      <c r="I43" s="15">
        <f>SUM(D43:INDEX(D43:H43,0,MATCH('RFPR cover'!$C$9,$D$6:$H$6,0)))</f>
        <v>6.400059047762241</v>
      </c>
      <c r="J43" s="17">
        <f t="shared" ref="J43" si="17">SUM(D43:H43)</f>
        <v>-43.021479063639759</v>
      </c>
      <c r="L43" s="114"/>
      <c r="M43" s="114"/>
      <c r="N43" s="114"/>
      <c r="O43" s="114"/>
      <c r="P43" s="114"/>
      <c r="Q43" s="114"/>
      <c r="R43" s="114"/>
      <c r="S43" s="114"/>
    </row>
    <row r="44" spans="2:19">
      <c r="B44" s="396"/>
      <c r="L44" s="114"/>
      <c r="M44" s="114"/>
      <c r="N44" s="114"/>
      <c r="O44" s="114"/>
      <c r="P44" s="114"/>
      <c r="Q44" s="114"/>
      <c r="R44" s="114"/>
      <c r="S44" s="114"/>
    </row>
    <row r="45" spans="2:19">
      <c r="B45" s="465" t="str">
        <f>IF(Sector="GD2","Capitalisation 2 totex (excluding repex)","Capitalisation 2 totex")</f>
        <v>Capitalisation 2 totex (excluding repex)</v>
      </c>
      <c r="C45" s="392"/>
      <c r="D45" s="394"/>
      <c r="E45" s="394"/>
      <c r="F45" s="394"/>
      <c r="G45" s="394"/>
      <c r="H45" s="394"/>
      <c r="I45" s="394"/>
      <c r="J45" s="394"/>
    </row>
    <row r="46" spans="2:19">
      <c r="D46" s="467"/>
      <c r="E46" s="467"/>
      <c r="F46" s="467"/>
      <c r="G46" s="467"/>
      <c r="H46" s="467"/>
      <c r="I46" s="467"/>
      <c r="J46" s="467"/>
    </row>
    <row r="47" spans="2:19">
      <c r="B47" s="88" t="s">
        <v>591</v>
      </c>
      <c r="C47" s="468" t="str">
        <f>Data!$C$9</f>
        <v>£m 18/19</v>
      </c>
      <c r="D47" s="469">
        <v>5.4374847415376584</v>
      </c>
      <c r="E47" s="469">
        <v>4.5103500603614632</v>
      </c>
      <c r="F47" s="469">
        <v>5.5049791138143149</v>
      </c>
      <c r="G47" s="469">
        <v>11.937042128359822</v>
      </c>
      <c r="H47" s="469">
        <v>15.270855368738122</v>
      </c>
      <c r="I47" s="504">
        <f>SUM(D47:INDEX(D47:H47,0,MATCH('RFPR cover'!$C$9,$D$6:$H$6,0)))</f>
        <v>15.452813915713437</v>
      </c>
      <c r="J47" s="505">
        <f>SUM(D47:H47)</f>
        <v>42.660711412811381</v>
      </c>
      <c r="K47" s="471"/>
    </row>
    <row r="48" spans="2:19" ht="15" customHeight="1">
      <c r="B48" s="470" t="s">
        <v>606</v>
      </c>
      <c r="C48" s="468" t="str">
        <f>Data!$C$9</f>
        <v>£m 18/19</v>
      </c>
      <c r="D48" s="469">
        <v>5.9853576999683575</v>
      </c>
      <c r="E48" s="469">
        <v>4.6905182786771817</v>
      </c>
      <c r="F48" s="469">
        <v>5.704475241397966</v>
      </c>
      <c r="G48" s="469">
        <v>12.326885488567237</v>
      </c>
      <c r="H48" s="469">
        <v>15.996093429651545</v>
      </c>
      <c r="I48" s="506">
        <f>SUM(D48:INDEX(D48:H48,0,MATCH('RFPR cover'!$C$9,$D$6:$H$6,0)))</f>
        <v>16.380351220043504</v>
      </c>
      <c r="J48" s="507">
        <f>SUM(D48:H48)</f>
        <v>44.703330138262288</v>
      </c>
      <c r="K48" s="471"/>
    </row>
    <row r="49" spans="2:19">
      <c r="B49" s="86" t="s">
        <v>593</v>
      </c>
      <c r="C49" s="468" t="str">
        <f>Data!$C$9</f>
        <v>£m 18/19</v>
      </c>
      <c r="D49" s="498">
        <f>D48-D47</f>
        <v>0.54787295843069916</v>
      </c>
      <c r="E49" s="498">
        <f t="shared" ref="E49:J49" si="18">E48-E47</f>
        <v>0.1801682183157185</v>
      </c>
      <c r="F49" s="498">
        <f t="shared" si="18"/>
        <v>0.19949612758365109</v>
      </c>
      <c r="G49" s="498">
        <f t="shared" si="18"/>
        <v>0.38984336020741495</v>
      </c>
      <c r="H49" s="498">
        <f t="shared" si="18"/>
        <v>0.7252380609134228</v>
      </c>
      <c r="I49" s="153">
        <f t="shared" si="18"/>
        <v>0.92753730433006787</v>
      </c>
      <c r="J49" s="240">
        <f t="shared" si="18"/>
        <v>2.0426187254509074</v>
      </c>
      <c r="K49" s="136"/>
      <c r="L49" s="136"/>
      <c r="M49" s="136"/>
      <c r="N49" s="136"/>
      <c r="O49" s="136"/>
      <c r="P49" s="136"/>
      <c r="Q49" s="114"/>
      <c r="R49" s="114"/>
      <c r="S49" s="114"/>
    </row>
    <row r="50" spans="2:19">
      <c r="B50" s="86"/>
      <c r="C50" s="468"/>
      <c r="D50" s="472"/>
      <c r="E50" s="472"/>
      <c r="F50" s="472"/>
      <c r="G50" s="472"/>
      <c r="H50" s="472"/>
      <c r="I50" s="472"/>
      <c r="J50" s="472"/>
      <c r="K50" s="473"/>
      <c r="L50" s="473"/>
      <c r="M50" s="473"/>
      <c r="N50" s="473"/>
      <c r="O50" s="473"/>
      <c r="P50" s="473"/>
      <c r="Q50" s="114"/>
      <c r="R50" s="114"/>
      <c r="S50" s="114"/>
    </row>
    <row r="51" spans="2:19">
      <c r="B51" s="389" t="s">
        <v>594</v>
      </c>
      <c r="C51" s="29" t="s">
        <v>486</v>
      </c>
      <c r="D51" s="508">
        <f>INDEX(Data!$C$63:$C$91,MATCH('RFPR cover'!$C$7,Data!$B$63:$B$91,0),0)</f>
        <v>0.5</v>
      </c>
      <c r="E51" s="508">
        <f>INDEX(Data!$C$63:$C$91,MATCH('RFPR cover'!$C$7,Data!$B$63:$B$91,0),0)</f>
        <v>0.5</v>
      </c>
      <c r="F51" s="508">
        <f>INDEX(Data!$C$63:$C$91,MATCH('RFPR cover'!$C$7,Data!$B$63:$B$91,0),0)</f>
        <v>0.5</v>
      </c>
      <c r="G51" s="508">
        <f>INDEX(Data!$C$63:$C$91,MATCH('RFPR cover'!$C$7,Data!$B$63:$B$91,0),0)</f>
        <v>0.5</v>
      </c>
      <c r="H51" s="508">
        <f>INDEX(Data!$C$63:$C$91,MATCH('RFPR cover'!$C$7,Data!$B$63:$B$91,0),0)</f>
        <v>0.5</v>
      </c>
      <c r="I51" s="474"/>
      <c r="J51" s="474"/>
      <c r="K51" s="114"/>
      <c r="L51" s="114"/>
      <c r="M51" s="114"/>
      <c r="N51" s="114"/>
      <c r="O51" s="114"/>
      <c r="P51" s="114"/>
      <c r="Q51" s="114"/>
      <c r="R51" s="114"/>
      <c r="S51" s="114"/>
    </row>
    <row r="52" spans="2:19">
      <c r="K52" s="114"/>
      <c r="L52" s="114"/>
      <c r="M52" s="114"/>
      <c r="N52" s="114"/>
      <c r="O52" s="114"/>
      <c r="P52" s="114"/>
      <c r="Q52" s="114"/>
      <c r="R52" s="114"/>
      <c r="S52" s="114"/>
    </row>
    <row r="53" spans="2:19">
      <c r="B53" s="389" t="s">
        <v>595</v>
      </c>
      <c r="C53" s="468" t="str">
        <f>Data!$C$9</f>
        <v>£m 18/19</v>
      </c>
      <c r="D53" s="498">
        <f>D49*D51</f>
        <v>0.27393647921534958</v>
      </c>
      <c r="E53" s="498">
        <f t="shared" ref="E53:H53" si="19">E49*E51</f>
        <v>9.0084109157859249E-2</v>
      </c>
      <c r="F53" s="498">
        <f t="shared" si="19"/>
        <v>9.9748063791825547E-2</v>
      </c>
      <c r="G53" s="498">
        <f t="shared" si="19"/>
        <v>0.19492168010370747</v>
      </c>
      <c r="H53" s="498">
        <f t="shared" si="19"/>
        <v>0.3626190304567114</v>
      </c>
      <c r="I53" s="54">
        <f>SUM(D53:INDEX(D53:H53,0,MATCH('RFPR cover'!$C$9,$D$6:$H$6,0)))</f>
        <v>0.46376865216503438</v>
      </c>
      <c r="J53" s="82">
        <f>SUM(D53:H53)</f>
        <v>1.0213093627254533</v>
      </c>
      <c r="K53" s="114"/>
      <c r="L53" s="114"/>
      <c r="M53" s="114"/>
      <c r="N53" s="114"/>
      <c r="O53" s="114"/>
      <c r="P53" s="114"/>
      <c r="Q53" s="114"/>
      <c r="R53" s="114"/>
      <c r="S53" s="114"/>
    </row>
    <row r="54" spans="2:19">
      <c r="B54" s="389" t="s">
        <v>596</v>
      </c>
      <c r="C54" s="468" t="str">
        <f>Data!$C$9</f>
        <v>£m 18/19</v>
      </c>
      <c r="D54" s="498">
        <f>D49*(1-D51)</f>
        <v>0.27393647921534958</v>
      </c>
      <c r="E54" s="498">
        <f t="shared" ref="E54:H54" si="20">E49*(1-E51)</f>
        <v>9.0084109157859249E-2</v>
      </c>
      <c r="F54" s="498">
        <f t="shared" si="20"/>
        <v>9.9748063791825547E-2</v>
      </c>
      <c r="G54" s="498">
        <f t="shared" si="20"/>
        <v>0.19492168010370747</v>
      </c>
      <c r="H54" s="498">
        <f t="shared" si="20"/>
        <v>0.3626190304567114</v>
      </c>
      <c r="I54" s="83">
        <f>SUM(D54:INDEX(D54:H54,0,MATCH('RFPR cover'!$C$9,$D$6:$H$6,0)))</f>
        <v>0.46376865216503438</v>
      </c>
      <c r="J54" s="84">
        <f>SUM(D54:H54)</f>
        <v>1.0213093627254533</v>
      </c>
      <c r="K54" s="114"/>
      <c r="L54" s="114"/>
      <c r="M54" s="114"/>
      <c r="N54" s="114"/>
      <c r="O54" s="114"/>
      <c r="P54" s="114"/>
      <c r="Q54" s="114"/>
      <c r="R54" s="114"/>
      <c r="S54" s="114"/>
    </row>
    <row r="55" spans="2:19">
      <c r="K55" s="114"/>
      <c r="L55" s="114"/>
      <c r="M55" s="114"/>
      <c r="N55" s="114"/>
      <c r="O55" s="114"/>
      <c r="P55" s="114"/>
      <c r="Q55" s="114"/>
      <c r="R55" s="114"/>
      <c r="S55" s="114"/>
    </row>
    <row r="56" spans="2:19">
      <c r="B56" s="396" t="s">
        <v>597</v>
      </c>
      <c r="K56" s="114"/>
      <c r="L56" s="114"/>
      <c r="M56" s="114"/>
      <c r="N56" s="114"/>
      <c r="O56" s="114"/>
      <c r="P56" s="114"/>
      <c r="Q56" s="114"/>
      <c r="R56" s="114"/>
      <c r="S56" s="114"/>
    </row>
    <row r="57" spans="2:19">
      <c r="B57" s="402" t="s">
        <v>598</v>
      </c>
      <c r="C57" s="468" t="str">
        <f>Data!$C$9</f>
        <v>£m 18/19</v>
      </c>
      <c r="D57" s="475">
        <v>0</v>
      </c>
      <c r="E57" s="475">
        <v>0</v>
      </c>
      <c r="F57" s="475">
        <v>0</v>
      </c>
      <c r="G57" s="475">
        <v>0</v>
      </c>
      <c r="H57" s="475">
        <v>0</v>
      </c>
      <c r="I57" s="15">
        <f>SUM(D57:INDEX(D57:H57,0,MATCH('RFPR cover'!$C$9,$D$6:$H$6,0)))</f>
        <v>0</v>
      </c>
      <c r="J57" s="17">
        <f>SUM(D57:H57)</f>
        <v>0</v>
      </c>
      <c r="K57" s="114"/>
      <c r="L57" s="114"/>
      <c r="M57" s="114"/>
      <c r="N57" s="114"/>
      <c r="O57" s="114"/>
      <c r="P57" s="114"/>
      <c r="Q57" s="114"/>
      <c r="R57" s="114"/>
      <c r="S57" s="114"/>
    </row>
    <row r="58" spans="2:19">
      <c r="B58" s="402" t="s">
        <v>599</v>
      </c>
      <c r="C58" s="468" t="str">
        <f>Data!$C$9</f>
        <v>£m 18/19</v>
      </c>
      <c r="D58" s="475">
        <v>0</v>
      </c>
      <c r="E58" s="475">
        <v>0</v>
      </c>
      <c r="F58" s="475">
        <v>0</v>
      </c>
      <c r="G58" s="475">
        <v>0</v>
      </c>
      <c r="H58" s="475">
        <v>0</v>
      </c>
      <c r="I58" s="15">
        <f>SUM(D58:INDEX(D58:H58,0,MATCH('RFPR cover'!$C$9,$D$6:$H$6,0)))</f>
        <v>0</v>
      </c>
      <c r="J58" s="17">
        <f t="shared" ref="J58:J59" si="21">SUM(D58:H58)</f>
        <v>0</v>
      </c>
      <c r="K58" s="114"/>
      <c r="L58" s="114"/>
      <c r="M58" s="114"/>
      <c r="N58" s="114"/>
      <c r="O58" s="114"/>
      <c r="P58" s="114"/>
      <c r="Q58" s="114"/>
      <c r="R58" s="114"/>
      <c r="S58" s="114"/>
    </row>
    <row r="59" spans="2:19">
      <c r="B59" s="396" t="s">
        <v>600</v>
      </c>
      <c r="C59" s="468" t="str">
        <f>Data!$C$9</f>
        <v>£m 18/19</v>
      </c>
      <c r="D59" s="498">
        <f>SUM(D57:D58)</f>
        <v>0</v>
      </c>
      <c r="E59" s="498">
        <f t="shared" ref="E59" si="22">SUM(E57:E58)</f>
        <v>0</v>
      </c>
      <c r="F59" s="498">
        <f t="shared" ref="F59" si="23">SUM(F57:F58)</f>
        <v>0</v>
      </c>
      <c r="G59" s="498">
        <f t="shared" ref="G59" si="24">SUM(G57:G58)</f>
        <v>0</v>
      </c>
      <c r="H59" s="498">
        <f t="shared" ref="H59" si="25">SUM(H57:H58)</f>
        <v>0</v>
      </c>
      <c r="I59" s="15">
        <f>SUM(D59:INDEX(D59:H59,0,MATCH('RFPR cover'!$C$9,$D$6:$H$6,0)))</f>
        <v>0</v>
      </c>
      <c r="J59" s="17">
        <f t="shared" si="21"/>
        <v>0</v>
      </c>
      <c r="K59" s="396"/>
      <c r="L59" s="396"/>
      <c r="M59" s="396"/>
      <c r="N59" s="396"/>
      <c r="O59" s="396"/>
      <c r="P59" s="396"/>
      <c r="Q59" s="396"/>
      <c r="R59" s="114"/>
      <c r="S59" s="114"/>
    </row>
    <row r="60" spans="2:19">
      <c r="B60" s="396"/>
      <c r="C60" s="396"/>
      <c r="D60" s="396"/>
      <c r="E60" s="396"/>
      <c r="F60" s="396"/>
      <c r="G60" s="396"/>
      <c r="H60" s="396"/>
      <c r="I60" s="396"/>
      <c r="J60" s="396"/>
      <c r="K60" s="396"/>
      <c r="L60" s="396"/>
      <c r="M60" s="396"/>
      <c r="N60" s="396"/>
      <c r="O60" s="396"/>
      <c r="P60" s="396"/>
      <c r="Q60" s="396"/>
      <c r="R60" s="114"/>
      <c r="S60" s="114"/>
    </row>
    <row r="61" spans="2:19">
      <c r="B61" s="396" t="s">
        <v>601</v>
      </c>
      <c r="K61" s="396"/>
      <c r="L61" s="396"/>
      <c r="M61" s="396"/>
      <c r="N61" s="396"/>
      <c r="O61" s="396"/>
      <c r="P61" s="396"/>
      <c r="Q61" s="396"/>
      <c r="R61" s="114"/>
      <c r="S61" s="114"/>
    </row>
    <row r="62" spans="2:19">
      <c r="B62" s="402" t="s">
        <v>598</v>
      </c>
      <c r="C62" s="468" t="str">
        <f>Data!$C$9</f>
        <v>£m 18/19</v>
      </c>
      <c r="D62" s="475">
        <v>0</v>
      </c>
      <c r="E62" s="475">
        <v>0</v>
      </c>
      <c r="F62" s="475">
        <v>0</v>
      </c>
      <c r="G62" s="475">
        <v>0</v>
      </c>
      <c r="H62" s="475">
        <v>0</v>
      </c>
      <c r="I62" s="15">
        <f>SUM(D62:INDEX(D62:H62,0,MATCH('RFPR cover'!$C$9,$D$6:$H$6,0)))</f>
        <v>0</v>
      </c>
      <c r="J62" s="17">
        <f>SUM(D62:H62)</f>
        <v>0</v>
      </c>
      <c r="K62" s="396"/>
      <c r="L62" s="396"/>
      <c r="M62" s="396"/>
      <c r="N62" s="396"/>
      <c r="O62" s="396"/>
      <c r="P62" s="396"/>
      <c r="Q62" s="396"/>
      <c r="R62" s="114"/>
      <c r="S62" s="114"/>
    </row>
    <row r="63" spans="2:19">
      <c r="B63" s="402" t="s">
        <v>599</v>
      </c>
      <c r="C63" s="468" t="str">
        <f>Data!$C$9</f>
        <v>£m 18/19</v>
      </c>
      <c r="D63" s="475">
        <v>0</v>
      </c>
      <c r="E63" s="475">
        <v>0</v>
      </c>
      <c r="F63" s="475">
        <v>0</v>
      </c>
      <c r="G63" s="475">
        <v>0</v>
      </c>
      <c r="H63" s="475">
        <v>0</v>
      </c>
      <c r="I63" s="15">
        <f>SUM(D63:INDEX(D63:H63,0,MATCH('RFPR cover'!$C$9,$D$6:$H$6,0)))</f>
        <v>0</v>
      </c>
      <c r="J63" s="17">
        <f t="shared" ref="J63:J64" si="26">SUM(D63:H63)</f>
        <v>0</v>
      </c>
      <c r="K63" s="396"/>
      <c r="L63" s="396"/>
      <c r="M63" s="396"/>
      <c r="N63" s="396"/>
      <c r="O63" s="396"/>
      <c r="P63" s="396"/>
      <c r="Q63" s="396"/>
      <c r="R63" s="114"/>
      <c r="S63" s="114"/>
    </row>
    <row r="64" spans="2:19">
      <c r="B64" s="396" t="s">
        <v>600</v>
      </c>
      <c r="C64" s="468" t="str">
        <f>Data!$C$9</f>
        <v>£m 18/19</v>
      </c>
      <c r="D64" s="498">
        <f>SUM(D62:D63)</f>
        <v>0</v>
      </c>
      <c r="E64" s="498">
        <f t="shared" ref="E64:H64" si="27">SUM(E62:E63)</f>
        <v>0</v>
      </c>
      <c r="F64" s="498">
        <f t="shared" si="27"/>
        <v>0</v>
      </c>
      <c r="G64" s="498">
        <f t="shared" si="27"/>
        <v>0</v>
      </c>
      <c r="H64" s="498">
        <f t="shared" si="27"/>
        <v>0</v>
      </c>
      <c r="I64" s="15">
        <f>SUM(D64:INDEX(D64:H64,0,MATCH('RFPR cover'!$C$9,$D$6:$H$6,0)))</f>
        <v>0</v>
      </c>
      <c r="J64" s="17">
        <f t="shared" si="26"/>
        <v>0</v>
      </c>
      <c r="K64" s="396"/>
      <c r="L64" s="396"/>
      <c r="M64" s="396"/>
      <c r="N64" s="396"/>
      <c r="O64" s="396"/>
      <c r="P64" s="396"/>
      <c r="Q64" s="396"/>
      <c r="R64" s="114"/>
      <c r="S64" s="114"/>
    </row>
    <row r="65" spans="2:20">
      <c r="B65" s="396"/>
      <c r="C65" s="396"/>
      <c r="D65" s="396"/>
      <c r="E65" s="396"/>
      <c r="F65" s="396"/>
      <c r="G65" s="396"/>
      <c r="H65" s="396"/>
      <c r="I65" s="396"/>
      <c r="J65" s="396"/>
      <c r="K65" s="396"/>
      <c r="L65" s="396"/>
      <c r="M65" s="396"/>
      <c r="N65" s="396"/>
      <c r="O65" s="396"/>
      <c r="P65" s="396"/>
      <c r="Q65" s="396"/>
      <c r="R65" s="114"/>
      <c r="S65" s="114"/>
    </row>
    <row r="66" spans="2:20">
      <c r="B66" s="389" t="s">
        <v>602</v>
      </c>
      <c r="C66" s="468" t="str">
        <f>Data!$C$9</f>
        <v>£m 18/19</v>
      </c>
      <c r="D66" s="498">
        <f>D59*D51</f>
        <v>0</v>
      </c>
      <c r="E66" s="498">
        <f t="shared" ref="E66:H66" si="28">E59*E51</f>
        <v>0</v>
      </c>
      <c r="F66" s="498">
        <f t="shared" si="28"/>
        <v>0</v>
      </c>
      <c r="G66" s="498">
        <f t="shared" si="28"/>
        <v>0</v>
      </c>
      <c r="H66" s="498">
        <f t="shared" si="28"/>
        <v>0</v>
      </c>
      <c r="I66" s="18">
        <f>SUM(D66:INDEX(D66:H66,0,MATCH('RFPR cover'!$C$9,$D$6:$H$6,0)))</f>
        <v>0</v>
      </c>
      <c r="J66" s="20">
        <f>SUM(D66:H66)</f>
        <v>0</v>
      </c>
      <c r="K66" s="396"/>
      <c r="L66" s="396"/>
      <c r="M66" s="396"/>
      <c r="N66" s="396"/>
      <c r="O66" s="396"/>
      <c r="P66" s="396"/>
      <c r="Q66" s="396"/>
      <c r="R66" s="114"/>
      <c r="S66" s="114"/>
    </row>
    <row r="67" spans="2:20">
      <c r="B67" s="389" t="s">
        <v>603</v>
      </c>
      <c r="C67" s="468" t="str">
        <f>Data!$C$9</f>
        <v>£m 18/19</v>
      </c>
      <c r="D67" s="498">
        <f t="shared" ref="D67:H67" si="29">D59*(1-D51)+D64</f>
        <v>0</v>
      </c>
      <c r="E67" s="498">
        <f t="shared" si="29"/>
        <v>0</v>
      </c>
      <c r="F67" s="498">
        <f t="shared" si="29"/>
        <v>0</v>
      </c>
      <c r="G67" s="498">
        <f t="shared" si="29"/>
        <v>0</v>
      </c>
      <c r="H67" s="498">
        <f t="shared" si="29"/>
        <v>0</v>
      </c>
      <c r="I67" s="18">
        <f>SUM(D67:INDEX(D67:H67,0,MATCH('RFPR cover'!$C$9,$D$6:$H$6,0)))</f>
        <v>0</v>
      </c>
      <c r="J67" s="17">
        <f>SUM(D67:H67)</f>
        <v>0</v>
      </c>
      <c r="K67" s="396"/>
      <c r="L67" s="396"/>
      <c r="M67" s="396"/>
      <c r="N67" s="396"/>
      <c r="O67" s="396"/>
      <c r="P67" s="396"/>
      <c r="Q67" s="396"/>
      <c r="R67" s="114"/>
      <c r="S67" s="114"/>
    </row>
    <row r="68" spans="2:20">
      <c r="B68" s="396"/>
      <c r="C68" s="396"/>
      <c r="D68" s="396"/>
      <c r="E68" s="396"/>
      <c r="F68" s="396"/>
      <c r="G68" s="396"/>
      <c r="H68" s="396"/>
      <c r="I68" s="396"/>
      <c r="J68" s="396"/>
      <c r="K68" s="396"/>
      <c r="L68" s="396"/>
      <c r="M68" s="396"/>
      <c r="N68" s="396"/>
      <c r="O68" s="396"/>
      <c r="P68" s="396"/>
      <c r="Q68" s="396"/>
      <c r="R68" s="114"/>
      <c r="S68" s="114"/>
    </row>
    <row r="69" spans="2:20">
      <c r="B69" s="396" t="s">
        <v>604</v>
      </c>
      <c r="C69" s="396"/>
      <c r="D69" s="396"/>
      <c r="E69" s="396"/>
      <c r="F69" s="396"/>
      <c r="G69" s="396"/>
      <c r="H69" s="396"/>
      <c r="I69" s="396"/>
      <c r="J69" s="396"/>
      <c r="K69" s="396"/>
      <c r="L69" s="396"/>
      <c r="M69" s="396"/>
      <c r="N69" s="396"/>
      <c r="O69" s="396"/>
      <c r="P69" s="396"/>
      <c r="Q69" s="396"/>
      <c r="R69" s="114"/>
      <c r="S69" s="114"/>
    </row>
    <row r="70" spans="2:20">
      <c r="B70" s="389" t="s">
        <v>595</v>
      </c>
      <c r="C70" s="468" t="str">
        <f>Data!$C$9</f>
        <v>£m 18/19</v>
      </c>
      <c r="D70" s="498">
        <f>D66+D53</f>
        <v>0.27393647921534958</v>
      </c>
      <c r="E70" s="498">
        <f t="shared" ref="E70:H70" si="30">E66+E53</f>
        <v>9.0084109157859249E-2</v>
      </c>
      <c r="F70" s="498">
        <f t="shared" si="30"/>
        <v>9.9748063791825547E-2</v>
      </c>
      <c r="G70" s="498">
        <f t="shared" si="30"/>
        <v>0.19492168010370747</v>
      </c>
      <c r="H70" s="498">
        <f t="shared" si="30"/>
        <v>0.3626190304567114</v>
      </c>
      <c r="I70" s="15">
        <f>SUM(D70:INDEX(D70:H70,0,MATCH('RFPR cover'!$C$9,$D$6:$H$6,0)))</f>
        <v>0.46376865216503438</v>
      </c>
      <c r="J70" s="17">
        <f>SUM(D70:H70)</f>
        <v>1.0213093627254533</v>
      </c>
      <c r="K70" s="396"/>
      <c r="L70" s="396"/>
      <c r="M70" s="396"/>
      <c r="N70" s="396"/>
      <c r="O70" s="396"/>
      <c r="P70" s="396"/>
      <c r="Q70" s="396"/>
      <c r="R70" s="114"/>
      <c r="S70" s="114"/>
    </row>
    <row r="71" spans="2:20">
      <c r="B71" s="389" t="s">
        <v>596</v>
      </c>
      <c r="C71" s="468" t="str">
        <f>Data!$C$9</f>
        <v>£m 18/19</v>
      </c>
      <c r="D71" s="498">
        <f>D54+D67</f>
        <v>0.27393647921534958</v>
      </c>
      <c r="E71" s="498">
        <f t="shared" ref="E71:H71" si="31">E54+E67</f>
        <v>9.0084109157859249E-2</v>
      </c>
      <c r="F71" s="498">
        <f t="shared" si="31"/>
        <v>9.9748063791825547E-2</v>
      </c>
      <c r="G71" s="498">
        <f t="shared" si="31"/>
        <v>0.19492168010370747</v>
      </c>
      <c r="H71" s="498">
        <f t="shared" si="31"/>
        <v>0.3626190304567114</v>
      </c>
      <c r="I71" s="15">
        <f>SUM(D71:INDEX(D71:H71,0,MATCH('RFPR cover'!$C$9,$D$6:$H$6,0)))</f>
        <v>0.46376865216503438</v>
      </c>
      <c r="J71" s="17">
        <f t="shared" ref="J71" si="32">SUM(D71:H71)</f>
        <v>1.0213093627254533</v>
      </c>
      <c r="K71" s="396"/>
      <c r="L71" s="396"/>
      <c r="M71" s="396"/>
      <c r="N71" s="396"/>
      <c r="O71" s="396"/>
      <c r="P71" s="396"/>
      <c r="Q71" s="396"/>
      <c r="R71" s="114"/>
      <c r="S71" s="114"/>
    </row>
    <row r="72" spans="2:20">
      <c r="B72" s="396" t="s">
        <v>605</v>
      </c>
      <c r="C72" s="476" t="str">
        <f>Data!$C$9</f>
        <v>£m 18/19</v>
      </c>
      <c r="D72" s="498">
        <f>SUM(D70:D71)</f>
        <v>0.54787295843069916</v>
      </c>
      <c r="E72" s="498">
        <f t="shared" ref="E72:H72" si="33">SUM(E70:E71)</f>
        <v>0.1801682183157185</v>
      </c>
      <c r="F72" s="498">
        <f t="shared" si="33"/>
        <v>0.19949612758365109</v>
      </c>
      <c r="G72" s="498">
        <f t="shared" si="33"/>
        <v>0.38984336020741495</v>
      </c>
      <c r="H72" s="498">
        <f t="shared" si="33"/>
        <v>0.7252380609134228</v>
      </c>
      <c r="I72" s="15">
        <f>SUM(D72:INDEX(D72:H72,0,MATCH('RFPR cover'!$C$9,$D$6:$H$6,0)))</f>
        <v>0.92753730433006876</v>
      </c>
      <c r="J72" s="17">
        <f t="shared" ref="J72" si="34">SUM(D72:H72)</f>
        <v>2.0426187254509065</v>
      </c>
      <c r="K72" s="114"/>
      <c r="L72" s="114"/>
      <c r="M72" s="114"/>
      <c r="N72" s="114"/>
      <c r="O72" s="114"/>
      <c r="P72" s="114"/>
      <c r="Q72" s="114"/>
      <c r="R72" s="114"/>
      <c r="S72" s="114"/>
    </row>
    <row r="73" spans="2:20">
      <c r="C73" s="468"/>
      <c r="D73" s="468"/>
      <c r="E73" s="468"/>
      <c r="F73" s="468"/>
      <c r="G73" s="468"/>
      <c r="H73" s="468"/>
      <c r="I73" s="468"/>
      <c r="J73" s="468"/>
      <c r="K73" s="468"/>
      <c r="L73" s="468"/>
      <c r="M73" s="468"/>
      <c r="N73" s="468"/>
      <c r="O73" s="468"/>
      <c r="P73" s="468"/>
      <c r="Q73" s="468"/>
      <c r="R73" s="468"/>
      <c r="S73" s="468"/>
      <c r="T73" s="468"/>
    </row>
    <row r="74" spans="2:20">
      <c r="B74" s="477" t="s">
        <v>607</v>
      </c>
      <c r="C74" s="392"/>
      <c r="D74" s="394"/>
      <c r="E74" s="394"/>
      <c r="F74" s="394"/>
      <c r="G74" s="394"/>
      <c r="H74" s="394"/>
      <c r="I74" s="394"/>
      <c r="J74" s="394"/>
      <c r="K74" s="114"/>
      <c r="L74" s="114"/>
      <c r="M74" s="114"/>
      <c r="N74" s="114"/>
      <c r="O74" s="114"/>
      <c r="P74" s="114"/>
      <c r="Q74" s="114"/>
      <c r="R74" s="114"/>
      <c r="S74" s="114"/>
    </row>
    <row r="75" spans="2:20">
      <c r="D75" s="467"/>
      <c r="E75" s="467"/>
      <c r="F75" s="467"/>
      <c r="G75" s="467"/>
      <c r="H75" s="467"/>
      <c r="I75" s="467"/>
      <c r="J75" s="467"/>
      <c r="K75" s="114"/>
      <c r="L75" s="114"/>
      <c r="M75" s="114"/>
      <c r="N75" s="114"/>
      <c r="O75" s="114"/>
      <c r="P75" s="114"/>
      <c r="Q75" s="114"/>
      <c r="R75" s="114"/>
      <c r="S75" s="114"/>
    </row>
    <row r="76" spans="2:20">
      <c r="B76" s="88" t="s">
        <v>608</v>
      </c>
      <c r="C76" s="468" t="str">
        <f>Data!$C$9</f>
        <v>£m 18/19</v>
      </c>
      <c r="D76" s="469">
        <v>129.73329379563663</v>
      </c>
      <c r="E76" s="469">
        <v>140.72777395115651</v>
      </c>
      <c r="F76" s="469">
        <v>160.32866861289676</v>
      </c>
      <c r="G76" s="469">
        <v>144.84846505111219</v>
      </c>
      <c r="H76" s="469">
        <v>133.33268233492669</v>
      </c>
      <c r="I76" s="504">
        <f>SUM(D76:INDEX(D76:H76,0,MATCH('RFPR cover'!$C$9,$D$6:$H$6,0)))</f>
        <v>430.78973635968987</v>
      </c>
      <c r="J76" s="505">
        <f>SUM(D76:H76)</f>
        <v>708.97088374572877</v>
      </c>
      <c r="K76" s="114"/>
      <c r="L76" s="114"/>
      <c r="M76" s="114"/>
      <c r="N76" s="114"/>
      <c r="O76" s="114"/>
      <c r="P76" s="114"/>
      <c r="Q76" s="114"/>
      <c r="R76" s="114"/>
      <c r="S76" s="114"/>
    </row>
    <row r="77" spans="2:20" ht="16.5" customHeight="1">
      <c r="B77" s="470" t="s">
        <v>609</v>
      </c>
      <c r="C77" s="478" t="str">
        <f>Data!$C$9</f>
        <v>£m 18/19</v>
      </c>
      <c r="D77" s="469">
        <v>129.40051110181898</v>
      </c>
      <c r="E77" s="469">
        <v>124.49895071630178</v>
      </c>
      <c r="F77" s="469">
        <v>126.96677137860364</v>
      </c>
      <c r="G77" s="469">
        <v>124.32549329327675</v>
      </c>
      <c r="H77" s="469">
        <v>121.24960163459295</v>
      </c>
      <c r="I77" s="509">
        <f>SUM(D77:INDEX(D77:H77,0,MATCH('RFPR cover'!$C$9,$D$6:$H$6,0)))</f>
        <v>380.86623319672441</v>
      </c>
      <c r="J77" s="510">
        <f>SUM(D77:H77)</f>
        <v>626.44132812459407</v>
      </c>
      <c r="K77" s="479"/>
      <c r="L77" s="479"/>
      <c r="M77" s="479"/>
      <c r="N77" s="479"/>
      <c r="O77" s="479"/>
      <c r="P77" s="479"/>
      <c r="Q77" s="479"/>
      <c r="R77" s="479"/>
      <c r="S77" s="479"/>
    </row>
    <row r="78" spans="2:20">
      <c r="B78" s="86" t="s">
        <v>593</v>
      </c>
      <c r="C78" s="468" t="str">
        <f>Data!$C$9</f>
        <v>£m 18/19</v>
      </c>
      <c r="D78" s="498">
        <f>D77-D76</f>
        <v>-0.33278269381764858</v>
      </c>
      <c r="E78" s="498">
        <f t="shared" ref="E78:J78" si="35">E77-E76</f>
        <v>-16.22882323485473</v>
      </c>
      <c r="F78" s="498">
        <f t="shared" si="35"/>
        <v>-33.361897234293124</v>
      </c>
      <c r="G78" s="498">
        <f t="shared" si="35"/>
        <v>-20.522971757835435</v>
      </c>
      <c r="H78" s="498">
        <f t="shared" si="35"/>
        <v>-12.083080700333738</v>
      </c>
      <c r="I78" s="153">
        <f t="shared" si="35"/>
        <v>-49.92350316296546</v>
      </c>
      <c r="J78" s="240">
        <f t="shared" si="35"/>
        <v>-82.529555621134705</v>
      </c>
      <c r="K78" s="114"/>
      <c r="L78" s="114"/>
      <c r="M78" s="114"/>
      <c r="N78" s="114"/>
      <c r="O78" s="114"/>
      <c r="P78" s="114"/>
      <c r="Q78" s="114"/>
      <c r="R78" s="114"/>
      <c r="S78" s="114"/>
    </row>
    <row r="79" spans="2:20">
      <c r="B79" s="86"/>
      <c r="C79" s="468"/>
      <c r="D79" s="472"/>
      <c r="E79" s="472"/>
      <c r="F79" s="472"/>
      <c r="G79" s="472"/>
      <c r="H79" s="472"/>
      <c r="I79" s="472"/>
      <c r="J79" s="472"/>
      <c r="K79" s="114"/>
      <c r="L79" s="114"/>
      <c r="M79" s="114"/>
      <c r="N79" s="114"/>
      <c r="O79" s="114"/>
      <c r="P79" s="114"/>
      <c r="Q79" s="114"/>
      <c r="R79" s="114"/>
      <c r="S79" s="114"/>
    </row>
    <row r="80" spans="2:20">
      <c r="B80" s="389" t="s">
        <v>594</v>
      </c>
      <c r="C80" s="29" t="s">
        <v>486</v>
      </c>
      <c r="D80" s="508">
        <f>INDEX(Data!$C$63:$C$91,MATCH('RFPR cover'!$C$7,Data!$B$63:$B$91,0),0)</f>
        <v>0.5</v>
      </c>
      <c r="E80" s="508">
        <f>INDEX(Data!$C$63:$C$91,MATCH('RFPR cover'!$C$7,Data!$B$63:$B$91,0),0)</f>
        <v>0.5</v>
      </c>
      <c r="F80" s="508">
        <f>INDEX(Data!$C$63:$C$91,MATCH('RFPR cover'!$C$7,Data!$B$63:$B$91,0),0)</f>
        <v>0.5</v>
      </c>
      <c r="G80" s="508">
        <f>INDEX(Data!$C$63:$C$91,MATCH('RFPR cover'!$C$7,Data!$B$63:$B$91,0),0)</f>
        <v>0.5</v>
      </c>
      <c r="H80" s="508">
        <f>INDEX(Data!$C$63:$C$91,MATCH('RFPR cover'!$C$7,Data!$B$63:$B$91,0),0)</f>
        <v>0.5</v>
      </c>
      <c r="I80" s="474"/>
      <c r="J80" s="474"/>
      <c r="K80" s="114"/>
      <c r="L80" s="114"/>
      <c r="M80" s="114"/>
      <c r="N80" s="114"/>
      <c r="O80" s="114"/>
      <c r="P80" s="114"/>
      <c r="Q80" s="114"/>
      <c r="R80" s="114"/>
      <c r="S80" s="114"/>
    </row>
    <row r="81" spans="2:19">
      <c r="K81" s="114"/>
      <c r="L81" s="114"/>
      <c r="M81" s="114"/>
      <c r="N81" s="114"/>
      <c r="O81" s="114"/>
      <c r="P81" s="114"/>
      <c r="Q81" s="114"/>
      <c r="R81" s="114"/>
      <c r="S81" s="114"/>
    </row>
    <row r="82" spans="2:19">
      <c r="B82" s="389" t="s">
        <v>595</v>
      </c>
      <c r="C82" s="468" t="str">
        <f>Data!$C$9</f>
        <v>£m 18/19</v>
      </c>
      <c r="D82" s="498">
        <f>D78*D80</f>
        <v>-0.16639134690882429</v>
      </c>
      <c r="E82" s="498">
        <f t="shared" ref="E82:H82" si="36">E78*E80</f>
        <v>-8.1144116174273648</v>
      </c>
      <c r="F82" s="498">
        <f t="shared" si="36"/>
        <v>-16.680948617146562</v>
      </c>
      <c r="G82" s="498">
        <f t="shared" si="36"/>
        <v>-10.261485878917718</v>
      </c>
      <c r="H82" s="498">
        <f t="shared" si="36"/>
        <v>-6.0415403501668692</v>
      </c>
      <c r="I82" s="54">
        <f>SUM(D82:INDEX(D82:H82,0,MATCH('RFPR cover'!$C$9,$D$6:$H$6,0)))</f>
        <v>-24.961751581482751</v>
      </c>
      <c r="J82" s="82">
        <f>SUM(D82:H82)</f>
        <v>-41.264777810567338</v>
      </c>
      <c r="K82" s="114"/>
      <c r="L82" s="114"/>
      <c r="M82" s="114"/>
      <c r="N82" s="114"/>
      <c r="O82" s="114"/>
      <c r="P82" s="114"/>
      <c r="Q82" s="114"/>
      <c r="R82" s="114"/>
      <c r="S82" s="114"/>
    </row>
    <row r="83" spans="2:19">
      <c r="B83" s="389" t="s">
        <v>596</v>
      </c>
      <c r="C83" s="468" t="str">
        <f>Data!$C$9</f>
        <v>£m 18/19</v>
      </c>
      <c r="D83" s="498">
        <f>D78*(1-D80)</f>
        <v>-0.16639134690882429</v>
      </c>
      <c r="E83" s="498">
        <f t="shared" ref="E83:H83" si="37">E78*(1-E80)</f>
        <v>-8.1144116174273648</v>
      </c>
      <c r="F83" s="498">
        <f t="shared" si="37"/>
        <v>-16.680948617146562</v>
      </c>
      <c r="G83" s="498">
        <f t="shared" si="37"/>
        <v>-10.261485878917718</v>
      </c>
      <c r="H83" s="498">
        <f t="shared" si="37"/>
        <v>-6.0415403501668692</v>
      </c>
      <c r="I83" s="83">
        <f>SUM(D83:INDEX(D83:H83,0,MATCH('RFPR cover'!$C$9,$D$6:$H$6,0)))</f>
        <v>-24.961751581482751</v>
      </c>
      <c r="J83" s="84">
        <f>SUM(D83:H83)</f>
        <v>-41.264777810567338</v>
      </c>
      <c r="K83" s="114"/>
      <c r="L83" s="114"/>
      <c r="M83" s="114"/>
      <c r="N83" s="114"/>
      <c r="O83" s="114"/>
      <c r="P83" s="114"/>
      <c r="Q83" s="114"/>
      <c r="R83" s="114"/>
      <c r="S83" s="114"/>
    </row>
    <row r="84" spans="2:19">
      <c r="C84" s="389"/>
      <c r="D84" s="389"/>
      <c r="E84" s="389"/>
      <c r="F84" s="389"/>
      <c r="G84" s="389"/>
      <c r="H84" s="389"/>
      <c r="I84" s="389"/>
      <c r="J84" s="389"/>
      <c r="K84" s="389"/>
      <c r="L84" s="389"/>
      <c r="M84" s="114"/>
      <c r="N84" s="114"/>
      <c r="O84" s="114"/>
      <c r="P84" s="114"/>
      <c r="Q84" s="114"/>
      <c r="R84" s="114"/>
      <c r="S84" s="114"/>
    </row>
    <row r="85" spans="2:19">
      <c r="B85" s="396" t="s">
        <v>597</v>
      </c>
      <c r="K85" s="389"/>
      <c r="L85" s="389"/>
      <c r="M85" s="114"/>
      <c r="N85" s="114"/>
      <c r="O85" s="114"/>
      <c r="P85" s="114"/>
      <c r="Q85" s="114"/>
      <c r="R85" s="114"/>
      <c r="S85" s="114"/>
    </row>
    <row r="86" spans="2:19">
      <c r="B86" s="402" t="s">
        <v>598</v>
      </c>
      <c r="C86" s="468" t="str">
        <f>Data!$C$9</f>
        <v>£m 18/19</v>
      </c>
      <c r="D86" s="475">
        <v>0</v>
      </c>
      <c r="E86" s="475">
        <v>0</v>
      </c>
      <c r="F86" s="475">
        <v>0</v>
      </c>
      <c r="G86" s="475">
        <v>0</v>
      </c>
      <c r="H86" s="475">
        <v>0</v>
      </c>
      <c r="I86" s="15">
        <f>SUM(D86:INDEX(D86:H86,0,MATCH('RFPR cover'!$C$9,$D$6:$H$6,0)))</f>
        <v>0</v>
      </c>
      <c r="J86" s="17">
        <f>SUM(D86:H86)</f>
        <v>0</v>
      </c>
      <c r="K86" s="389"/>
      <c r="L86" s="389"/>
      <c r="M86" s="114"/>
      <c r="N86" s="114"/>
      <c r="O86" s="114"/>
      <c r="P86" s="114"/>
      <c r="Q86" s="114"/>
      <c r="R86" s="114"/>
      <c r="S86" s="114"/>
    </row>
    <row r="87" spans="2:19">
      <c r="B87" s="402" t="s">
        <v>599</v>
      </c>
      <c r="C87" s="468" t="str">
        <f>Data!$C$9</f>
        <v>£m 18/19</v>
      </c>
      <c r="D87" s="475">
        <v>0</v>
      </c>
      <c r="E87" s="475">
        <v>0</v>
      </c>
      <c r="F87" s="475">
        <v>0</v>
      </c>
      <c r="G87" s="475">
        <v>0</v>
      </c>
      <c r="H87" s="475">
        <v>0</v>
      </c>
      <c r="I87" s="15">
        <f>SUM(D87:INDEX(D87:H87,0,MATCH('RFPR cover'!$C$9,$D$6:$H$6,0)))</f>
        <v>0</v>
      </c>
      <c r="J87" s="17">
        <f t="shared" ref="J87:J88" si="38">SUM(D87:H87)</f>
        <v>0</v>
      </c>
      <c r="K87" s="389"/>
      <c r="L87" s="389"/>
      <c r="M87" s="114"/>
      <c r="N87" s="114"/>
      <c r="O87" s="114"/>
      <c r="P87" s="114"/>
      <c r="Q87" s="114"/>
      <c r="R87" s="114"/>
      <c r="S87" s="114"/>
    </row>
    <row r="88" spans="2:19">
      <c r="B88" s="396" t="s">
        <v>600</v>
      </c>
      <c r="C88" s="468" t="str">
        <f>Data!$C$9</f>
        <v>£m 18/19</v>
      </c>
      <c r="D88" s="498">
        <f>SUM(D86:D87)</f>
        <v>0</v>
      </c>
      <c r="E88" s="498">
        <f t="shared" ref="E88" si="39">SUM(E86:E87)</f>
        <v>0</v>
      </c>
      <c r="F88" s="498">
        <f t="shared" ref="F88" si="40">SUM(F86:F87)</f>
        <v>0</v>
      </c>
      <c r="G88" s="498">
        <f t="shared" ref="G88" si="41">SUM(G86:G87)</f>
        <v>0</v>
      </c>
      <c r="H88" s="498">
        <f t="shared" ref="H88" si="42">SUM(H86:H87)</f>
        <v>0</v>
      </c>
      <c r="I88" s="15">
        <f>SUM(D88:INDEX(D88:H88,0,MATCH('RFPR cover'!$C$9,$D$6:$H$6,0)))</f>
        <v>0</v>
      </c>
      <c r="J88" s="17">
        <f t="shared" si="38"/>
        <v>0</v>
      </c>
      <c r="K88" s="389"/>
      <c r="L88" s="389"/>
      <c r="M88" s="114"/>
      <c r="N88" s="114"/>
      <c r="O88" s="114"/>
      <c r="P88" s="114"/>
      <c r="Q88" s="114"/>
      <c r="R88" s="114"/>
      <c r="S88" s="114"/>
    </row>
    <row r="89" spans="2:19">
      <c r="B89" s="396"/>
      <c r="C89" s="396"/>
      <c r="D89" s="396"/>
      <c r="E89" s="396"/>
      <c r="F89" s="396"/>
      <c r="G89" s="396"/>
      <c r="H89" s="396"/>
      <c r="I89" s="396"/>
      <c r="J89" s="396"/>
      <c r="K89" s="389"/>
      <c r="L89" s="389"/>
      <c r="M89" s="114"/>
      <c r="N89" s="114"/>
      <c r="O89" s="114"/>
      <c r="P89" s="114"/>
      <c r="Q89" s="114"/>
      <c r="R89" s="114"/>
      <c r="S89" s="114"/>
    </row>
    <row r="90" spans="2:19">
      <c r="B90" s="389" t="s">
        <v>602</v>
      </c>
      <c r="C90" s="468"/>
      <c r="D90" s="498">
        <f>D88*D80</f>
        <v>0</v>
      </c>
      <c r="E90" s="498">
        <f t="shared" ref="E90:H90" si="43">E88*E80</f>
        <v>0</v>
      </c>
      <c r="F90" s="498">
        <f t="shared" si="43"/>
        <v>0</v>
      </c>
      <c r="G90" s="498">
        <f t="shared" si="43"/>
        <v>0</v>
      </c>
      <c r="H90" s="498">
        <f t="shared" si="43"/>
        <v>0</v>
      </c>
      <c r="I90" s="18">
        <f>SUM(D90:INDEX(D90:H90,0,MATCH('RFPR cover'!$C$9,$D$6:$H$6,0)))</f>
        <v>0</v>
      </c>
      <c r="J90" s="20">
        <f>SUM(D90:H90)</f>
        <v>0</v>
      </c>
      <c r="K90" s="389"/>
      <c r="L90" s="389"/>
      <c r="M90" s="114"/>
      <c r="N90" s="114"/>
      <c r="O90" s="114"/>
      <c r="P90" s="114"/>
      <c r="Q90" s="114"/>
      <c r="R90" s="114"/>
      <c r="S90" s="114"/>
    </row>
    <row r="91" spans="2:19">
      <c r="B91" s="389" t="s">
        <v>603</v>
      </c>
      <c r="C91" s="468"/>
      <c r="D91" s="498">
        <f>D88*(1-D80)</f>
        <v>0</v>
      </c>
      <c r="E91" s="498">
        <f t="shared" ref="E91:H91" si="44">E88*(1-E80)</f>
        <v>0</v>
      </c>
      <c r="F91" s="498">
        <f t="shared" si="44"/>
        <v>0</v>
      </c>
      <c r="G91" s="498">
        <f t="shared" si="44"/>
        <v>0</v>
      </c>
      <c r="H91" s="498">
        <f t="shared" si="44"/>
        <v>0</v>
      </c>
      <c r="I91" s="15">
        <v>0</v>
      </c>
      <c r="J91" s="17">
        <f>SUM(D91:H91)</f>
        <v>0</v>
      </c>
      <c r="K91" s="389"/>
      <c r="L91" s="389"/>
      <c r="M91" s="114"/>
      <c r="N91" s="114"/>
      <c r="O91" s="114"/>
      <c r="P91" s="114"/>
      <c r="Q91" s="114"/>
      <c r="R91" s="114"/>
      <c r="S91" s="114"/>
    </row>
    <row r="92" spans="2:19">
      <c r="B92" s="396"/>
      <c r="C92" s="396"/>
      <c r="D92" s="396"/>
      <c r="E92" s="396"/>
      <c r="F92" s="396"/>
      <c r="G92" s="396"/>
      <c r="H92" s="396"/>
      <c r="I92" s="396"/>
      <c r="J92" s="396"/>
      <c r="K92" s="389"/>
      <c r="L92" s="389"/>
      <c r="M92" s="114"/>
      <c r="N92" s="114"/>
      <c r="O92" s="114"/>
      <c r="P92" s="114"/>
      <c r="Q92" s="114"/>
      <c r="R92" s="114"/>
      <c r="S92" s="114"/>
    </row>
    <row r="93" spans="2:19">
      <c r="B93" s="396" t="s">
        <v>604</v>
      </c>
      <c r="C93" s="396"/>
      <c r="D93" s="396"/>
      <c r="E93" s="396"/>
      <c r="F93" s="396"/>
      <c r="G93" s="396"/>
      <c r="H93" s="396"/>
      <c r="I93" s="396"/>
      <c r="J93" s="396"/>
      <c r="K93" s="389"/>
      <c r="L93" s="389"/>
      <c r="M93" s="114"/>
      <c r="N93" s="114"/>
      <c r="O93" s="114"/>
      <c r="P93" s="114"/>
      <c r="Q93" s="114"/>
      <c r="R93" s="114"/>
      <c r="S93" s="114"/>
    </row>
    <row r="94" spans="2:19">
      <c r="B94" s="389" t="s">
        <v>595</v>
      </c>
      <c r="C94" s="468" t="str">
        <f>Data!$C$9</f>
        <v>£m 18/19</v>
      </c>
      <c r="D94" s="498">
        <f>D90+D82</f>
        <v>-0.16639134690882429</v>
      </c>
      <c r="E94" s="498">
        <f t="shared" ref="E94:H94" si="45">E90+E82</f>
        <v>-8.1144116174273648</v>
      </c>
      <c r="F94" s="498">
        <f t="shared" si="45"/>
        <v>-16.680948617146562</v>
      </c>
      <c r="G94" s="498">
        <f t="shared" si="45"/>
        <v>-10.261485878917718</v>
      </c>
      <c r="H94" s="498">
        <f t="shared" si="45"/>
        <v>-6.0415403501668692</v>
      </c>
      <c r="I94" s="15">
        <f>SUM(D94:INDEX(D94:H94,0,MATCH('RFPR cover'!$C$9,$D$6:$H$6,0)))</f>
        <v>-24.961751581482751</v>
      </c>
      <c r="J94" s="17">
        <f>SUM(D94:H94)</f>
        <v>-41.264777810567338</v>
      </c>
      <c r="K94" s="389"/>
      <c r="L94" s="389"/>
      <c r="M94" s="114"/>
      <c r="N94" s="114"/>
      <c r="O94" s="114"/>
      <c r="P94" s="114"/>
      <c r="Q94" s="114"/>
      <c r="R94" s="114"/>
      <c r="S94" s="114"/>
    </row>
    <row r="95" spans="2:19">
      <c r="B95" s="389" t="s">
        <v>596</v>
      </c>
      <c r="C95" s="468" t="str">
        <f>Data!$C$9</f>
        <v>£m 18/19</v>
      </c>
      <c r="D95" s="498">
        <f>D83+D91</f>
        <v>-0.16639134690882429</v>
      </c>
      <c r="E95" s="498">
        <f t="shared" ref="E95:H95" si="46">E83+E91</f>
        <v>-8.1144116174273648</v>
      </c>
      <c r="F95" s="498">
        <f t="shared" si="46"/>
        <v>-16.680948617146562</v>
      </c>
      <c r="G95" s="498">
        <f t="shared" si="46"/>
        <v>-10.261485878917718</v>
      </c>
      <c r="H95" s="498">
        <f t="shared" si="46"/>
        <v>-6.0415403501668692</v>
      </c>
      <c r="I95" s="15">
        <f>SUM(D95:INDEX(D95:H95,0,MATCH('RFPR cover'!$C$9,$D$6:$H$6,0)))</f>
        <v>-24.961751581482751</v>
      </c>
      <c r="J95" s="17">
        <f t="shared" ref="J95:J96" si="47">SUM(D95:H95)</f>
        <v>-41.264777810567338</v>
      </c>
      <c r="K95" s="389"/>
      <c r="L95" s="389"/>
      <c r="M95" s="114"/>
      <c r="N95" s="114"/>
      <c r="O95" s="114"/>
      <c r="P95" s="114"/>
      <c r="Q95" s="114"/>
      <c r="R95" s="114"/>
      <c r="S95" s="114"/>
    </row>
    <row r="96" spans="2:19">
      <c r="B96" s="396" t="s">
        <v>605</v>
      </c>
      <c r="C96" s="476" t="str">
        <f>Data!$C$9</f>
        <v>£m 18/19</v>
      </c>
      <c r="D96" s="498">
        <f>SUM(D94:D95)</f>
        <v>-0.33278269381764858</v>
      </c>
      <c r="E96" s="498">
        <f t="shared" ref="E96:H96" si="48">SUM(E94:E95)</f>
        <v>-16.22882323485473</v>
      </c>
      <c r="F96" s="498">
        <f t="shared" si="48"/>
        <v>-33.361897234293124</v>
      </c>
      <c r="G96" s="498">
        <f t="shared" si="48"/>
        <v>-20.522971757835435</v>
      </c>
      <c r="H96" s="498">
        <f t="shared" si="48"/>
        <v>-12.083080700333738</v>
      </c>
      <c r="I96" s="15">
        <f>SUM(D96:INDEX(D96:H96,0,MATCH('RFPR cover'!$C$9,$D$6:$H$6,0)))</f>
        <v>-49.923503162965503</v>
      </c>
      <c r="J96" s="17">
        <f t="shared" si="47"/>
        <v>-82.529555621134676</v>
      </c>
      <c r="K96" s="114"/>
      <c r="L96" s="114"/>
      <c r="M96" s="114"/>
      <c r="N96" s="114"/>
      <c r="O96" s="114"/>
      <c r="P96" s="114"/>
      <c r="Q96" s="114"/>
      <c r="R96" s="114"/>
      <c r="S96" s="114"/>
    </row>
    <row r="97" spans="2:19">
      <c r="K97" s="114"/>
      <c r="L97" s="114"/>
      <c r="M97" s="114"/>
      <c r="N97" s="114"/>
      <c r="O97" s="114"/>
      <c r="P97" s="114"/>
      <c r="Q97" s="114"/>
      <c r="R97" s="114"/>
      <c r="S97" s="114"/>
    </row>
    <row r="98" spans="2:19">
      <c r="B98" s="391" t="s">
        <v>610</v>
      </c>
      <c r="C98" s="392"/>
      <c r="D98" s="394"/>
      <c r="E98" s="394"/>
      <c r="F98" s="394"/>
      <c r="G98" s="394"/>
      <c r="H98" s="394"/>
      <c r="I98" s="394"/>
      <c r="J98" s="394"/>
      <c r="Q98" s="114"/>
      <c r="R98" s="114"/>
      <c r="S98" s="114"/>
    </row>
    <row r="99" spans="2:19">
      <c r="K99" s="114"/>
      <c r="L99" s="114"/>
      <c r="M99" s="114"/>
      <c r="N99" s="114"/>
      <c r="O99" s="114"/>
      <c r="P99" s="114"/>
      <c r="Q99" s="114"/>
      <c r="R99" s="114"/>
      <c r="S99" s="114"/>
    </row>
    <row r="100" spans="2:19">
      <c r="B100" s="396" t="s">
        <v>611</v>
      </c>
      <c r="Q100" s="114"/>
      <c r="R100" s="114"/>
      <c r="S100" s="114"/>
    </row>
    <row r="101" spans="2:19">
      <c r="B101" s="389" t="s">
        <v>612</v>
      </c>
      <c r="C101" s="468" t="str">
        <f>Data!$C$9</f>
        <v>£m 18/19</v>
      </c>
      <c r="D101" s="498">
        <f t="shared" ref="D101:H102" si="49">D41+D70+D94</f>
        <v>7.9446842034640266</v>
      </c>
      <c r="E101" s="498">
        <f t="shared" si="49"/>
        <v>-8.1108522603123969</v>
      </c>
      <c r="F101" s="498">
        <f t="shared" si="49"/>
        <v>-21.131785348588227</v>
      </c>
      <c r="G101" s="498">
        <f t="shared" si="49"/>
        <v>-21.643873651435573</v>
      </c>
      <c r="H101" s="498">
        <f t="shared" si="49"/>
        <v>-18.812380922789593</v>
      </c>
      <c r="I101" s="15">
        <f>SUM(D101:INDEX(D101:H101,0,MATCH('RFPR cover'!$C$9,$D$6:$H$6,0)))</f>
        <v>-21.297953405436598</v>
      </c>
      <c r="J101" s="17">
        <f>SUM(D101:H101)</f>
        <v>-61.754207979661764</v>
      </c>
      <c r="Q101" s="114"/>
      <c r="R101" s="428"/>
      <c r="S101" s="114"/>
    </row>
    <row r="102" spans="2:19">
      <c r="B102" s="389" t="s">
        <v>596</v>
      </c>
      <c r="C102" s="468" t="str">
        <f>Data!$C$9</f>
        <v>£m 18/19</v>
      </c>
      <c r="D102" s="498">
        <f t="shared" si="49"/>
        <v>7.9446842034640266</v>
      </c>
      <c r="E102" s="498">
        <f t="shared" si="49"/>
        <v>-8.1108522603123969</v>
      </c>
      <c r="F102" s="498">
        <f t="shared" si="49"/>
        <v>-21.131785348588227</v>
      </c>
      <c r="G102" s="498">
        <f t="shared" si="49"/>
        <v>-21.643873651435573</v>
      </c>
      <c r="H102" s="498">
        <f t="shared" si="49"/>
        <v>-18.812380922789593</v>
      </c>
      <c r="I102" s="15">
        <f>SUM(D102:INDEX(D102:H102,0,MATCH('RFPR cover'!$C$9,$D$6:$H$6,0)))</f>
        <v>-21.297953405436598</v>
      </c>
      <c r="J102" s="17">
        <f t="shared" ref="J102:J103" si="50">SUM(D102:H102)</f>
        <v>-61.754207979661764</v>
      </c>
      <c r="Q102" s="114"/>
      <c r="R102" s="114"/>
      <c r="S102" s="114"/>
    </row>
    <row r="103" spans="2:19">
      <c r="B103" s="396" t="s">
        <v>613</v>
      </c>
      <c r="C103" s="476" t="str">
        <f>Data!$C$9</f>
        <v>£m 18/19</v>
      </c>
      <c r="D103" s="498">
        <f>SUM(D101:D102)</f>
        <v>15.889368406928053</v>
      </c>
      <c r="E103" s="498">
        <f t="shared" ref="E103:H103" si="51">SUM(E101:E102)</f>
        <v>-16.221704520624794</v>
      </c>
      <c r="F103" s="498">
        <f t="shared" si="51"/>
        <v>-42.263570697176455</v>
      </c>
      <c r="G103" s="498">
        <f t="shared" si="51"/>
        <v>-43.287747302871146</v>
      </c>
      <c r="H103" s="498">
        <f t="shared" si="51"/>
        <v>-37.624761845579187</v>
      </c>
      <c r="I103" s="15">
        <f>SUM(D103:INDEX(D103:H103,0,MATCH('RFPR cover'!$C$9,$D$6:$H$6,0)))</f>
        <v>-42.595906810873196</v>
      </c>
      <c r="J103" s="17">
        <f t="shared" si="50"/>
        <v>-123.50841595932353</v>
      </c>
      <c r="Q103" s="114"/>
      <c r="R103" s="114"/>
      <c r="S103" s="114"/>
    </row>
    <row r="104" spans="2:19">
      <c r="B104" s="396"/>
      <c r="C104" s="476"/>
      <c r="D104" s="476"/>
      <c r="E104" s="476"/>
      <c r="F104" s="476"/>
      <c r="G104" s="476"/>
      <c r="H104" s="476"/>
      <c r="I104" s="476"/>
      <c r="J104" s="476"/>
      <c r="Q104" s="114"/>
      <c r="R104" s="114"/>
      <c r="S104" s="114"/>
    </row>
    <row r="105" spans="2:19">
      <c r="B105" s="460" t="s">
        <v>614</v>
      </c>
      <c r="C105" s="461"/>
      <c r="D105" s="461"/>
      <c r="E105" s="461"/>
      <c r="F105" s="461"/>
      <c r="G105" s="461"/>
      <c r="H105" s="462"/>
      <c r="I105" s="462"/>
      <c r="J105" s="462"/>
    </row>
    <row r="107" spans="2:19">
      <c r="B107" s="339"/>
    </row>
    <row r="108" spans="2:19">
      <c r="B108" s="480"/>
      <c r="D108" s="338" t="str">
        <f t="shared" ref="D108:H108" si="52">IF(D109&lt;=Reporting_Year,"Actuals","N/A")</f>
        <v>Actuals</v>
      </c>
      <c r="E108" s="481" t="str">
        <f t="shared" si="52"/>
        <v>Actuals</v>
      </c>
      <c r="F108" s="481" t="str">
        <f t="shared" si="52"/>
        <v>Actuals</v>
      </c>
      <c r="G108" s="481" t="str">
        <f t="shared" si="52"/>
        <v>N/A</v>
      </c>
      <c r="H108" s="481" t="str">
        <f t="shared" si="52"/>
        <v>N/A</v>
      </c>
    </row>
    <row r="109" spans="2:19">
      <c r="B109" s="339"/>
      <c r="D109" s="457">
        <f>'RFPR cover'!$C$6</f>
        <v>2022</v>
      </c>
      <c r="E109" s="458">
        <f t="shared" ref="E109:H109" si="53">D109+1</f>
        <v>2023</v>
      </c>
      <c r="F109" s="458">
        <f t="shared" si="53"/>
        <v>2024</v>
      </c>
      <c r="G109" s="458">
        <f t="shared" si="53"/>
        <v>2025</v>
      </c>
      <c r="H109" s="458">
        <f t="shared" si="53"/>
        <v>2026</v>
      </c>
    </row>
    <row r="110" spans="2:19">
      <c r="B110" s="339"/>
      <c r="D110" s="343" t="str">
        <f>RIIO_2_start_date-1&amp;"/"&amp;RIGHT(RIIO_2_start_date,2)</f>
        <v>2021/22</v>
      </c>
      <c r="E110" s="343" t="str">
        <f>RIIO_2_start_date&amp;"/"&amp;RIGHT(RIIO_2_start_date+1,2)</f>
        <v>2022/23</v>
      </c>
      <c r="F110" s="343" t="str">
        <f>RIIO_2_start_date+1&amp;"/"&amp;RIGHT(RIIO_2_start_date+2,2)</f>
        <v>2023/24</v>
      </c>
      <c r="G110" s="343" t="str">
        <f>RIIO_2_start_date+2&amp;"/"&amp;RIGHT(RIIO_2_start_date+3,2)</f>
        <v>2024/25</v>
      </c>
      <c r="H110" s="343" t="str">
        <f>RIIO_2_start_date+3&amp;"/"&amp;RIGHT(RIIO_2_start_date+4,2)</f>
        <v>2025/26</v>
      </c>
    </row>
    <row r="111" spans="2:19">
      <c r="B111" s="339"/>
      <c r="D111" s="29"/>
      <c r="E111" s="29"/>
      <c r="F111" s="29"/>
      <c r="G111" s="29"/>
      <c r="H111" s="29"/>
      <c r="I111" s="29"/>
    </row>
    <row r="112" spans="2:19">
      <c r="B112" s="482" t="s">
        <v>615</v>
      </c>
      <c r="C112" s="40"/>
      <c r="D112" s="482"/>
      <c r="E112" s="482"/>
      <c r="F112" s="482"/>
      <c r="G112" s="482"/>
      <c r="H112" s="482"/>
      <c r="Q112" s="114"/>
    </row>
    <row r="113" spans="1:19">
      <c r="B113" s="402" t="s">
        <v>1188</v>
      </c>
      <c r="C113" s="29" t="s">
        <v>522</v>
      </c>
      <c r="D113" s="401">
        <v>778</v>
      </c>
      <c r="E113" s="401">
        <v>886</v>
      </c>
      <c r="F113" s="401">
        <v>983</v>
      </c>
      <c r="G113" s="401"/>
      <c r="H113" s="401"/>
    </row>
    <row r="114" spans="1:19">
      <c r="B114" s="402" t="s">
        <v>1189</v>
      </c>
      <c r="C114" s="29" t="s">
        <v>522</v>
      </c>
      <c r="D114" s="401">
        <v>3</v>
      </c>
      <c r="E114" s="401">
        <v>2.2301176700000003</v>
      </c>
      <c r="F114" s="401">
        <v>2</v>
      </c>
      <c r="G114" s="401"/>
      <c r="H114" s="401"/>
    </row>
    <row r="115" spans="1:19">
      <c r="B115" s="402" t="s">
        <v>1190</v>
      </c>
      <c r="C115" s="29" t="s">
        <v>522</v>
      </c>
      <c r="D115" s="401">
        <v>-2</v>
      </c>
      <c r="E115" s="401">
        <v>-3</v>
      </c>
      <c r="F115" s="401">
        <v>-2</v>
      </c>
      <c r="G115" s="475"/>
      <c r="H115" s="475"/>
    </row>
    <row r="116" spans="1:19">
      <c r="B116" s="402" t="s">
        <v>1191</v>
      </c>
      <c r="C116" s="29" t="s">
        <v>522</v>
      </c>
      <c r="D116" s="401">
        <v>-52.795570429999998</v>
      </c>
      <c r="E116" s="401">
        <v>-52.275568610000008</v>
      </c>
      <c r="F116" s="401">
        <v>-35.672068329999995</v>
      </c>
      <c r="G116" s="401"/>
      <c r="H116" s="401"/>
    </row>
    <row r="117" spans="1:19">
      <c r="B117" s="402" t="s">
        <v>1192</v>
      </c>
      <c r="C117" s="29" t="s">
        <v>522</v>
      </c>
      <c r="D117" s="401">
        <v>0</v>
      </c>
      <c r="E117" s="401">
        <v>0</v>
      </c>
      <c r="F117" s="401">
        <v>0</v>
      </c>
      <c r="G117" s="475"/>
      <c r="H117" s="475"/>
      <c r="R117" s="114"/>
      <c r="S117" s="114"/>
    </row>
    <row r="118" spans="1:19">
      <c r="B118" s="402" t="s">
        <v>1193</v>
      </c>
      <c r="C118" s="29" t="s">
        <v>522</v>
      </c>
      <c r="D118" s="401">
        <v>0</v>
      </c>
      <c r="E118" s="401">
        <v>0</v>
      </c>
      <c r="F118" s="401">
        <v>0</v>
      </c>
      <c r="G118" s="485"/>
      <c r="H118" s="485"/>
    </row>
    <row r="119" spans="1:19">
      <c r="A119" s="480">
        <v>1</v>
      </c>
      <c r="B119" s="402" t="s">
        <v>553</v>
      </c>
      <c r="C119" s="29" t="s">
        <v>522</v>
      </c>
      <c r="D119" s="401">
        <v>0</v>
      </c>
      <c r="E119" s="401">
        <v>0</v>
      </c>
      <c r="F119" s="401">
        <v>0</v>
      </c>
      <c r="G119" s="486"/>
      <c r="H119" s="486"/>
    </row>
    <row r="120" spans="1:19">
      <c r="A120" s="480">
        <v>2</v>
      </c>
      <c r="B120" s="402" t="s">
        <v>553</v>
      </c>
      <c r="C120" s="29" t="s">
        <v>522</v>
      </c>
      <c r="D120" s="483">
        <v>0</v>
      </c>
      <c r="E120" s="483">
        <v>0</v>
      </c>
      <c r="F120" s="483">
        <v>0</v>
      </c>
      <c r="G120" s="475"/>
      <c r="H120" s="475"/>
    </row>
    <row r="121" spans="1:19">
      <c r="A121" s="480">
        <v>3</v>
      </c>
      <c r="B121" s="402" t="s">
        <v>541</v>
      </c>
      <c r="C121" s="29" t="s">
        <v>522</v>
      </c>
      <c r="D121" s="487">
        <v>0</v>
      </c>
      <c r="E121" s="487">
        <v>0</v>
      </c>
      <c r="F121" s="487">
        <v>0</v>
      </c>
      <c r="G121" s="488"/>
      <c r="H121" s="488"/>
    </row>
    <row r="122" spans="1:19">
      <c r="B122" s="482" t="s">
        <v>616</v>
      </c>
      <c r="C122" s="29" t="s">
        <v>522</v>
      </c>
      <c r="D122" s="511">
        <f t="shared" ref="D122:H122" si="54">SUM(D113:D121)</f>
        <v>726.20442957</v>
      </c>
      <c r="E122" s="511">
        <f t="shared" ref="E122" si="55">SUM(E113:E121)</f>
        <v>832.95454905999998</v>
      </c>
      <c r="F122" s="511">
        <f t="shared" ref="F122" si="56">SUM(F113:F121)</f>
        <v>947.32793167</v>
      </c>
      <c r="G122" s="512">
        <f t="shared" si="54"/>
        <v>0</v>
      </c>
      <c r="H122" s="513">
        <f t="shared" si="54"/>
        <v>0</v>
      </c>
    </row>
    <row r="123" spans="1:19">
      <c r="B123" s="482"/>
      <c r="C123" s="482"/>
      <c r="D123" s="482"/>
      <c r="E123" s="482"/>
      <c r="F123" s="482"/>
      <c r="G123" s="482"/>
      <c r="H123" s="482"/>
      <c r="I123" s="482"/>
      <c r="J123" s="482"/>
      <c r="K123" s="482"/>
      <c r="L123" s="482"/>
      <c r="M123" s="482"/>
    </row>
    <row r="124" spans="1:19">
      <c r="A124" s="480"/>
      <c r="B124" s="402" t="s">
        <v>1194</v>
      </c>
      <c r="C124" s="29" t="s">
        <v>522</v>
      </c>
      <c r="D124" s="401">
        <v>402.46512377000005</v>
      </c>
      <c r="E124" s="401">
        <v>422.04473989999997</v>
      </c>
      <c r="F124" s="401">
        <v>462</v>
      </c>
      <c r="G124" s="401"/>
      <c r="H124" s="401"/>
    </row>
    <row r="125" spans="1:19" ht="21" customHeight="1">
      <c r="A125" s="480"/>
      <c r="B125" s="489" t="s">
        <v>617</v>
      </c>
      <c r="C125" s="480"/>
      <c r="D125" s="480"/>
      <c r="E125" s="480"/>
      <c r="F125" s="480"/>
      <c r="G125" s="480"/>
      <c r="H125" s="480"/>
      <c r="I125" s="480"/>
      <c r="J125" s="480"/>
      <c r="K125" s="29"/>
    </row>
    <row r="126" spans="1:19">
      <c r="A126" s="480">
        <v>1</v>
      </c>
      <c r="B126" s="402" t="s">
        <v>1195</v>
      </c>
      <c r="C126" s="29" t="s">
        <v>522</v>
      </c>
      <c r="D126" s="401">
        <v>896.53487623000001</v>
      </c>
      <c r="E126" s="401">
        <v>972.95526010000003</v>
      </c>
      <c r="F126" s="401">
        <v>922</v>
      </c>
      <c r="G126" s="486"/>
      <c r="H126" s="490"/>
    </row>
    <row r="127" spans="1:19">
      <c r="A127" s="480">
        <v>2</v>
      </c>
      <c r="B127" s="402" t="s">
        <v>553</v>
      </c>
      <c r="C127" s="29" t="s">
        <v>522</v>
      </c>
      <c r="D127" s="483">
        <v>0</v>
      </c>
      <c r="E127" s="483">
        <v>0</v>
      </c>
      <c r="F127" s="483">
        <v>0</v>
      </c>
      <c r="G127" s="475"/>
      <c r="H127" s="491"/>
    </row>
    <row r="128" spans="1:19">
      <c r="A128" s="480">
        <v>3</v>
      </c>
      <c r="B128" s="402" t="s">
        <v>541</v>
      </c>
      <c r="C128" s="29" t="s">
        <v>522</v>
      </c>
      <c r="D128" s="484">
        <v>0</v>
      </c>
      <c r="E128" s="484">
        <v>0</v>
      </c>
      <c r="F128" s="484">
        <v>0</v>
      </c>
      <c r="G128" s="485"/>
      <c r="H128" s="492"/>
    </row>
    <row r="129" spans="1:14">
      <c r="A129" s="480"/>
      <c r="B129" s="482" t="s">
        <v>618</v>
      </c>
      <c r="C129" s="29" t="s">
        <v>522</v>
      </c>
      <c r="D129" s="514">
        <f>SUM(D126:D128)</f>
        <v>896.53487623000001</v>
      </c>
      <c r="E129" s="514">
        <f t="shared" ref="E129:H129" si="57">SUM(E126:E128)</f>
        <v>972.95526010000003</v>
      </c>
      <c r="F129" s="514">
        <f t="shared" si="57"/>
        <v>922</v>
      </c>
      <c r="G129" s="514">
        <f t="shared" si="57"/>
        <v>0</v>
      </c>
      <c r="H129" s="514">
        <f t="shared" si="57"/>
        <v>0</v>
      </c>
    </row>
    <row r="130" spans="1:14">
      <c r="A130" s="480"/>
      <c r="B130" s="482"/>
      <c r="C130" s="482"/>
      <c r="D130" s="482"/>
      <c r="E130" s="482"/>
      <c r="F130" s="482"/>
      <c r="G130" s="482"/>
      <c r="H130" s="482"/>
      <c r="I130" s="482"/>
      <c r="J130" s="482"/>
      <c r="K130" s="482"/>
      <c r="L130" s="482"/>
      <c r="M130" s="482"/>
      <c r="N130" s="482"/>
    </row>
    <row r="131" spans="1:14" s="489" customFormat="1" ht="15" customHeight="1">
      <c r="B131" s="493" t="s">
        <v>619</v>
      </c>
      <c r="C131" s="136" t="s">
        <v>522</v>
      </c>
      <c r="D131" s="498">
        <f>SUM(D122,D124,D129)</f>
        <v>2025.20442957</v>
      </c>
      <c r="E131" s="498">
        <f t="shared" ref="E131:H131" si="58">SUM(E122,E124,E129)</f>
        <v>2227.9545490599999</v>
      </c>
      <c r="F131" s="498">
        <f t="shared" si="58"/>
        <v>2331.32793167</v>
      </c>
      <c r="G131" s="498">
        <f t="shared" si="58"/>
        <v>0</v>
      </c>
      <c r="H131" s="498">
        <f t="shared" si="58"/>
        <v>0</v>
      </c>
    </row>
    <row r="132" spans="1:14" ht="10.5" customHeight="1">
      <c r="B132" s="339"/>
      <c r="D132" s="494"/>
      <c r="E132" s="494"/>
      <c r="F132" s="494"/>
      <c r="G132" s="494"/>
      <c r="H132" s="494"/>
    </row>
    <row r="133" spans="1:14" ht="26.5" customHeight="1">
      <c r="B133" s="482" t="s">
        <v>620</v>
      </c>
    </row>
    <row r="134" spans="1:14">
      <c r="B134" s="495" t="s">
        <v>621</v>
      </c>
    </row>
    <row r="135" spans="1:14">
      <c r="A135" s="480">
        <v>1</v>
      </c>
      <c r="B135" s="402" t="s">
        <v>1194</v>
      </c>
      <c r="C135" s="29" t="s">
        <v>522</v>
      </c>
      <c r="D135" s="496">
        <v>-402.46512377000005</v>
      </c>
      <c r="E135" s="496">
        <v>-422.04473989999997</v>
      </c>
      <c r="F135" s="496">
        <v>-462</v>
      </c>
      <c r="G135" s="496"/>
      <c r="H135" s="496"/>
    </row>
    <row r="136" spans="1:14" ht="7" customHeight="1">
      <c r="A136" s="480"/>
      <c r="B136" s="480"/>
      <c r="C136" s="480"/>
      <c r="D136" s="480"/>
      <c r="E136" s="480"/>
      <c r="F136" s="480"/>
    </row>
    <row r="137" spans="1:14">
      <c r="A137" s="480">
        <v>2</v>
      </c>
      <c r="B137" s="402" t="s">
        <v>1196</v>
      </c>
      <c r="C137" s="29" t="s">
        <v>522</v>
      </c>
      <c r="D137" s="496">
        <v>-10.403745859999999</v>
      </c>
      <c r="E137" s="496">
        <v>-12.348713369999999</v>
      </c>
      <c r="F137" s="496">
        <v>-12.359298900000001</v>
      </c>
      <c r="G137" s="496"/>
      <c r="H137" s="496"/>
    </row>
    <row r="138" spans="1:14">
      <c r="A138" s="480">
        <v>3</v>
      </c>
      <c r="B138" s="402" t="s">
        <v>1197</v>
      </c>
      <c r="C138" s="29" t="s">
        <v>522</v>
      </c>
      <c r="D138" s="496">
        <v>1.79347046</v>
      </c>
      <c r="E138" s="496">
        <v>2.6852506800000002</v>
      </c>
      <c r="F138" s="496">
        <v>1.4039225099999999</v>
      </c>
      <c r="G138" s="496"/>
      <c r="H138" s="496"/>
    </row>
    <row r="139" spans="1:14">
      <c r="A139" s="480">
        <v>4</v>
      </c>
      <c r="B139" s="402" t="s">
        <v>1198</v>
      </c>
      <c r="C139" s="29" t="s">
        <v>522</v>
      </c>
      <c r="D139" s="496">
        <v>-4.6525753400000003</v>
      </c>
      <c r="E139" s="496">
        <v>-6.1055971900000001</v>
      </c>
      <c r="F139" s="496">
        <v>-8.8250174499999989</v>
      </c>
      <c r="G139" s="496"/>
      <c r="H139" s="496"/>
    </row>
    <row r="140" spans="1:14">
      <c r="A140" s="480">
        <v>5</v>
      </c>
      <c r="B140" s="402" t="s">
        <v>1199</v>
      </c>
      <c r="C140" s="29" t="s">
        <v>522</v>
      </c>
      <c r="D140" s="496">
        <v>-9.5392999500000002</v>
      </c>
      <c r="E140" s="496">
        <v>-20.840480009999997</v>
      </c>
      <c r="F140" s="496">
        <v>-23.052216530000003</v>
      </c>
      <c r="G140" s="496"/>
      <c r="H140" s="496"/>
    </row>
    <row r="141" spans="1:14">
      <c r="A141" s="480">
        <v>6</v>
      </c>
      <c r="B141" s="402" t="s">
        <v>1200</v>
      </c>
      <c r="C141" s="29" t="s">
        <v>522</v>
      </c>
      <c r="D141" s="496">
        <v>2.7194741814458108</v>
      </c>
      <c r="E141" s="496">
        <v>3.0369738370059589</v>
      </c>
      <c r="F141" s="496">
        <v>0.72875895243779631</v>
      </c>
      <c r="G141" s="496"/>
      <c r="H141" s="496"/>
    </row>
    <row r="142" spans="1:14">
      <c r="A142" s="480">
        <v>7</v>
      </c>
      <c r="B142" s="402" t="s">
        <v>1201</v>
      </c>
      <c r="C142" s="29" t="s">
        <v>522</v>
      </c>
      <c r="D142" s="496">
        <v>1.3708620000000005E-2</v>
      </c>
      <c r="E142" s="496">
        <v>-6.0820190800000002</v>
      </c>
      <c r="F142" s="496">
        <v>-4.7142196699999994</v>
      </c>
      <c r="G142" s="496"/>
      <c r="H142" s="496"/>
    </row>
    <row r="143" spans="1:14">
      <c r="A143" s="480">
        <v>8</v>
      </c>
      <c r="B143" s="402" t="s">
        <v>1202</v>
      </c>
      <c r="C143" s="29" t="s">
        <v>522</v>
      </c>
      <c r="D143" s="496">
        <v>10.0745662</v>
      </c>
      <c r="E143" s="496">
        <v>12.826214850000001</v>
      </c>
      <c r="F143" s="496">
        <v>21.021187739999995</v>
      </c>
      <c r="G143" s="496"/>
      <c r="H143" s="496"/>
    </row>
    <row r="144" spans="1:14">
      <c r="A144" s="480">
        <v>9</v>
      </c>
      <c r="B144" s="402" t="s">
        <v>1203</v>
      </c>
      <c r="C144" s="29" t="s">
        <v>522</v>
      </c>
      <c r="D144" s="496">
        <v>-8.8624058323207784</v>
      </c>
      <c r="E144" s="496">
        <v>-8.8170855893074123</v>
      </c>
      <c r="F144" s="496">
        <v>0</v>
      </c>
      <c r="G144" s="496"/>
      <c r="H144" s="496"/>
    </row>
    <row r="145" spans="1:8">
      <c r="A145" s="480">
        <v>10</v>
      </c>
      <c r="B145" s="402" t="s">
        <v>1204</v>
      </c>
      <c r="C145" s="29" t="s">
        <v>522</v>
      </c>
      <c r="D145" s="496">
        <v>-7.1329575300000014</v>
      </c>
      <c r="E145" s="496">
        <v>-0.11766795621000002</v>
      </c>
      <c r="F145" s="496">
        <v>0</v>
      </c>
      <c r="G145" s="496"/>
      <c r="H145" s="496"/>
    </row>
    <row r="146" spans="1:8">
      <c r="A146" s="480">
        <v>11</v>
      </c>
      <c r="B146" s="402" t="s">
        <v>1205</v>
      </c>
      <c r="C146" s="29" t="s">
        <v>522</v>
      </c>
      <c r="D146" s="496">
        <v>-3.1436647999999998</v>
      </c>
      <c r="E146" s="496">
        <v>-7.5032499599999998</v>
      </c>
      <c r="F146" s="496">
        <v>-17.276408409999998</v>
      </c>
      <c r="G146" s="496"/>
      <c r="H146" s="496"/>
    </row>
    <row r="147" spans="1:8">
      <c r="A147" s="480">
        <v>12</v>
      </c>
      <c r="B147" s="402" t="s">
        <v>1206</v>
      </c>
      <c r="C147" s="29" t="s">
        <v>522</v>
      </c>
      <c r="D147" s="496">
        <v>-1.2276182099999999</v>
      </c>
      <c r="E147" s="496">
        <v>-1.3463770400000001</v>
      </c>
      <c r="F147" s="496">
        <v>-0.9942915200000001</v>
      </c>
      <c r="G147" s="496"/>
      <c r="H147" s="496"/>
    </row>
    <row r="148" spans="1:8">
      <c r="A148" s="480">
        <v>13</v>
      </c>
      <c r="B148" s="402" t="s">
        <v>1207</v>
      </c>
      <c r="C148" s="29" t="s">
        <v>522</v>
      </c>
      <c r="D148" s="496">
        <v>0.72045499999999996</v>
      </c>
      <c r="E148" s="496">
        <v>1.8970876824999998</v>
      </c>
      <c r="F148" s="496">
        <v>0</v>
      </c>
      <c r="G148" s="496"/>
      <c r="H148" s="496"/>
    </row>
    <row r="149" spans="1:8">
      <c r="A149" s="480">
        <v>14</v>
      </c>
      <c r="B149" s="402" t="s">
        <v>1208</v>
      </c>
      <c r="C149" s="29" t="s">
        <v>522</v>
      </c>
      <c r="D149" s="496">
        <v>6.8312365786148241</v>
      </c>
      <c r="E149" s="496">
        <v>6.7963032537725407</v>
      </c>
      <c r="F149" s="496">
        <v>0</v>
      </c>
      <c r="G149" s="496"/>
      <c r="H149" s="496"/>
    </row>
    <row r="150" spans="1:8">
      <c r="A150" s="480">
        <v>15</v>
      </c>
      <c r="B150" s="402" t="s">
        <v>1209</v>
      </c>
      <c r="C150" s="29" t="s">
        <v>522</v>
      </c>
      <c r="D150" s="496">
        <v>0.70757203000000002</v>
      </c>
      <c r="E150" s="496">
        <v>0.55837178523449893</v>
      </c>
      <c r="F150" s="496">
        <v>0</v>
      </c>
      <c r="G150" s="496"/>
      <c r="H150" s="496"/>
    </row>
    <row r="151" spans="1:8">
      <c r="A151" s="480">
        <v>16</v>
      </c>
      <c r="B151" s="402" t="s">
        <v>1210</v>
      </c>
      <c r="C151" s="29" t="s">
        <v>522</v>
      </c>
      <c r="D151" s="496">
        <v>0</v>
      </c>
      <c r="E151" s="496">
        <v>0</v>
      </c>
      <c r="F151" s="496">
        <v>-5.4841336000000016</v>
      </c>
      <c r="G151" s="496"/>
      <c r="H151" s="496"/>
    </row>
    <row r="152" spans="1:8">
      <c r="A152" s="480">
        <v>17</v>
      </c>
      <c r="B152" s="402" t="s">
        <v>1211</v>
      </c>
      <c r="C152" s="29" t="s">
        <v>522</v>
      </c>
      <c r="D152" s="496">
        <v>0</v>
      </c>
      <c r="E152" s="496">
        <v>0</v>
      </c>
      <c r="F152" s="496">
        <v>13.588519280000002</v>
      </c>
      <c r="G152" s="496"/>
      <c r="H152" s="496"/>
    </row>
    <row r="153" spans="1:8">
      <c r="A153" s="480">
        <v>18</v>
      </c>
      <c r="B153" s="402" t="s">
        <v>1212</v>
      </c>
      <c r="C153" s="29" t="s">
        <v>522</v>
      </c>
      <c r="D153" s="496">
        <v>0</v>
      </c>
      <c r="E153" s="496">
        <v>0</v>
      </c>
      <c r="F153" s="496">
        <v>-0.41208384000000003</v>
      </c>
      <c r="G153" s="496"/>
      <c r="H153" s="496"/>
    </row>
    <row r="154" spans="1:8">
      <c r="A154" s="480">
        <v>19</v>
      </c>
      <c r="B154" s="402" t="s">
        <v>1213</v>
      </c>
      <c r="C154" s="29" t="s">
        <v>522</v>
      </c>
      <c r="D154" s="496">
        <v>-3.2457352284552599E-2</v>
      </c>
      <c r="E154" s="496">
        <v>-4.4953811088362272E-2</v>
      </c>
      <c r="F154" s="496">
        <v>1.4</v>
      </c>
      <c r="G154" s="496"/>
      <c r="H154" s="496"/>
    </row>
    <row r="155" spans="1:8">
      <c r="A155" s="480">
        <v>20</v>
      </c>
      <c r="B155" s="402" t="s">
        <v>1214</v>
      </c>
      <c r="C155" s="29" t="s">
        <v>522</v>
      </c>
      <c r="D155" s="496">
        <v>0</v>
      </c>
      <c r="E155" s="496">
        <v>0</v>
      </c>
      <c r="F155" s="496">
        <v>2.0155498399999994</v>
      </c>
      <c r="G155" s="496"/>
      <c r="H155" s="496"/>
    </row>
    <row r="156" spans="1:8">
      <c r="A156" s="480">
        <v>21</v>
      </c>
      <c r="B156" s="402" t="s">
        <v>1215</v>
      </c>
      <c r="C156" s="29" t="s">
        <v>522</v>
      </c>
      <c r="D156" s="496">
        <v>-683.04697632943407</v>
      </c>
      <c r="E156" s="496">
        <v>-742.23119238098536</v>
      </c>
      <c r="F156" s="496">
        <v>-678.55034179349911</v>
      </c>
      <c r="G156" s="496"/>
      <c r="H156" s="496"/>
    </row>
    <row r="157" spans="1:8" ht="18.649999999999999" customHeight="1">
      <c r="A157" s="480"/>
      <c r="B157" s="339" t="s">
        <v>622</v>
      </c>
      <c r="C157" s="29" t="s">
        <v>522</v>
      </c>
      <c r="D157" s="515">
        <f>SUM(D137:D156)</f>
        <v>-705.18121813397875</v>
      </c>
      <c r="E157" s="515">
        <f t="shared" ref="E157:F157" si="59">SUM(E137:E156)</f>
        <v>-777.63713429907807</v>
      </c>
      <c r="F157" s="515">
        <f t="shared" si="59"/>
        <v>-711.51007339106138</v>
      </c>
      <c r="G157" s="515">
        <f t="shared" ref="G157:H157" si="60">SUM(G137:G153)</f>
        <v>0</v>
      </c>
      <c r="H157" s="515">
        <f t="shared" si="60"/>
        <v>0</v>
      </c>
    </row>
    <row r="158" spans="1:8">
      <c r="A158" s="480"/>
      <c r="B158" s="495" t="s">
        <v>623</v>
      </c>
      <c r="C158" s="482"/>
      <c r="D158" s="482"/>
      <c r="E158" s="482"/>
      <c r="F158" s="482"/>
      <c r="G158" s="482"/>
      <c r="H158" s="482"/>
    </row>
    <row r="159" spans="1:8">
      <c r="A159" s="480">
        <v>15</v>
      </c>
      <c r="B159" s="402" t="s">
        <v>1216</v>
      </c>
      <c r="C159" s="29" t="s">
        <v>522</v>
      </c>
      <c r="D159" s="496">
        <v>-4.2950377300000007</v>
      </c>
      <c r="E159" s="496">
        <v>-2.8624550790657115</v>
      </c>
      <c r="F159" s="496">
        <v>-3.0163464148371095</v>
      </c>
      <c r="G159" s="401"/>
      <c r="H159" s="401"/>
    </row>
    <row r="160" spans="1:8">
      <c r="A160" s="480">
        <v>16</v>
      </c>
      <c r="B160" s="402" t="s">
        <v>1217</v>
      </c>
      <c r="C160" s="29" t="s">
        <v>522</v>
      </c>
      <c r="D160" s="496">
        <v>-56</v>
      </c>
      <c r="E160" s="496">
        <v>-31</v>
      </c>
      <c r="F160" s="496">
        <v>-41</v>
      </c>
      <c r="G160" s="401"/>
      <c r="H160" s="401"/>
    </row>
    <row r="161" spans="1:19">
      <c r="A161" s="480">
        <v>17</v>
      </c>
      <c r="B161" s="402" t="s">
        <v>1218</v>
      </c>
      <c r="C161" s="29" t="s">
        <v>522</v>
      </c>
      <c r="D161" s="496">
        <v>-2.5877505599999999</v>
      </c>
      <c r="E161" s="496">
        <v>-2.30118592</v>
      </c>
      <c r="F161" s="496">
        <v>-1.2963666200000001</v>
      </c>
      <c r="G161" s="401"/>
      <c r="H161" s="401"/>
    </row>
    <row r="162" spans="1:19">
      <c r="A162" s="480">
        <v>18</v>
      </c>
      <c r="B162" s="402" t="s">
        <v>1198</v>
      </c>
      <c r="C162" s="29" t="s">
        <v>522</v>
      </c>
      <c r="D162" s="496">
        <v>0</v>
      </c>
      <c r="E162" s="496">
        <v>-1.6748000000000001</v>
      </c>
      <c r="F162" s="496">
        <v>0</v>
      </c>
      <c r="G162" s="401"/>
      <c r="H162" s="401"/>
      <c r="R162" s="114"/>
      <c r="S162" s="114"/>
    </row>
    <row r="163" spans="1:19">
      <c r="A163" s="480">
        <v>19</v>
      </c>
      <c r="B163" s="402" t="s">
        <v>1219</v>
      </c>
      <c r="C163" s="29" t="s">
        <v>522</v>
      </c>
      <c r="D163" s="496">
        <v>0</v>
      </c>
      <c r="E163" s="496">
        <v>0</v>
      </c>
      <c r="F163" s="496">
        <v>5.4841336000000016</v>
      </c>
      <c r="G163" s="401"/>
      <c r="H163" s="401"/>
      <c r="R163" s="114"/>
      <c r="S163" s="114"/>
    </row>
    <row r="164" spans="1:19">
      <c r="A164" s="480">
        <v>20</v>
      </c>
      <c r="B164" s="402" t="s">
        <v>1211</v>
      </c>
      <c r="C164" s="29" t="s">
        <v>522</v>
      </c>
      <c r="D164" s="496">
        <v>0</v>
      </c>
      <c r="E164" s="496">
        <v>0</v>
      </c>
      <c r="F164" s="496">
        <v>-13.588519280000002</v>
      </c>
      <c r="G164" s="401"/>
      <c r="H164" s="401"/>
      <c r="R164" s="114"/>
      <c r="S164" s="114"/>
    </row>
    <row r="165" spans="1:19">
      <c r="A165" s="480">
        <v>21</v>
      </c>
      <c r="B165" s="402" t="s">
        <v>1212</v>
      </c>
      <c r="C165" s="29" t="s">
        <v>522</v>
      </c>
      <c r="D165" s="496">
        <v>0</v>
      </c>
      <c r="E165" s="496">
        <v>0</v>
      </c>
      <c r="F165" s="496">
        <v>0.41208384000000003</v>
      </c>
      <c r="G165" s="401"/>
      <c r="H165" s="401"/>
      <c r="R165" s="114"/>
      <c r="S165" s="114"/>
    </row>
    <row r="166" spans="1:19">
      <c r="A166" s="480">
        <v>22</v>
      </c>
      <c r="B166" s="402" t="s">
        <v>1220</v>
      </c>
      <c r="D166" s="496">
        <v>-470.68604834740154</v>
      </c>
      <c r="E166" s="496">
        <v>-549.72582414726469</v>
      </c>
      <c r="F166" s="496">
        <v>-651.8624986997836</v>
      </c>
      <c r="G166" s="1297"/>
      <c r="H166" s="1297"/>
      <c r="R166" s="114"/>
      <c r="S166" s="114"/>
    </row>
    <row r="167" spans="1:19">
      <c r="A167" s="480">
        <v>23</v>
      </c>
      <c r="B167" s="402" t="s">
        <v>553</v>
      </c>
      <c r="D167" s="496">
        <v>0</v>
      </c>
      <c r="E167" s="496">
        <v>0</v>
      </c>
      <c r="F167" s="496">
        <v>0.2</v>
      </c>
      <c r="G167" s="1297"/>
      <c r="H167" s="1297"/>
      <c r="R167" s="114"/>
      <c r="S167" s="114"/>
    </row>
    <row r="168" spans="1:19">
      <c r="A168" s="480">
        <v>24</v>
      </c>
      <c r="B168" s="402" t="s">
        <v>541</v>
      </c>
      <c r="D168" s="1297"/>
      <c r="E168" s="1297"/>
      <c r="F168" s="1297"/>
      <c r="G168" s="1297"/>
      <c r="H168" s="1297"/>
      <c r="R168" s="114"/>
      <c r="S168" s="114"/>
    </row>
    <row r="169" spans="1:19" ht="19.5" customHeight="1" thickBot="1">
      <c r="A169" s="480"/>
      <c r="B169" s="339" t="s">
        <v>624</v>
      </c>
      <c r="C169" s="29" t="s">
        <v>522</v>
      </c>
      <c r="D169" s="516">
        <f>SUM(D159:D168)</f>
        <v>-533.56883663740155</v>
      </c>
      <c r="E169" s="516">
        <f t="shared" ref="E169:F169" si="61">SUM(E159:E168)</f>
        <v>-587.5642651463304</v>
      </c>
      <c r="F169" s="516">
        <f t="shared" si="61"/>
        <v>-704.66751357462067</v>
      </c>
      <c r="G169" s="516">
        <f t="shared" ref="G169:H169" si="62">SUM(G159:G165)</f>
        <v>0</v>
      </c>
      <c r="H169" s="516">
        <f t="shared" si="62"/>
        <v>0</v>
      </c>
      <c r="R169" s="114"/>
      <c r="S169" s="114"/>
    </row>
    <row r="170" spans="1:19" ht="17.5" customHeight="1" thickBot="1">
      <c r="B170" s="482" t="s">
        <v>625</v>
      </c>
      <c r="C170" s="29" t="s">
        <v>522</v>
      </c>
      <c r="D170" s="517">
        <f>D135+D157+D169</f>
        <v>-1641.2151785413803</v>
      </c>
      <c r="E170" s="518">
        <f>E135+E157+E169</f>
        <v>-1787.2461393454084</v>
      </c>
      <c r="F170" s="518">
        <f>F135+F157+F169</f>
        <v>-1878.1775869656819</v>
      </c>
      <c r="G170" s="518">
        <f>G135+G157+G169</f>
        <v>0</v>
      </c>
      <c r="H170" s="519">
        <f>H135+H157+H169</f>
        <v>0</v>
      </c>
      <c r="R170" s="114"/>
      <c r="S170" s="114"/>
    </row>
    <row r="171" spans="1:19">
      <c r="B171" s="339"/>
      <c r="D171" s="494"/>
      <c r="E171" s="494"/>
      <c r="F171" s="494"/>
      <c r="G171" s="494"/>
      <c r="H171" s="494"/>
      <c r="R171" s="114"/>
      <c r="S171" s="114"/>
    </row>
    <row r="172" spans="1:19">
      <c r="B172" s="482" t="s">
        <v>626</v>
      </c>
      <c r="C172" s="29" t="s">
        <v>522</v>
      </c>
      <c r="D172" s="498">
        <f>D170+D131</f>
        <v>383.98925102861972</v>
      </c>
      <c r="E172" s="498">
        <f>E170+E131</f>
        <v>440.70840971459143</v>
      </c>
      <c r="F172" s="498">
        <f>F170+F131</f>
        <v>453.15034470431806</v>
      </c>
      <c r="G172" s="498">
        <f>G170+G131</f>
        <v>0</v>
      </c>
      <c r="H172" s="498">
        <f>H170+H131</f>
        <v>0</v>
      </c>
      <c r="R172" s="428"/>
      <c r="S172" s="114"/>
    </row>
    <row r="173" spans="1:19">
      <c r="B173" s="1221" t="s">
        <v>627</v>
      </c>
      <c r="C173" s="29" t="str">
        <f>Price_basis</f>
        <v>£m 18/19</v>
      </c>
      <c r="D173" s="497">
        <v>353.97776637312836</v>
      </c>
      <c r="E173" s="497">
        <v>373.49315643357403</v>
      </c>
      <c r="F173" s="497">
        <v>363.89298989225432</v>
      </c>
      <c r="G173" s="497"/>
      <c r="H173" s="497"/>
      <c r="I173" s="339" t="s">
        <v>628</v>
      </c>
      <c r="R173" s="114"/>
      <c r="S173" s="114"/>
    </row>
    <row r="174" spans="1:19">
      <c r="B174" s="1221" t="s">
        <v>629</v>
      </c>
      <c r="C174" s="29" t="s">
        <v>522</v>
      </c>
      <c r="D174" s="497">
        <v>0</v>
      </c>
      <c r="E174" s="497">
        <v>0</v>
      </c>
      <c r="F174" s="497">
        <v>0</v>
      </c>
      <c r="G174" s="497"/>
      <c r="H174" s="497"/>
      <c r="I174" s="339" t="s">
        <v>628</v>
      </c>
    </row>
    <row r="175" spans="1:19">
      <c r="B175" s="339" t="s">
        <v>630</v>
      </c>
      <c r="C175" s="29" t="s">
        <v>522</v>
      </c>
      <c r="D175" s="520">
        <f>IF(Licensee="ESO",D174, IF(Sector="ED2",D174,D173*INDEX(real_to_nominal_CF,MATCH(D6,calendar_year,0))))</f>
        <v>383.98925102861955</v>
      </c>
      <c r="E175" s="520">
        <f>IF(Licensee="ESO",E174, IF(Sector="ED2",E174,E173*INDEX(real_to_nominal_CF,MATCH(E6,calendar_year,0))))</f>
        <v>440.7084097145912</v>
      </c>
      <c r="F175" s="520">
        <f>IF(Licensee="ESO",F174, IF(Sector="ED2",F174,F173*INDEX(real_to_nominal_CF,MATCH(F6,calendar_year,0))))</f>
        <v>453.19787714569964</v>
      </c>
      <c r="G175" s="520">
        <f>IF(Licensee="ESO",G174, IF(Sector="ED2",G174,G173*INDEX(real_to_nominal_CF,MATCH(G6,calendar_year,0))))</f>
        <v>0</v>
      </c>
      <c r="H175" s="520">
        <f>IF(Licensee="ESO",H174, IF(Sector="ED2",H174,H173*INDEX(real_to_nominal_CF,MATCH(H6,calendar_year,0))))</f>
        <v>0</v>
      </c>
      <c r="I175" s="114"/>
      <c r="R175" s="114"/>
      <c r="S175" s="114"/>
    </row>
    <row r="176" spans="1:19">
      <c r="B176" s="339"/>
      <c r="C176" s="29" t="s">
        <v>631</v>
      </c>
      <c r="D176" s="521" t="str">
        <f>IF(ISNUMBER(D175),IF(D$108="Actuals",IF(ABS(D172-D175)&lt;materiality_threshold,"OK","ERROR"),"N/A"),"'NA'")</f>
        <v>OK</v>
      </c>
      <c r="E176" s="521" t="str">
        <f>IF(ISNUMBER(E175),IF(E$108="Actuals",IF(ABS(E172-E175)&lt;materiality_threshold,"OK","ERROR"),"N/A"),"'NA'")</f>
        <v>OK</v>
      </c>
      <c r="F176" s="521" t="str">
        <f>IF(ISNUMBER(F175),IF(F$108="Actuals",IF(ABS(F172-F175)&lt;materiality_threshold,"OK","ERROR"),"N/A"),"'NA'")</f>
        <v>OK</v>
      </c>
      <c r="G176" s="521" t="str">
        <f>IF(ISNUMBER(G175),"N/A",IF(G$108="Actuals",IF(ABS(G172-G175)&lt;materiality_threshold,"OK","ERROR"),"N/A"))</f>
        <v>N/A</v>
      </c>
      <c r="H176" s="521" t="str">
        <f>IF(ISNUMBER(H175),"N/A",IF(H$108="Actuals",IF(ABS(H172-H175)&lt;materiality_threshold,"OK","ERROR"),"N/A"))</f>
        <v>N/A</v>
      </c>
      <c r="I176" s="339" t="s">
        <v>632</v>
      </c>
      <c r="R176" s="114"/>
      <c r="S176" s="114"/>
    </row>
    <row r="177" spans="1:19">
      <c r="B177" s="339" t="s">
        <v>244</v>
      </c>
      <c r="R177" s="114"/>
      <c r="S177" s="114"/>
    </row>
    <row r="178" spans="1:19">
      <c r="B178" s="482" t="s">
        <v>633</v>
      </c>
    </row>
    <row r="179" spans="1:19">
      <c r="A179" s="480">
        <v>1</v>
      </c>
      <c r="B179" s="402" t="s">
        <v>1221</v>
      </c>
      <c r="C179" s="29" t="s">
        <v>522</v>
      </c>
      <c r="D179" s="401">
        <v>10.479544717108748</v>
      </c>
      <c r="E179" s="401">
        <v>11.3904837219446</v>
      </c>
      <c r="F179" s="401">
        <v>5.0222539363002792</v>
      </c>
      <c r="G179" s="401"/>
      <c r="H179" s="401"/>
    </row>
    <row r="180" spans="1:19">
      <c r="A180" s="480">
        <v>2</v>
      </c>
      <c r="B180" s="402" t="s">
        <v>1222</v>
      </c>
      <c r="C180" s="29" t="s">
        <v>522</v>
      </c>
      <c r="D180" s="401">
        <v>2.2447663680000001</v>
      </c>
      <c r="E180" s="401">
        <v>2.3135682122099994</v>
      </c>
      <c r="F180" s="401">
        <v>2.5771302414517439</v>
      </c>
      <c r="G180" s="475"/>
      <c r="H180" s="475"/>
    </row>
    <row r="181" spans="1:19">
      <c r="A181" s="480">
        <v>3</v>
      </c>
      <c r="B181" s="402" t="s">
        <v>1223</v>
      </c>
      <c r="C181" s="29" t="s">
        <v>522</v>
      </c>
      <c r="D181" s="401">
        <v>51.105945599999998</v>
      </c>
      <c r="E181" s="401">
        <v>51.105945600000005</v>
      </c>
      <c r="F181" s="401">
        <v>34.450160648925795</v>
      </c>
      <c r="G181" s="475"/>
      <c r="H181" s="475"/>
    </row>
    <row r="182" spans="1:19">
      <c r="A182" s="480">
        <v>4</v>
      </c>
      <c r="B182" s="402" t="s">
        <v>1208</v>
      </c>
      <c r="C182" s="29" t="s">
        <v>522</v>
      </c>
      <c r="D182" s="401">
        <v>6.8312365786148241</v>
      </c>
      <c r="E182" s="401">
        <v>6.7963032537725407</v>
      </c>
      <c r="F182" s="401">
        <v>0</v>
      </c>
      <c r="G182" s="475"/>
      <c r="H182" s="475"/>
    </row>
    <row r="183" spans="1:19">
      <c r="A183" s="480">
        <v>5</v>
      </c>
      <c r="B183" s="402" t="s">
        <v>1224</v>
      </c>
      <c r="C183" s="29" t="s">
        <v>522</v>
      </c>
      <c r="D183" s="401">
        <v>32.82092488</v>
      </c>
      <c r="E183" s="401">
        <v>31.919507354265331</v>
      </c>
      <c r="F183" s="401">
        <v>26.26978325</v>
      </c>
      <c r="G183" s="475"/>
      <c r="H183" s="475"/>
    </row>
    <row r="184" spans="1:19">
      <c r="A184" s="480">
        <v>6</v>
      </c>
      <c r="B184" s="402" t="s">
        <v>1225</v>
      </c>
      <c r="C184" s="29" t="s">
        <v>522</v>
      </c>
      <c r="D184" s="401">
        <v>3.2137120036480376</v>
      </c>
      <c r="E184" s="401">
        <v>2.5928717575674534</v>
      </c>
      <c r="F184" s="401">
        <v>3.0062459916124515</v>
      </c>
      <c r="G184" s="475"/>
      <c r="H184" s="475"/>
    </row>
    <row r="185" spans="1:19">
      <c r="A185" s="480">
        <v>7</v>
      </c>
      <c r="B185" s="402" t="s">
        <v>1226</v>
      </c>
      <c r="C185" s="29" t="s">
        <v>522</v>
      </c>
      <c r="D185" s="401">
        <v>0.50802489117559713</v>
      </c>
      <c r="E185" s="401">
        <v>0.714066715426389</v>
      </c>
      <c r="F185" s="401">
        <v>0</v>
      </c>
      <c r="G185" s="475"/>
      <c r="H185" s="475"/>
    </row>
    <row r="186" spans="1:19">
      <c r="A186" s="480">
        <v>8</v>
      </c>
      <c r="B186" s="402" t="s">
        <v>1227</v>
      </c>
      <c r="C186" s="29" t="s">
        <v>522</v>
      </c>
      <c r="D186" s="401">
        <v>0.39710000000000001</v>
      </c>
      <c r="E186" s="401">
        <v>0.80398423596087343</v>
      </c>
      <c r="F186" s="401">
        <v>1.587731620811764</v>
      </c>
      <c r="G186" s="475"/>
      <c r="H186" s="475"/>
    </row>
    <row r="187" spans="1:19">
      <c r="A187" s="480">
        <v>9</v>
      </c>
      <c r="B187" s="402" t="s">
        <v>1207</v>
      </c>
      <c r="C187" s="29" t="s">
        <v>522</v>
      </c>
      <c r="D187" s="401">
        <v>0.72045499999999996</v>
      </c>
      <c r="E187" s="401">
        <v>1.8970876824999998</v>
      </c>
      <c r="F187" s="401">
        <v>-4.7874113572387286E-2</v>
      </c>
      <c r="G187" s="475"/>
      <c r="H187" s="475"/>
    </row>
    <row r="188" spans="1:19">
      <c r="A188" s="480">
        <v>10</v>
      </c>
      <c r="B188" s="402" t="s">
        <v>1158</v>
      </c>
      <c r="C188" s="29" t="s">
        <v>522</v>
      </c>
      <c r="D188" s="401">
        <v>0</v>
      </c>
      <c r="E188" s="401">
        <v>0.89326282000000001</v>
      </c>
      <c r="F188" s="401">
        <v>0</v>
      </c>
      <c r="G188" s="475"/>
      <c r="H188" s="475"/>
    </row>
    <row r="189" spans="1:19">
      <c r="A189" s="480">
        <v>11</v>
      </c>
      <c r="B189" s="402" t="s">
        <v>553</v>
      </c>
      <c r="C189" s="29" t="s">
        <v>522</v>
      </c>
      <c r="D189" s="401">
        <v>0</v>
      </c>
      <c r="E189" s="401">
        <v>0</v>
      </c>
      <c r="F189" s="401">
        <v>0</v>
      </c>
      <c r="G189" s="475"/>
      <c r="H189" s="475"/>
    </row>
    <row r="190" spans="1:19">
      <c r="A190" s="480">
        <v>12</v>
      </c>
      <c r="B190" s="402" t="s">
        <v>553</v>
      </c>
      <c r="C190" s="29" t="s">
        <v>522</v>
      </c>
      <c r="D190" s="401">
        <v>0</v>
      </c>
      <c r="E190" s="401">
        <v>0</v>
      </c>
      <c r="F190" s="401">
        <v>0</v>
      </c>
      <c r="G190" s="475"/>
      <c r="H190" s="475"/>
    </row>
    <row r="191" spans="1:19">
      <c r="A191" s="480">
        <v>13</v>
      </c>
      <c r="B191" s="402" t="s">
        <v>553</v>
      </c>
      <c r="C191" s="29" t="s">
        <v>522</v>
      </c>
      <c r="D191" s="401">
        <v>0</v>
      </c>
      <c r="E191" s="401">
        <v>0</v>
      </c>
      <c r="F191" s="401">
        <v>0</v>
      </c>
      <c r="G191" s="475"/>
      <c r="H191" s="475"/>
    </row>
    <row r="192" spans="1:19">
      <c r="A192" s="480">
        <v>14</v>
      </c>
      <c r="B192" s="402" t="s">
        <v>553</v>
      </c>
      <c r="C192" s="29" t="s">
        <v>522</v>
      </c>
      <c r="D192" s="401">
        <v>0</v>
      </c>
      <c r="E192" s="401">
        <v>0</v>
      </c>
      <c r="F192" s="401">
        <v>0</v>
      </c>
      <c r="G192" s="475"/>
      <c r="H192" s="475"/>
      <c r="R192" s="114"/>
      <c r="S192" s="114"/>
    </row>
    <row r="193" spans="1:19">
      <c r="A193" s="480">
        <v>15</v>
      </c>
      <c r="B193" s="402" t="s">
        <v>553</v>
      </c>
      <c r="C193" s="29" t="s">
        <v>522</v>
      </c>
      <c r="D193" s="401">
        <v>0</v>
      </c>
      <c r="E193" s="401">
        <v>0</v>
      </c>
      <c r="F193" s="401">
        <v>0</v>
      </c>
      <c r="G193" s="475"/>
      <c r="H193" s="475"/>
      <c r="R193" s="114"/>
      <c r="S193" s="114"/>
    </row>
    <row r="194" spans="1:19">
      <c r="A194" s="480">
        <v>16</v>
      </c>
      <c r="B194" s="402" t="s">
        <v>553</v>
      </c>
      <c r="C194" s="29" t="s">
        <v>522</v>
      </c>
      <c r="D194" s="401">
        <v>0</v>
      </c>
      <c r="E194" s="401">
        <v>0</v>
      </c>
      <c r="F194" s="401">
        <v>0</v>
      </c>
      <c r="G194" s="475"/>
      <c r="H194" s="475"/>
      <c r="R194" s="114"/>
      <c r="S194" s="114"/>
    </row>
    <row r="195" spans="1:19">
      <c r="A195" s="480">
        <v>17</v>
      </c>
      <c r="B195" s="402" t="s">
        <v>553</v>
      </c>
      <c r="C195" s="29" t="s">
        <v>522</v>
      </c>
      <c r="D195" s="401">
        <v>0</v>
      </c>
      <c r="E195" s="401">
        <v>0</v>
      </c>
      <c r="F195" s="401">
        <v>0</v>
      </c>
      <c r="G195" s="475"/>
      <c r="H195" s="475"/>
      <c r="R195" s="114"/>
      <c r="S195" s="114"/>
    </row>
    <row r="196" spans="1:19">
      <c r="A196" s="480">
        <v>18</v>
      </c>
      <c r="B196" s="402" t="s">
        <v>553</v>
      </c>
      <c r="C196" s="29" t="s">
        <v>522</v>
      </c>
      <c r="D196" s="401">
        <v>0</v>
      </c>
      <c r="E196" s="401">
        <v>0</v>
      </c>
      <c r="F196" s="401">
        <v>0</v>
      </c>
      <c r="G196" s="475"/>
      <c r="H196" s="475"/>
      <c r="R196" s="114"/>
      <c r="S196" s="114"/>
    </row>
    <row r="197" spans="1:19">
      <c r="A197" s="480">
        <v>19</v>
      </c>
      <c r="B197" s="402" t="s">
        <v>553</v>
      </c>
      <c r="C197" s="29" t="s">
        <v>522</v>
      </c>
      <c r="D197" s="401">
        <v>0</v>
      </c>
      <c r="E197" s="401">
        <v>0</v>
      </c>
      <c r="F197" s="401">
        <v>0</v>
      </c>
      <c r="G197" s="475"/>
      <c r="H197" s="475"/>
      <c r="R197" s="114"/>
      <c r="S197" s="114"/>
    </row>
    <row r="198" spans="1:19">
      <c r="A198" s="480">
        <v>20</v>
      </c>
      <c r="B198" s="402" t="s">
        <v>553</v>
      </c>
      <c r="C198" s="29" t="s">
        <v>522</v>
      </c>
      <c r="D198" s="401">
        <v>0</v>
      </c>
      <c r="E198" s="401">
        <v>0</v>
      </c>
      <c r="F198" s="401">
        <v>0</v>
      </c>
      <c r="G198" s="475"/>
      <c r="H198" s="475"/>
      <c r="R198" s="114"/>
      <c r="S198" s="114"/>
    </row>
    <row r="199" spans="1:19">
      <c r="A199" s="480">
        <v>21</v>
      </c>
      <c r="B199" s="402" t="s">
        <v>553</v>
      </c>
      <c r="C199" s="29" t="s">
        <v>522</v>
      </c>
      <c r="D199" s="483">
        <v>0</v>
      </c>
      <c r="E199" s="475">
        <v>0</v>
      </c>
      <c r="F199" s="475">
        <v>0</v>
      </c>
      <c r="G199" s="475"/>
      <c r="H199" s="475"/>
      <c r="R199" s="114"/>
      <c r="S199" s="114"/>
    </row>
    <row r="200" spans="1:19">
      <c r="A200" s="480">
        <v>22</v>
      </c>
      <c r="B200" s="402" t="s">
        <v>553</v>
      </c>
      <c r="C200" s="29" t="s">
        <v>522</v>
      </c>
      <c r="D200" s="483">
        <v>0</v>
      </c>
      <c r="E200" s="475">
        <v>0</v>
      </c>
      <c r="F200" s="475">
        <v>0</v>
      </c>
      <c r="G200" s="475"/>
      <c r="H200" s="475"/>
      <c r="R200" s="114"/>
      <c r="S200" s="114"/>
    </row>
    <row r="201" spans="1:19">
      <c r="A201" s="480">
        <v>23</v>
      </c>
      <c r="B201" s="402" t="s">
        <v>553</v>
      </c>
      <c r="C201" s="29" t="s">
        <v>522</v>
      </c>
      <c r="D201" s="483">
        <v>0</v>
      </c>
      <c r="E201" s="475">
        <v>0</v>
      </c>
      <c r="F201" s="475">
        <v>0</v>
      </c>
      <c r="G201" s="475"/>
      <c r="H201" s="475"/>
      <c r="R201" s="114"/>
      <c r="S201" s="114"/>
    </row>
    <row r="202" spans="1:19">
      <c r="A202" s="480">
        <v>24</v>
      </c>
      <c r="B202" s="402" t="s">
        <v>553</v>
      </c>
      <c r="C202" s="29" t="s">
        <v>522</v>
      </c>
      <c r="D202" s="483">
        <v>0</v>
      </c>
      <c r="E202" s="475">
        <v>0</v>
      </c>
      <c r="F202" s="475">
        <v>0</v>
      </c>
      <c r="G202" s="475"/>
      <c r="H202" s="475"/>
      <c r="R202" s="428"/>
      <c r="S202" s="114"/>
    </row>
    <row r="203" spans="1:19">
      <c r="A203" s="480">
        <v>25</v>
      </c>
      <c r="B203" s="402" t="s">
        <v>553</v>
      </c>
      <c r="C203" s="29" t="s">
        <v>522</v>
      </c>
      <c r="D203" s="483">
        <v>0</v>
      </c>
      <c r="E203" s="475">
        <v>0</v>
      </c>
      <c r="F203" s="475">
        <v>0</v>
      </c>
      <c r="G203" s="475"/>
      <c r="H203" s="475"/>
      <c r="R203" s="114"/>
      <c r="S203" s="114"/>
    </row>
    <row r="204" spans="1:19">
      <c r="B204" s="482" t="s">
        <v>634</v>
      </c>
      <c r="C204" s="29" t="s">
        <v>522</v>
      </c>
      <c r="D204" s="498">
        <f>SUM(D179:D203)</f>
        <v>108.32171003854721</v>
      </c>
      <c r="E204" s="498">
        <f t="shared" ref="E204:H204" si="63">SUM(E179:E203)</f>
        <v>110.42708135364718</v>
      </c>
      <c r="F204" s="498">
        <f t="shared" si="63"/>
        <v>72.865431575529641</v>
      </c>
      <c r="G204" s="498">
        <f t="shared" si="63"/>
        <v>0</v>
      </c>
      <c r="H204" s="498">
        <f t="shared" si="63"/>
        <v>0</v>
      </c>
      <c r="R204" s="114"/>
      <c r="S204" s="114"/>
    </row>
    <row r="205" spans="1:19">
      <c r="B205" s="339"/>
      <c r="D205" s="29"/>
      <c r="E205" s="29"/>
      <c r="F205" s="29"/>
      <c r="G205" s="29"/>
      <c r="H205" s="29"/>
      <c r="I205" s="29"/>
      <c r="J205" s="29"/>
      <c r="R205" s="114"/>
      <c r="S205" s="114"/>
    </row>
    <row r="206" spans="1:19">
      <c r="B206" s="482" t="s">
        <v>635</v>
      </c>
      <c r="C206" s="29" t="s">
        <v>522</v>
      </c>
      <c r="D206" s="498">
        <f>D172-D204</f>
        <v>275.6675409900725</v>
      </c>
      <c r="E206" s="498">
        <f>E172-E204</f>
        <v>330.28132836094426</v>
      </c>
      <c r="F206" s="498">
        <f t="shared" ref="F206:H206" si="64">F172-F204</f>
        <v>380.28491312878839</v>
      </c>
      <c r="G206" s="498">
        <f t="shared" si="64"/>
        <v>0</v>
      </c>
      <c r="H206" s="498">
        <f t="shared" si="64"/>
        <v>0</v>
      </c>
    </row>
    <row r="207" spans="1:19">
      <c r="B207" s="482" t="s">
        <v>636</v>
      </c>
      <c r="C207" s="29" t="s">
        <v>522</v>
      </c>
      <c r="D207" s="522">
        <f>('R3 - Totex - Reconciliation'!D$13+'R3 - Totex - Reconciliation'!D$47+'R3 - Totex - Reconciliation'!D76)*INDEX(real_to_nominal_CF,MATCH(D$109,calendar_year,0))</f>
        <v>275.66754208725661</v>
      </c>
      <c r="E207" s="522">
        <f>('R3 - Totex - Reconciliation'!E$13+'R3 - Totex - Reconciliation'!E$47+'R3 - Totex - Reconciliation'!E76)*INDEX(real_to_nominal_CF,MATCH(E$109,calendar_year,0))</f>
        <v>330.28132836130953</v>
      </c>
      <c r="F207" s="522">
        <f>('R3 - Totex - Reconciliation'!F$13+'R3 - Totex - Reconciliation'!F$47+'R3 - Totex - Reconciliation'!F76)*INDEX(real_to_nominal_CF,MATCH(F$109,calendar_year,0))</f>
        <v>380.33260791017</v>
      </c>
      <c r="G207" s="522">
        <f>('R3 - Totex - Reconciliation'!G$13+'R3 - Totex - Reconciliation'!G$47+'R3 - Totex - Reconciliation'!G76)*INDEX(real_to_nominal_CF,MATCH(G$109,calendar_year,0))</f>
        <v>383.70469396965734</v>
      </c>
      <c r="H207" s="523">
        <f>('R3 - Totex - Reconciliation'!H$13+'R3 - Totex - Reconciliation'!H$47+'R3 - Totex - Reconciliation'!H76)*INDEX(real_to_nominal_CF,MATCH(H$109,calendar_year,0))</f>
        <v>373.25650902143394</v>
      </c>
      <c r="I207" s="339" t="s">
        <v>637</v>
      </c>
    </row>
    <row r="208" spans="1:19">
      <c r="B208" s="339"/>
      <c r="C208" s="29" t="s">
        <v>631</v>
      </c>
      <c r="D208" s="524" t="str">
        <f>IF(D$108="Actuals",IF(ABS(D206-('R3 - Totex - Reconciliation'!D13+'R3 - Totex - Reconciliation'!D47+D76)*INDEX(real_to_nominal_CF,MATCH(D6,Data!$F$33:$L$33,0)))&lt;materiality_threshold,"OK","Error"),"N/A")</f>
        <v>OK</v>
      </c>
      <c r="E208" s="524" t="str">
        <f>IF(E$108="Actuals",IF(ABS(E206-('R3 - Totex - Reconciliation'!E13+'R3 - Totex - Reconciliation'!E47+E76)*INDEX(real_to_nominal_CF,MATCH(E6,Data!$F$33:$L$33,0)))&lt;materiality_threshold,"OK","Error"),"N/A")</f>
        <v>OK</v>
      </c>
      <c r="F208" s="524" t="str">
        <f>IF(F$108="Actuals",IF(ABS(F206-('R3 - Totex - Reconciliation'!F13+'R3 - Totex - Reconciliation'!F47+F76)*INDEX(real_to_nominal_CF,MATCH(F6,Data!$F$33:$L$33,0)))&lt;materiality_threshold,"OK","Error"),"N/A")</f>
        <v>OK</v>
      </c>
      <c r="G208" s="524" t="str">
        <f>IF(G$108="Actuals",IF(ABS(G206-('R3 - Totex - Reconciliation'!G13+'R3 - Totex - Reconciliation'!G47+G76)*INDEX(real_to_nominal_CF,MATCH(G6,Data!$F$33:$L$33,0)))&lt;materiality_threshold,"OK","Error"),"N/A")</f>
        <v>N/A</v>
      </c>
      <c r="H208" s="524" t="str">
        <f>IF(H$108="Actuals",IF(ABS(H206-('R3 - Totex - Reconciliation'!H13+'R3 - Totex - Reconciliation'!H47+H76)*INDEX(real_to_nominal_CF,MATCH(H6,Data!$F$33:$L$33,0)))&lt;materiality_threshold,"OK","Error"),"N/A")</f>
        <v>N/A</v>
      </c>
      <c r="I208" s="339" t="s">
        <v>638</v>
      </c>
    </row>
    <row r="209" spans="2:19">
      <c r="B209" s="339"/>
      <c r="C209" s="339"/>
    </row>
    <row r="210" spans="2:19">
      <c r="B210" s="428" t="s">
        <v>639</v>
      </c>
    </row>
    <row r="212" spans="2:19">
      <c r="B212" s="429" t="s">
        <v>587</v>
      </c>
      <c r="C212" s="114"/>
      <c r="D212" s="114"/>
      <c r="E212" s="114"/>
      <c r="F212" s="114"/>
    </row>
    <row r="213" spans="2:19">
      <c r="B213" s="1358"/>
      <c r="C213" s="1359"/>
      <c r="D213" s="1359"/>
      <c r="E213" s="1359"/>
      <c r="F213" s="1360"/>
    </row>
    <row r="214" spans="2:19">
      <c r="B214" s="432"/>
      <c r="C214" s="433"/>
      <c r="D214" s="434"/>
      <c r="E214" s="435"/>
      <c r="F214" s="436"/>
    </row>
    <row r="215" spans="2:19">
      <c r="B215" s="432"/>
      <c r="C215" s="433"/>
      <c r="D215" s="434"/>
      <c r="E215" s="435"/>
      <c r="F215" s="436"/>
    </row>
    <row r="216" spans="2:19">
      <c r="B216" s="432"/>
      <c r="C216" s="433"/>
      <c r="D216" s="434"/>
      <c r="E216" s="435"/>
      <c r="F216" s="436"/>
    </row>
    <row r="217" spans="2:19">
      <c r="B217" s="432"/>
      <c r="C217" s="433"/>
      <c r="D217" s="434"/>
      <c r="E217" s="435"/>
      <c r="F217" s="436"/>
      <c r="R217" s="114"/>
      <c r="S217" s="114"/>
    </row>
    <row r="218" spans="2:19">
      <c r="B218" s="437"/>
      <c r="C218" s="438"/>
      <c r="D218" s="439"/>
      <c r="E218" s="440"/>
      <c r="F218" s="441"/>
    </row>
    <row r="235" s="339" customFormat="1"/>
    <row r="236" s="339" customFormat="1"/>
    <row r="237" s="339" customFormat="1"/>
    <row r="238" s="339" customFormat="1"/>
    <row r="239" s="339" customFormat="1"/>
    <row r="240" s="339" customFormat="1"/>
    <row r="241" spans="2:3">
      <c r="B241" s="339"/>
      <c r="C241" s="339"/>
    </row>
    <row r="242" spans="2:3">
      <c r="B242" s="339"/>
      <c r="C242" s="339"/>
    </row>
    <row r="246" spans="2:3" ht="12.75" customHeight="1"/>
    <row r="253" spans="2:3" ht="29.25" customHeight="1"/>
  </sheetData>
  <sheetProtection insertRows="0"/>
  <mergeCells count="2">
    <mergeCell ref="K15:M15"/>
    <mergeCell ref="B213:F213"/>
  </mergeCells>
  <phoneticPr fontId="260" type="noConversion"/>
  <conditionalFormatting sqref="B40">
    <cfRule type="expression" dxfId="117" priority="55">
      <formula>$B$51="n/a"</formula>
    </cfRule>
  </conditionalFormatting>
  <conditionalFormatting sqref="B69">
    <cfRule type="expression" dxfId="116" priority="54">
      <formula>$B$51="n/a"</formula>
    </cfRule>
  </conditionalFormatting>
  <conditionalFormatting sqref="B93">
    <cfRule type="expression" dxfId="115" priority="53">
      <formula>$B$51="n/a"</formula>
    </cfRule>
  </conditionalFormatting>
  <conditionalFormatting sqref="C23:C30">
    <cfRule type="expression" dxfId="114" priority="59">
      <formula>$B$45="n/a"</formula>
    </cfRule>
  </conditionalFormatting>
  <conditionalFormatting sqref="C33:C35">
    <cfRule type="expression" dxfId="113" priority="12">
      <formula>$B$45="n/a"</formula>
    </cfRule>
  </conditionalFormatting>
  <conditionalFormatting sqref="C37:C38">
    <cfRule type="expression" dxfId="112" priority="9">
      <formula>$B$45="n/a"</formula>
    </cfRule>
  </conditionalFormatting>
  <conditionalFormatting sqref="C45 B46:C54 B73:C73 Q73:T73 C74 B75:C84 B97:C97">
    <cfRule type="expression" dxfId="111" priority="76">
      <formula>$B$45="n/a"</formula>
    </cfRule>
  </conditionalFormatting>
  <conditionalFormatting sqref="C57:C59">
    <cfRule type="expression" dxfId="110" priority="58">
      <formula>$B$45="n/a"</formula>
    </cfRule>
  </conditionalFormatting>
  <conditionalFormatting sqref="C62:C64">
    <cfRule type="expression" dxfId="109" priority="10">
      <formula>$B$45="n/a"</formula>
    </cfRule>
  </conditionalFormatting>
  <conditionalFormatting sqref="C66:C67">
    <cfRule type="expression" dxfId="108" priority="8">
      <formula>$B$45="n/a"</formula>
    </cfRule>
  </conditionalFormatting>
  <conditionalFormatting sqref="C86:C88">
    <cfRule type="expression" dxfId="107" priority="56">
      <formula>$B$45="n/a"</formula>
    </cfRule>
  </conditionalFormatting>
  <conditionalFormatting sqref="C90:C91">
    <cfRule type="expression" dxfId="106" priority="15">
      <formula>$B$44="n/a"</formula>
    </cfRule>
  </conditionalFormatting>
  <conditionalFormatting sqref="D5:G6">
    <cfRule type="expression" dxfId="105" priority="80">
      <formula>AND(D$5="Actuals",E$5="Forecast")</formula>
    </cfRule>
  </conditionalFormatting>
  <conditionalFormatting sqref="D108:G109">
    <cfRule type="expression" dxfId="104" priority="72">
      <formula>AND(D$5="Actuals",E$5="N/A")</formula>
    </cfRule>
  </conditionalFormatting>
  <conditionalFormatting sqref="D7:H7">
    <cfRule type="expression" dxfId="103" priority="65">
      <formula>AND(D$5="Actuals",E$5="Forecast")</formula>
    </cfRule>
  </conditionalFormatting>
  <conditionalFormatting sqref="D110:H110">
    <cfRule type="expression" dxfId="102" priority="64">
      <formula>AND(D$5="Actuals",E$5="Forecast")</formula>
    </cfRule>
  </conditionalFormatting>
  <conditionalFormatting sqref="D113:H121 D124:H124">
    <cfRule type="expression" dxfId="101" priority="62">
      <formula>D$108="N/A"</formula>
    </cfRule>
  </conditionalFormatting>
  <conditionalFormatting sqref="D126:H129">
    <cfRule type="expression" dxfId="100" priority="5">
      <formula>D$108="N/A"</formula>
    </cfRule>
  </conditionalFormatting>
  <conditionalFormatting sqref="D131:H131">
    <cfRule type="expression" dxfId="99" priority="34">
      <formula>D$108="N/A"</formula>
    </cfRule>
  </conditionalFormatting>
  <conditionalFormatting sqref="D135:H135">
    <cfRule type="expression" dxfId="98" priority="4">
      <formula>D$108="N/A"</formula>
    </cfRule>
  </conditionalFormatting>
  <conditionalFormatting sqref="D137:H157">
    <cfRule type="expression" dxfId="97" priority="3">
      <formula>D$108="N/A"</formula>
    </cfRule>
  </conditionalFormatting>
  <conditionalFormatting sqref="D159:H170">
    <cfRule type="expression" dxfId="96" priority="2">
      <formula>D$108="N/A"</formula>
    </cfRule>
  </conditionalFormatting>
  <conditionalFormatting sqref="D172:H174">
    <cfRule type="expression" dxfId="95" priority="25">
      <formula>D$108="N/A"</formula>
    </cfRule>
  </conditionalFormatting>
  <conditionalFormatting sqref="D177:H204">
    <cfRule type="expression" dxfId="94" priority="1">
      <formula>D$108="N/A"</formula>
    </cfRule>
  </conditionalFormatting>
  <conditionalFormatting sqref="G122:H122">
    <cfRule type="expression" dxfId="93" priority="52">
      <formula>G$108="N/A"</formula>
    </cfRule>
  </conditionalFormatting>
  <conditionalFormatting sqref="H5:H6">
    <cfRule type="expression" dxfId="92" priority="281">
      <formula>AND(H$5="Actuals",#REF!="Forecast")</formula>
    </cfRule>
  </conditionalFormatting>
  <conditionalFormatting sqref="H108:H109">
    <cfRule type="expression" dxfId="91" priority="298">
      <formula>AND(H$5="Actuals",#REF!="N/A")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85" zoomScaleNormal="85" workbookViewId="0">
      <selection activeCell="B6" sqref="B6"/>
    </sheetView>
  </sheetViews>
  <sheetFormatPr defaultColWidth="9" defaultRowHeight="13.5" outlineLevelCol="1"/>
  <cols>
    <col min="1" max="1" width="0.765625" style="114" customWidth="1"/>
    <col min="2" max="2" width="54.84375" style="88" customWidth="1"/>
    <col min="3" max="3" width="37.15234375" style="88" customWidth="1"/>
    <col min="4" max="4" width="14.4609375" style="29" customWidth="1"/>
    <col min="5" max="5" width="10.3828125" style="114" customWidth="1"/>
    <col min="6" max="9" width="11.15234375" style="114" customWidth="1"/>
    <col min="10" max="10" width="5" style="114" customWidth="1"/>
    <col min="11" max="20" width="9.23046875" style="114" customWidth="1" outlineLevel="1"/>
    <col min="21" max="16384" width="9" style="114"/>
  </cols>
  <sheetData>
    <row r="1" spans="1:14" ht="20">
      <c r="A1" s="324" t="s">
        <v>518</v>
      </c>
      <c r="B1" s="382"/>
      <c r="C1" s="382"/>
      <c r="D1" s="383"/>
      <c r="E1" s="384"/>
      <c r="F1" s="384"/>
      <c r="G1" s="384"/>
      <c r="H1" s="384"/>
      <c r="I1" s="384"/>
      <c r="J1" s="385"/>
    </row>
    <row r="2" spans="1:14" ht="20">
      <c r="A2" s="329" t="str">
        <f t="shared" ref="A2" si="0">Licensee</f>
        <v>Cadent-London</v>
      </c>
      <c r="B2" s="330"/>
      <c r="C2" s="330"/>
      <c r="D2" s="386"/>
      <c r="E2" s="332"/>
      <c r="F2" s="332"/>
      <c r="G2" s="332"/>
      <c r="H2" s="332"/>
      <c r="I2" s="332"/>
      <c r="J2" s="334"/>
    </row>
    <row r="3" spans="1:14" ht="20">
      <c r="A3" s="331">
        <f>Reporting_Year</f>
        <v>2024</v>
      </c>
      <c r="B3" s="387"/>
      <c r="C3" s="387"/>
      <c r="D3" s="388"/>
      <c r="E3" s="335"/>
      <c r="F3" s="335"/>
      <c r="G3" s="335"/>
      <c r="H3" s="335"/>
      <c r="I3" s="335"/>
      <c r="J3" s="337"/>
    </row>
    <row r="4" spans="1:14" s="339" customFormat="1" ht="12.75" customHeight="1">
      <c r="B4" s="389"/>
      <c r="C4" s="389"/>
      <c r="D4" s="29"/>
    </row>
    <row r="5" spans="1:14" s="339" customFormat="1">
      <c r="B5" s="389"/>
      <c r="C5" s="389"/>
      <c r="D5" s="29"/>
      <c r="E5" s="338" t="str">
        <f>IF(E6&lt;=Reporting_Year,"Actuals","Forecast")</f>
        <v>Actuals</v>
      </c>
      <c r="F5" s="338" t="str">
        <f>IF(F6&lt;=Reporting_Year,"Actuals","Forecast")</f>
        <v>Actuals</v>
      </c>
      <c r="G5" s="338" t="str">
        <f>IF(G6&lt;=Reporting_Year,"Actuals","Forecast")</f>
        <v>Actuals</v>
      </c>
      <c r="H5" s="338" t="str">
        <f>IF(H6&lt;=Reporting_Year,"Actuals","Forecast")</f>
        <v>Forecast</v>
      </c>
      <c r="I5" s="338" t="str">
        <f>IF(I6&lt;=Reporting_Year,"Actuals","Forecast")</f>
        <v>Forecast</v>
      </c>
    </row>
    <row r="6" spans="1:14" s="339" customFormat="1">
      <c r="B6" s="389"/>
      <c r="C6" s="389"/>
      <c r="D6" s="29"/>
      <c r="E6" s="340">
        <f>RIIO_2_start_date</f>
        <v>2022</v>
      </c>
      <c r="F6" s="340">
        <f>E6+1</f>
        <v>2023</v>
      </c>
      <c r="G6" s="340">
        <f>F6+1</f>
        <v>2024</v>
      </c>
      <c r="H6" s="340">
        <f t="shared" ref="H6:I6" si="1">G6+1</f>
        <v>2025</v>
      </c>
      <c r="I6" s="340">
        <f t="shared" si="1"/>
        <v>2026</v>
      </c>
    </row>
    <row r="7" spans="1:14" s="339" customFormat="1">
      <c r="B7" s="86"/>
      <c r="C7" s="86"/>
      <c r="D7" s="29"/>
      <c r="E7" s="343" t="str">
        <f>RIIO_2_start_date-1&amp;"/"&amp;RIGHT(RIIO_2_start_date,2)</f>
        <v>2021/22</v>
      </c>
      <c r="F7" s="343" t="str">
        <f>RIIO_2_start_date&amp;"/"&amp;RIGHT(RIIO_2_start_date+1,2)</f>
        <v>2022/23</v>
      </c>
      <c r="G7" s="343" t="str">
        <f>RIIO_2_start_date+1&amp;"/"&amp;RIGHT(RIIO_2_start_date+2,2)</f>
        <v>2023/24</v>
      </c>
      <c r="H7" s="343" t="str">
        <f>RIIO_2_start_date+2&amp;"/"&amp;RIGHT(RIIO_2_start_date+3,2)</f>
        <v>2024/25</v>
      </c>
      <c r="I7" s="343" t="str">
        <f>RIIO_2_start_date+3&amp;"/"&amp;RIGHT(RIIO_2_start_date+4,2)</f>
        <v>2025/26</v>
      </c>
    </row>
    <row r="8" spans="1:14" s="339" customFormat="1">
      <c r="B8" s="86"/>
      <c r="C8" s="86"/>
      <c r="D8" s="29"/>
      <c r="E8" s="390"/>
      <c r="F8" s="390"/>
      <c r="G8" s="390"/>
      <c r="H8" s="390"/>
      <c r="I8" s="390"/>
    </row>
    <row r="9" spans="1:14" s="339" customFormat="1">
      <c r="B9" s="391" t="s">
        <v>519</v>
      </c>
      <c r="C9" s="391"/>
      <c r="D9" s="392"/>
      <c r="E9" s="393"/>
      <c r="F9" s="393"/>
      <c r="G9" s="393"/>
      <c r="H9" s="393"/>
      <c r="I9" s="393"/>
      <c r="J9" s="394"/>
    </row>
    <row r="10" spans="1:14" s="339" customFormat="1">
      <c r="B10" s="86"/>
      <c r="C10" s="86"/>
      <c r="D10" s="29"/>
      <c r="E10" s="390"/>
      <c r="F10" s="390"/>
      <c r="G10" s="390"/>
      <c r="H10" s="390"/>
      <c r="I10" s="390"/>
    </row>
    <row r="11" spans="1:14" s="339" customFormat="1">
      <c r="B11" s="395" t="s">
        <v>520</v>
      </c>
      <c r="C11" s="86"/>
      <c r="D11" s="29"/>
    </row>
    <row r="12" spans="1:14" s="339" customFormat="1">
      <c r="B12" s="396"/>
      <c r="C12" s="86"/>
      <c r="D12" s="29"/>
    </row>
    <row r="13" spans="1:14" s="339" customFormat="1">
      <c r="B13" s="88" t="s">
        <v>521</v>
      </c>
      <c r="C13" s="341" t="str">
        <f>IF(Licensee="NGGT (SO)","SORt* x  PIt* / PI2018/19",IF(Sector="ED2","Rt* x  PIt* / PI2020/21","Rt* x  PIt* / PI2018/19"))</f>
        <v>Rt* x  PIt* / PI2018/19</v>
      </c>
      <c r="D13" s="28" t="s">
        <v>522</v>
      </c>
      <c r="E13" s="397">
        <v>454.64687856532936</v>
      </c>
      <c r="F13" s="397">
        <v>588.03215832100432</v>
      </c>
      <c r="G13" s="397">
        <v>563.04112726409119</v>
      </c>
      <c r="H13" s="397"/>
      <c r="I13" s="397"/>
      <c r="N13" s="341"/>
    </row>
    <row r="14" spans="1:14" s="339" customFormat="1">
      <c r="B14" s="1220" t="s">
        <v>523</v>
      </c>
      <c r="C14" s="114" t="str">
        <f>IF(Licensee="NGGT (SO)","SOADJt*","ADJt*")</f>
        <v>ADJt*</v>
      </c>
      <c r="D14" s="28" t="s">
        <v>522</v>
      </c>
      <c r="E14" s="397">
        <v>0</v>
      </c>
      <c r="F14" s="397">
        <v>35.140600594560198</v>
      </c>
      <c r="G14" s="397">
        <v>-44.663129682840967</v>
      </c>
      <c r="H14" s="397"/>
      <c r="I14" s="397"/>
    </row>
    <row r="15" spans="1:14" s="339" customFormat="1">
      <c r="B15" s="88" t="str">
        <f>IF(Sector="ED2","Calculated revenue","Adjusted revenue (as published)")</f>
        <v>Adjusted revenue (as published)</v>
      </c>
      <c r="C15" s="114" t="str">
        <f>IF(Licensee="NGGT (SO)","SOADJRt*",IF(Sector="ED2"," ","ADJRt*"))</f>
        <v>ADJRt*</v>
      </c>
      <c r="D15" s="28" t="s">
        <v>522</v>
      </c>
      <c r="E15" s="443">
        <f>SUM(E13:E14)</f>
        <v>454.64687856532936</v>
      </c>
      <c r="F15" s="443">
        <f t="shared" ref="F15" si="2">SUM(F13:F14)</f>
        <v>623.17275891556449</v>
      </c>
      <c r="G15" s="443">
        <f t="shared" ref="G15" si="3">SUM(G13:G14)</f>
        <v>518.37799758125027</v>
      </c>
      <c r="H15" s="443">
        <f t="shared" ref="H15:I15" si="4">SUM(H13:H14)</f>
        <v>0</v>
      </c>
      <c r="I15" s="443">
        <f t="shared" si="4"/>
        <v>0</v>
      </c>
    </row>
    <row r="16" spans="1:14" s="339" customFormat="1">
      <c r="B16" s="88" t="s">
        <v>524</v>
      </c>
      <c r="C16" s="114" t="str">
        <f>IF(OR(Licensee="ESO",Licensee="NGGT (SO)"),"SOLARt","LARt")</f>
        <v>LARt</v>
      </c>
      <c r="D16" s="28" t="s">
        <v>522</v>
      </c>
      <c r="E16" s="397">
        <v>11.33300391806371</v>
      </c>
      <c r="F16" s="397">
        <v>30.288337309930025</v>
      </c>
      <c r="G16" s="397">
        <v>-7.0962388925796791</v>
      </c>
      <c r="H16" s="397"/>
      <c r="I16" s="397"/>
    </row>
    <row r="17" spans="2:10" s="339" customFormat="1">
      <c r="B17" s="88" t="s">
        <v>525</v>
      </c>
      <c r="C17" s="114" t="str">
        <f>IF(Licensee="NGGT (SO)","SOKt","Kt")</f>
        <v>Kt</v>
      </c>
      <c r="D17" s="28" t="s">
        <v>522</v>
      </c>
      <c r="E17" s="397">
        <v>0.17279859245750998</v>
      </c>
      <c r="F17" s="397">
        <v>-3.4461722617654016</v>
      </c>
      <c r="G17" s="397">
        <v>2.6496198435844698</v>
      </c>
      <c r="H17" s="397"/>
      <c r="I17" s="397"/>
    </row>
    <row r="18" spans="2:10" s="339" customFormat="1">
      <c r="B18" s="88" t="s">
        <v>526</v>
      </c>
      <c r="C18" s="114" t="s">
        <v>527</v>
      </c>
      <c r="D18" s="28" t="s">
        <v>522</v>
      </c>
      <c r="E18" s="1219">
        <v>0</v>
      </c>
      <c r="F18" s="1219">
        <v>0</v>
      </c>
      <c r="G18" s="1219">
        <v>0</v>
      </c>
      <c r="H18" s="1219"/>
      <c r="I18" s="1219"/>
    </row>
    <row r="19" spans="2:10" s="339" customFormat="1">
      <c r="B19" s="86" t="s">
        <v>528</v>
      </c>
      <c r="C19" s="86" t="str">
        <f>IF(Licensee="ESO","SOIARt",IF(Licensee="NGGT (SO)","SOARt","ARt"))</f>
        <v>ARt</v>
      </c>
      <c r="D19" s="29" t="s">
        <v>522</v>
      </c>
      <c r="E19" s="442">
        <f>SUM(E15:E18)</f>
        <v>466.15268107585058</v>
      </c>
      <c r="F19" s="442">
        <f t="shared" ref="F19" si="5">SUM(F15:F18)</f>
        <v>650.01492396372919</v>
      </c>
      <c r="G19" s="442">
        <f t="shared" ref="G19" si="6">SUM(G15:G18)</f>
        <v>513.93137853225505</v>
      </c>
      <c r="H19" s="442">
        <f t="shared" ref="H19:I19" si="7">SUM(H15:H18)</f>
        <v>0</v>
      </c>
      <c r="I19" s="442">
        <f t="shared" si="7"/>
        <v>0</v>
      </c>
    </row>
    <row r="20" spans="2:10" s="339" customFormat="1">
      <c r="B20" s="389"/>
      <c r="C20" s="389"/>
      <c r="D20" s="29"/>
      <c r="E20" s="398"/>
      <c r="F20" s="398"/>
      <c r="G20" s="398"/>
      <c r="H20" s="399"/>
      <c r="I20" s="399"/>
    </row>
    <row r="21" spans="2:10" s="339" customFormat="1">
      <c r="B21" s="389" t="s">
        <v>529</v>
      </c>
      <c r="C21" s="396"/>
      <c r="D21" s="29" t="s">
        <v>522</v>
      </c>
      <c r="E21" s="442">
        <f>IF(ISBLANK(E25),0,E25-E19)</f>
        <v>3.4032402269951376</v>
      </c>
      <c r="F21" s="442">
        <f t="shared" ref="F21" si="8">IF(ISBLANK(F25),0,F25-F19)</f>
        <v>-2.5621702968948057</v>
      </c>
      <c r="G21" s="442">
        <f t="shared" ref="G21" si="9">IF(ISBLANK(G25),0,G25-G19)</f>
        <v>4.4410117500545994</v>
      </c>
      <c r="H21" s="442">
        <f t="shared" ref="H21:I21" si="10">IF(ISBLANK(H25),0,H25-H19)</f>
        <v>0</v>
      </c>
      <c r="I21" s="442">
        <f t="shared" si="10"/>
        <v>0</v>
      </c>
    </row>
    <row r="22" spans="2:10" s="339" customFormat="1">
      <c r="B22" s="389"/>
      <c r="C22" s="389"/>
      <c r="D22" s="29"/>
    </row>
    <row r="23" spans="2:10" s="339" customFormat="1">
      <c r="B23" s="389"/>
      <c r="C23" s="389"/>
      <c r="D23" s="29"/>
    </row>
    <row r="24" spans="2:10" s="339" customFormat="1">
      <c r="B24" s="389"/>
      <c r="C24" s="389"/>
      <c r="D24" s="29"/>
    </row>
    <row r="25" spans="2:10" s="339" customFormat="1">
      <c r="B25" s="396" t="s">
        <v>530</v>
      </c>
      <c r="C25" s="396" t="s">
        <v>531</v>
      </c>
      <c r="D25" s="29" t="s">
        <v>522</v>
      </c>
      <c r="E25" s="397">
        <v>469.55592130284572</v>
      </c>
      <c r="F25" s="397">
        <v>647.45275366683438</v>
      </c>
      <c r="G25" s="397">
        <v>518.37239028230965</v>
      </c>
      <c r="H25" s="397"/>
      <c r="I25" s="397"/>
    </row>
    <row r="26" spans="2:10" s="339" customFormat="1">
      <c r="B26" s="389"/>
      <c r="C26" s="389"/>
      <c r="D26" s="29"/>
    </row>
    <row r="27" spans="2:10" s="339" customFormat="1">
      <c r="B27" s="396" t="s">
        <v>532</v>
      </c>
      <c r="C27" s="396"/>
      <c r="D27" s="29"/>
      <c r="E27" s="29"/>
      <c r="F27" s="29"/>
      <c r="G27" s="29"/>
      <c r="H27" s="29"/>
      <c r="I27" s="29"/>
      <c r="J27" s="29"/>
    </row>
    <row r="28" spans="2:10" s="339" customFormat="1">
      <c r="B28" s="400" t="s">
        <v>533</v>
      </c>
      <c r="C28" s="400"/>
      <c r="D28" s="29" t="s">
        <v>522</v>
      </c>
      <c r="E28" s="401">
        <v>0</v>
      </c>
      <c r="F28" s="401">
        <v>0</v>
      </c>
      <c r="G28" s="401">
        <v>0</v>
      </c>
      <c r="H28" s="401"/>
      <c r="I28" s="401"/>
    </row>
    <row r="29" spans="2:10" s="339" customFormat="1">
      <c r="B29" s="400" t="s">
        <v>534</v>
      </c>
      <c r="C29" s="400"/>
      <c r="D29" s="29" t="s">
        <v>522</v>
      </c>
      <c r="E29" s="401">
        <v>0</v>
      </c>
      <c r="F29" s="401">
        <v>0</v>
      </c>
      <c r="G29" s="401">
        <v>0</v>
      </c>
      <c r="H29" s="401"/>
      <c r="I29" s="401"/>
    </row>
    <row r="30" spans="2:10" s="339" customFormat="1">
      <c r="B30" s="400" t="s">
        <v>535</v>
      </c>
      <c r="C30" s="400"/>
      <c r="D30" s="29" t="s">
        <v>522</v>
      </c>
      <c r="E30" s="401">
        <v>0</v>
      </c>
      <c r="F30" s="401">
        <v>0</v>
      </c>
      <c r="G30" s="401">
        <v>0</v>
      </c>
      <c r="H30" s="401"/>
      <c r="I30" s="401"/>
    </row>
    <row r="31" spans="2:10" s="339" customFormat="1">
      <c r="B31" s="400" t="s">
        <v>536</v>
      </c>
      <c r="C31" s="400"/>
      <c r="D31" s="29" t="s">
        <v>522</v>
      </c>
      <c r="E31" s="401">
        <v>0</v>
      </c>
      <c r="F31" s="401">
        <v>0</v>
      </c>
      <c r="G31" s="401">
        <v>0</v>
      </c>
      <c r="H31" s="401"/>
      <c r="I31" s="401"/>
    </row>
    <row r="32" spans="2:10" s="339" customFormat="1">
      <c r="B32" s="400" t="s">
        <v>537</v>
      </c>
      <c r="C32" s="400"/>
      <c r="D32" s="29" t="s">
        <v>522</v>
      </c>
      <c r="E32" s="401">
        <v>0</v>
      </c>
      <c r="F32" s="401">
        <v>0</v>
      </c>
      <c r="G32" s="401">
        <v>0</v>
      </c>
      <c r="H32" s="401"/>
      <c r="I32" s="401"/>
    </row>
    <row r="33" spans="2:9" s="339" customFormat="1">
      <c r="B33" s="400" t="s">
        <v>538</v>
      </c>
      <c r="C33" s="400"/>
      <c r="D33" s="29" t="s">
        <v>522</v>
      </c>
      <c r="E33" s="401">
        <v>0.53549818808916116</v>
      </c>
      <c r="F33" s="401">
        <v>0.61023480962422072</v>
      </c>
      <c r="G33" s="401">
        <v>0.97748800471819342</v>
      </c>
      <c r="H33" s="401"/>
      <c r="I33" s="401"/>
    </row>
    <row r="34" spans="2:9" s="339" customFormat="1">
      <c r="B34" s="400" t="s">
        <v>539</v>
      </c>
      <c r="C34" s="400"/>
      <c r="D34" s="29" t="s">
        <v>522</v>
      </c>
      <c r="E34" s="401">
        <v>0</v>
      </c>
      <c r="F34" s="401">
        <v>0</v>
      </c>
      <c r="G34" s="401">
        <v>0</v>
      </c>
      <c r="H34" s="401"/>
      <c r="I34" s="401"/>
    </row>
    <row r="35" spans="2:9" s="339" customFormat="1">
      <c r="B35" s="182" t="s">
        <v>540</v>
      </c>
      <c r="C35" s="182"/>
      <c r="D35" s="29" t="s">
        <v>522</v>
      </c>
      <c r="E35" s="401">
        <v>0</v>
      </c>
      <c r="F35" s="401">
        <v>0</v>
      </c>
      <c r="G35" s="401">
        <v>0</v>
      </c>
      <c r="H35" s="401"/>
      <c r="I35" s="401"/>
    </row>
    <row r="36" spans="2:9" s="339" customFormat="1">
      <c r="B36" s="402" t="s">
        <v>541</v>
      </c>
      <c r="C36" s="403"/>
      <c r="D36" s="29" t="s">
        <v>522</v>
      </c>
      <c r="E36" s="401">
        <v>0.79790969999999883</v>
      </c>
      <c r="F36" s="401">
        <v>0.30425872000003606</v>
      </c>
      <c r="G36" s="401">
        <v>-0.25563833000003544</v>
      </c>
      <c r="H36" s="401"/>
      <c r="I36" s="401"/>
    </row>
    <row r="37" spans="2:9" s="339" customFormat="1">
      <c r="B37" s="396" t="s">
        <v>542</v>
      </c>
      <c r="C37" s="396"/>
      <c r="D37" s="29" t="s">
        <v>522</v>
      </c>
      <c r="E37" s="442">
        <f>SUM(E28:E36)</f>
        <v>1.33340788808916</v>
      </c>
      <c r="F37" s="442">
        <f t="shared" ref="F37:I37" si="11">SUM(F28:F36)</f>
        <v>0.91449352962425678</v>
      </c>
      <c r="G37" s="442">
        <f t="shared" si="11"/>
        <v>0.72184967471815797</v>
      </c>
      <c r="H37" s="442">
        <f t="shared" si="11"/>
        <v>0</v>
      </c>
      <c r="I37" s="442">
        <f t="shared" si="11"/>
        <v>0</v>
      </c>
    </row>
    <row r="38" spans="2:9" s="339" customFormat="1">
      <c r="B38" s="389"/>
      <c r="C38" s="389"/>
      <c r="D38" s="29"/>
    </row>
    <row r="39" spans="2:9" s="339" customFormat="1">
      <c r="B39" s="396" t="s">
        <v>543</v>
      </c>
      <c r="D39" s="396"/>
      <c r="E39" s="404"/>
    </row>
    <row r="40" spans="2:9" s="339" customFormat="1">
      <c r="B40" s="402" t="s">
        <v>544</v>
      </c>
      <c r="C40" s="402"/>
      <c r="D40" s="29" t="s">
        <v>522</v>
      </c>
      <c r="E40" s="401">
        <v>5.2919416842325946</v>
      </c>
      <c r="F40" s="401">
        <v>3.658520337531797</v>
      </c>
      <c r="G40" s="401">
        <v>3.6198453557242778</v>
      </c>
      <c r="H40" s="401"/>
      <c r="I40" s="401"/>
    </row>
    <row r="41" spans="2:9" s="339" customFormat="1">
      <c r="B41" s="402" t="s">
        <v>545</v>
      </c>
      <c r="C41" s="402"/>
      <c r="D41" s="29" t="s">
        <v>522</v>
      </c>
      <c r="E41" s="401">
        <v>0.35685282000000002</v>
      </c>
      <c r="F41" s="401">
        <v>0.30633866999999998</v>
      </c>
      <c r="G41" s="401">
        <v>0.28087396999999997</v>
      </c>
      <c r="H41" s="401"/>
      <c r="I41" s="401"/>
    </row>
    <row r="42" spans="2:9" s="339" customFormat="1">
      <c r="B42" s="402" t="s">
        <v>546</v>
      </c>
      <c r="C42" s="402"/>
      <c r="D42" s="29" t="s">
        <v>522</v>
      </c>
      <c r="E42" s="401">
        <v>1.0840346262149401</v>
      </c>
      <c r="F42" s="401">
        <v>1.3101868337995421</v>
      </c>
      <c r="G42" s="401">
        <v>1.4360288894969524</v>
      </c>
      <c r="H42" s="401"/>
      <c r="I42" s="401"/>
    </row>
    <row r="43" spans="2:9" s="339" customFormat="1">
      <c r="B43" s="402" t="s">
        <v>547</v>
      </c>
      <c r="C43" s="402"/>
      <c r="D43" s="29" t="s">
        <v>522</v>
      </c>
      <c r="E43" s="401">
        <v>14.430363720000001</v>
      </c>
      <c r="F43" s="401">
        <v>5.5644636790267477</v>
      </c>
      <c r="G43" s="401">
        <v>15.678589907413674</v>
      </c>
      <c r="H43" s="401"/>
      <c r="I43" s="401"/>
    </row>
    <row r="44" spans="2:9" s="339" customFormat="1">
      <c r="B44" s="402" t="s">
        <v>548</v>
      </c>
      <c r="C44" s="402"/>
      <c r="D44" s="29" t="s">
        <v>522</v>
      </c>
      <c r="E44" s="401">
        <v>1.9312898904373428</v>
      </c>
      <c r="F44" s="401">
        <v>0.50363294000000003</v>
      </c>
      <c r="G44" s="401">
        <v>0.21623173999999998</v>
      </c>
      <c r="H44" s="401"/>
      <c r="I44" s="401"/>
    </row>
    <row r="45" spans="2:9" s="339" customFormat="1">
      <c r="B45" s="402" t="s">
        <v>549</v>
      </c>
      <c r="C45" s="402"/>
      <c r="D45" s="29" t="s">
        <v>522</v>
      </c>
      <c r="E45" s="401">
        <v>1.7464133500000001</v>
      </c>
      <c r="F45" s="401">
        <v>0</v>
      </c>
      <c r="G45" s="401">
        <v>-0.51751836090000003</v>
      </c>
      <c r="H45" s="401"/>
      <c r="I45" s="401"/>
    </row>
    <row r="46" spans="2:9" s="339" customFormat="1">
      <c r="B46" s="402" t="s">
        <v>550</v>
      </c>
      <c r="C46" s="402"/>
      <c r="D46" s="29" t="s">
        <v>522</v>
      </c>
      <c r="E46" s="401">
        <v>-0.80087017359599999</v>
      </c>
      <c r="F46" s="401">
        <v>-85.826617238120576</v>
      </c>
      <c r="G46" s="401">
        <v>-28.603498420734251</v>
      </c>
      <c r="H46" s="401"/>
      <c r="I46" s="401"/>
    </row>
    <row r="47" spans="2:9" s="339" customFormat="1">
      <c r="B47" s="402" t="s">
        <v>551</v>
      </c>
      <c r="C47" s="402"/>
      <c r="D47" s="29" t="s">
        <v>522</v>
      </c>
      <c r="E47" s="401">
        <v>5.5763207986710521E-2</v>
      </c>
      <c r="F47" s="401">
        <v>3.3861427854648886E-2</v>
      </c>
      <c r="G47" s="401">
        <v>5.17073851142935E-2</v>
      </c>
      <c r="H47" s="401"/>
      <c r="I47" s="401"/>
    </row>
    <row r="48" spans="2:9" s="339" customFormat="1">
      <c r="B48" s="402" t="s">
        <v>552</v>
      </c>
      <c r="C48" s="402"/>
      <c r="D48" s="29" t="s">
        <v>522</v>
      </c>
      <c r="E48" s="401">
        <v>1488.6671094519897</v>
      </c>
      <c r="F48" s="401">
        <v>1766.0620082309483</v>
      </c>
      <c r="G48" s="401">
        <v>1765.9187864668561</v>
      </c>
      <c r="H48" s="401"/>
      <c r="I48" s="401"/>
    </row>
    <row r="49" spans="2:10" s="339" customFormat="1">
      <c r="B49" s="402" t="s">
        <v>216</v>
      </c>
      <c r="C49" s="402"/>
      <c r="D49" s="29" t="s">
        <v>522</v>
      </c>
      <c r="E49" s="401">
        <v>0.34777223179941003</v>
      </c>
      <c r="F49" s="401">
        <v>2.0357922500465975E-2</v>
      </c>
      <c r="G49" s="401">
        <v>-0.19500000000000001</v>
      </c>
      <c r="H49" s="401"/>
      <c r="I49" s="401"/>
    </row>
    <row r="50" spans="2:10" s="339" customFormat="1">
      <c r="B50" s="402" t="s">
        <v>553</v>
      </c>
      <c r="C50" s="402"/>
      <c r="D50" s="29" t="s">
        <v>522</v>
      </c>
      <c r="E50" s="401">
        <v>0</v>
      </c>
      <c r="F50" s="401">
        <v>0</v>
      </c>
      <c r="G50" s="401">
        <v>0</v>
      </c>
      <c r="H50" s="401"/>
      <c r="I50" s="401"/>
    </row>
    <row r="51" spans="2:10" s="339" customFormat="1">
      <c r="B51" s="402" t="s">
        <v>553</v>
      </c>
      <c r="C51" s="402"/>
      <c r="D51" s="29" t="s">
        <v>522</v>
      </c>
      <c r="E51" s="401">
        <v>0</v>
      </c>
      <c r="F51" s="401">
        <v>0</v>
      </c>
      <c r="G51" s="401">
        <v>0</v>
      </c>
      <c r="H51" s="401"/>
      <c r="I51" s="401"/>
    </row>
    <row r="52" spans="2:10" s="339" customFormat="1">
      <c r="B52" s="402" t="s">
        <v>553</v>
      </c>
      <c r="C52" s="402"/>
      <c r="D52" s="29" t="s">
        <v>522</v>
      </c>
      <c r="E52" s="401">
        <v>0</v>
      </c>
      <c r="F52" s="401">
        <v>0</v>
      </c>
      <c r="G52" s="401">
        <v>0</v>
      </c>
      <c r="H52" s="401"/>
      <c r="I52" s="401"/>
    </row>
    <row r="53" spans="2:10" s="339" customFormat="1">
      <c r="B53" s="402" t="s">
        <v>553</v>
      </c>
      <c r="C53" s="402"/>
      <c r="D53" s="29" t="s">
        <v>522</v>
      </c>
      <c r="E53" s="401">
        <v>0</v>
      </c>
      <c r="F53" s="401">
        <v>0</v>
      </c>
      <c r="G53" s="401">
        <v>0</v>
      </c>
      <c r="H53" s="401"/>
      <c r="I53" s="401"/>
    </row>
    <row r="54" spans="2:10" s="339" customFormat="1">
      <c r="B54" s="402" t="s">
        <v>553</v>
      </c>
      <c r="C54" s="402"/>
      <c r="D54" s="29" t="s">
        <v>522</v>
      </c>
      <c r="E54" s="401">
        <v>0</v>
      </c>
      <c r="F54" s="401">
        <v>0</v>
      </c>
      <c r="G54" s="401">
        <v>0</v>
      </c>
      <c r="H54" s="401"/>
      <c r="I54" s="401"/>
    </row>
    <row r="55" spans="2:10" s="339" customFormat="1">
      <c r="B55" s="402" t="s">
        <v>553</v>
      </c>
      <c r="C55" s="402"/>
      <c r="D55" s="29" t="s">
        <v>522</v>
      </c>
      <c r="E55" s="401">
        <v>0</v>
      </c>
      <c r="F55" s="401">
        <v>0</v>
      </c>
      <c r="G55" s="401">
        <v>0</v>
      </c>
      <c r="H55" s="401"/>
      <c r="I55" s="401"/>
    </row>
    <row r="56" spans="2:10" s="339" customFormat="1">
      <c r="B56" s="396" t="s">
        <v>554</v>
      </c>
      <c r="C56" s="396"/>
      <c r="D56" s="29" t="s">
        <v>522</v>
      </c>
      <c r="E56" s="442">
        <f t="shared" ref="E56:I56" si="12">SUM(E40:E55)</f>
        <v>1513.1106708090647</v>
      </c>
      <c r="F56" s="442">
        <f t="shared" si="12"/>
        <v>1691.6327528035408</v>
      </c>
      <c r="G56" s="442">
        <f t="shared" si="12"/>
        <v>1757.8860469329711</v>
      </c>
      <c r="H56" s="442">
        <f t="shared" si="12"/>
        <v>0</v>
      </c>
      <c r="I56" s="442">
        <f t="shared" si="12"/>
        <v>0</v>
      </c>
    </row>
    <row r="57" spans="2:10" s="339" customFormat="1">
      <c r="B57" s="389"/>
      <c r="C57" s="389"/>
      <c r="D57" s="29"/>
      <c r="E57" s="405"/>
      <c r="F57" s="405"/>
      <c r="G57" s="405"/>
      <c r="H57" s="405"/>
      <c r="I57" s="405"/>
    </row>
    <row r="58" spans="2:10" s="339" customFormat="1">
      <c r="B58" s="406" t="s">
        <v>555</v>
      </c>
      <c r="C58" s="406"/>
      <c r="D58" s="29" t="s">
        <v>522</v>
      </c>
      <c r="E58" s="442">
        <f>E25+E37+E56</f>
        <v>1983.9999999999995</v>
      </c>
      <c r="F58" s="442">
        <f t="shared" ref="F58:I58" si="13">F25+F37+F56</f>
        <v>2339.9999999999995</v>
      </c>
      <c r="G58" s="442">
        <f t="shared" si="13"/>
        <v>2276.9802868899988</v>
      </c>
      <c r="H58" s="442">
        <f t="shared" si="13"/>
        <v>0</v>
      </c>
      <c r="I58" s="442">
        <f t="shared" si="13"/>
        <v>0</v>
      </c>
    </row>
    <row r="59" spans="2:10" s="339" customFormat="1">
      <c r="B59" s="407" t="s">
        <v>556</v>
      </c>
      <c r="C59" s="407"/>
      <c r="D59" s="29" t="s">
        <v>522</v>
      </c>
      <c r="E59" s="401">
        <v>1984</v>
      </c>
      <c r="F59" s="401">
        <v>2340</v>
      </c>
      <c r="G59" s="401">
        <v>2276.9805964899997</v>
      </c>
      <c r="H59" s="401"/>
      <c r="I59" s="401"/>
    </row>
    <row r="60" spans="2:10" s="339" customFormat="1">
      <c r="B60" s="389" t="s">
        <v>557</v>
      </c>
      <c r="C60" s="389"/>
      <c r="D60" s="29"/>
      <c r="E60" s="444" t="str">
        <f>IF(ABS(E58-E59)&lt;Data!$F$7,"OK","Error")</f>
        <v>OK</v>
      </c>
      <c r="F60" s="444" t="str">
        <f>IF(ABS(F58-F59)&lt;Data!$F$7,"OK","Error")</f>
        <v>OK</v>
      </c>
      <c r="G60" s="444" t="str">
        <f>IF(ABS(G58-G59)&lt;Data!$F$7,"OK","Error")</f>
        <v>OK</v>
      </c>
      <c r="H60" s="444" t="str">
        <f>IF(ABS(H58-H59)&lt;Data!$F$7,"OK","Error")</f>
        <v>OK</v>
      </c>
      <c r="I60" s="444" t="str">
        <f>IF(ABS(I58-I59)&lt;Data!$F$7,"OK","Error")</f>
        <v>OK</v>
      </c>
    </row>
    <row r="61" spans="2:10" s="339" customFormat="1">
      <c r="B61" s="389"/>
      <c r="C61" s="389"/>
      <c r="D61" s="29"/>
      <c r="E61" s="408"/>
      <c r="F61" s="408"/>
      <c r="G61" s="408"/>
      <c r="H61" s="408"/>
      <c r="I61" s="408"/>
    </row>
    <row r="62" spans="2:10" s="339" customFormat="1">
      <c r="B62" s="389"/>
      <c r="C62" s="389"/>
      <c r="D62" s="29"/>
    </row>
    <row r="63" spans="2:10" s="339" customFormat="1">
      <c r="B63" s="389"/>
      <c r="C63" s="389"/>
      <c r="D63" s="29"/>
    </row>
    <row r="64" spans="2:10" s="339" customFormat="1">
      <c r="B64" s="391" t="s">
        <v>558</v>
      </c>
      <c r="C64" s="391"/>
      <c r="D64" s="392"/>
      <c r="E64" s="393"/>
      <c r="F64" s="393"/>
      <c r="G64" s="393"/>
      <c r="H64" s="393"/>
      <c r="I64" s="393"/>
      <c r="J64" s="394"/>
    </row>
    <row r="65" spans="1:14" s="339" customFormat="1">
      <c r="A65" s="114"/>
      <c r="B65" s="88"/>
      <c r="C65" s="88"/>
      <c r="D65" s="29"/>
      <c r="E65" s="114"/>
      <c r="F65" s="114"/>
      <c r="G65" s="114"/>
      <c r="H65" s="114"/>
      <c r="I65" s="114"/>
      <c r="J65" s="114"/>
      <c r="K65" s="114"/>
      <c r="L65" s="114"/>
      <c r="M65" s="114"/>
      <c r="N65" s="114"/>
    </row>
    <row r="66" spans="1:14" s="339" customFormat="1">
      <c r="A66" s="114"/>
      <c r="B66" s="88"/>
      <c r="C66" s="88"/>
      <c r="D66" s="29"/>
      <c r="E66" s="338" t="str">
        <f>IF(E$6&lt;=Reporting_Year,"Actuals","N/A")</f>
        <v>Actuals</v>
      </c>
      <c r="F66" s="338" t="str">
        <f>IF(F$6&lt;=Reporting_Year,"Actuals","N/A")</f>
        <v>Actuals</v>
      </c>
      <c r="G66" s="338" t="str">
        <f>IF(G$6&lt;=Reporting_Year,"Actuals","N/A")</f>
        <v>Actuals</v>
      </c>
      <c r="H66" s="338" t="str">
        <f>IF(H$6&lt;=Reporting_Year,"Actuals","N/A")</f>
        <v>N/A</v>
      </c>
      <c r="I66" s="338" t="str">
        <f>IF(I$6&lt;=Reporting_Year,"Actuals","N/A")</f>
        <v>N/A</v>
      </c>
      <c r="J66" s="114"/>
      <c r="K66" s="114"/>
      <c r="L66" s="114"/>
      <c r="M66" s="114"/>
      <c r="N66" s="114"/>
    </row>
    <row r="67" spans="1:14" s="339" customFormat="1">
      <c r="A67" s="114"/>
      <c r="B67" s="88"/>
      <c r="C67" s="88"/>
      <c r="D67" s="29"/>
      <c r="E67" s="114"/>
      <c r="F67" s="114"/>
      <c r="G67" s="114"/>
      <c r="H67" s="114"/>
      <c r="I67" s="114"/>
      <c r="J67" s="114"/>
      <c r="K67" s="114"/>
      <c r="L67" s="114"/>
      <c r="M67" s="114"/>
      <c r="N67" s="114"/>
    </row>
    <row r="68" spans="1:14" s="339" customFormat="1">
      <c r="A68" s="114"/>
      <c r="B68" s="346" t="s">
        <v>559</v>
      </c>
      <c r="C68" s="88"/>
      <c r="D68" s="29" t="s">
        <v>522</v>
      </c>
      <c r="E68" s="445">
        <f t="shared" ref="E68:I68" si="14">E59</f>
        <v>1984</v>
      </c>
      <c r="F68" s="445">
        <f t="shared" si="14"/>
        <v>2340</v>
      </c>
      <c r="G68" s="445">
        <f t="shared" si="14"/>
        <v>2276.9805964899997</v>
      </c>
      <c r="H68" s="445">
        <f t="shared" si="14"/>
        <v>0</v>
      </c>
      <c r="I68" s="445">
        <f t="shared" si="14"/>
        <v>0</v>
      </c>
      <c r="J68" s="114"/>
      <c r="K68" s="114"/>
      <c r="L68" s="114"/>
      <c r="M68" s="114"/>
      <c r="N68" s="114"/>
    </row>
    <row r="69" spans="1:14" s="339" customFormat="1">
      <c r="A69" s="114"/>
      <c r="B69" s="339" t="s">
        <v>560</v>
      </c>
      <c r="C69" s="88"/>
      <c r="D69" s="29" t="s">
        <v>522</v>
      </c>
      <c r="E69" s="445">
        <f>E25</f>
        <v>469.55592130284572</v>
      </c>
      <c r="F69" s="445">
        <f>F25</f>
        <v>647.45275366683438</v>
      </c>
      <c r="G69" s="445">
        <f t="shared" ref="G69:I69" si="15">G25</f>
        <v>518.37239028230965</v>
      </c>
      <c r="H69" s="445">
        <f t="shared" si="15"/>
        <v>0</v>
      </c>
      <c r="I69" s="445">
        <f t="shared" si="15"/>
        <v>0</v>
      </c>
      <c r="J69" s="114" t="s">
        <v>561</v>
      </c>
      <c r="K69" s="114"/>
      <c r="L69" s="114"/>
      <c r="M69" s="114"/>
      <c r="N69" s="114"/>
    </row>
    <row r="70" spans="1:14" s="339" customFormat="1">
      <c r="A70" s="114"/>
      <c r="B70" s="407"/>
      <c r="C70" s="88"/>
      <c r="D70" s="29"/>
      <c r="E70" s="409"/>
      <c r="F70" s="409"/>
      <c r="G70" s="409"/>
      <c r="H70" s="114"/>
      <c r="I70" s="114"/>
      <c r="J70" s="114"/>
      <c r="K70" s="114"/>
      <c r="L70" s="114"/>
      <c r="M70" s="114"/>
      <c r="N70" s="114"/>
    </row>
    <row r="71" spans="1:14">
      <c r="B71" s="410"/>
    </row>
    <row r="72" spans="1:14">
      <c r="B72" s="346" t="s">
        <v>562</v>
      </c>
      <c r="D72" s="29" t="s">
        <v>522</v>
      </c>
      <c r="E72" s="445">
        <f>'R3 - Totex - Reconciliation'!D129</f>
        <v>896.53487623000001</v>
      </c>
      <c r="F72" s="445">
        <f>'R3 - Totex - Reconciliation'!E129</f>
        <v>972.95526010000003</v>
      </c>
      <c r="G72" s="445">
        <f>'R3 - Totex - Reconciliation'!F129</f>
        <v>922</v>
      </c>
      <c r="H72" s="445">
        <f>'R3 - Totex - Reconciliation'!G129</f>
        <v>0</v>
      </c>
      <c r="I72" s="445">
        <f>'R3 - Totex - Reconciliation'!H129</f>
        <v>0</v>
      </c>
    </row>
    <row r="73" spans="1:14">
      <c r="B73" s="411" t="s">
        <v>563</v>
      </c>
      <c r="D73" s="114"/>
    </row>
    <row r="74" spans="1:14" ht="8.15" customHeight="1">
      <c r="B74" s="114"/>
      <c r="D74" s="114"/>
    </row>
    <row r="75" spans="1:14" ht="12.65" customHeight="1">
      <c r="B75" s="339" t="s">
        <v>564</v>
      </c>
      <c r="D75" s="29" t="s">
        <v>522</v>
      </c>
      <c r="E75" s="446">
        <f>'R3 - Totex - Reconciliation'!D157</f>
        <v>-705.18121813397875</v>
      </c>
      <c r="F75" s="446">
        <f>'R3 - Totex - Reconciliation'!E157</f>
        <v>-777.63713429907807</v>
      </c>
      <c r="G75" s="446">
        <f>'R3 - Totex - Reconciliation'!F157</f>
        <v>-711.51007339106138</v>
      </c>
      <c r="H75" s="446">
        <f>'R3 - Totex - Reconciliation'!G157</f>
        <v>0</v>
      </c>
      <c r="I75" s="446">
        <f>'R3 - Totex - Reconciliation'!H157</f>
        <v>0</v>
      </c>
    </row>
    <row r="76" spans="1:14">
      <c r="B76" s="114" t="s">
        <v>565</v>
      </c>
      <c r="D76" s="29" t="s">
        <v>522</v>
      </c>
      <c r="E76" s="401">
        <v>0</v>
      </c>
      <c r="F76" s="401">
        <v>0</v>
      </c>
      <c r="G76" s="401">
        <v>0</v>
      </c>
      <c r="H76" s="401"/>
      <c r="I76" s="401"/>
    </row>
    <row r="77" spans="1:14" ht="5.15" customHeight="1">
      <c r="B77" s="114"/>
      <c r="D77" s="88"/>
      <c r="E77" s="88"/>
      <c r="F77" s="88"/>
      <c r="G77" s="88"/>
      <c r="H77" s="88"/>
      <c r="I77" s="88"/>
    </row>
    <row r="78" spans="1:14">
      <c r="B78" s="339" t="s">
        <v>566</v>
      </c>
      <c r="D78" s="29" t="s">
        <v>522</v>
      </c>
      <c r="E78" s="445">
        <f>'R3 - Totex - Reconciliation'!D129+'R3 - Totex - Reconciliation'!D157+E76</f>
        <v>191.35365809602126</v>
      </c>
      <c r="F78" s="447">
        <f>'R3 - Totex - Reconciliation'!E129+'R3 - Totex - Reconciliation'!E157+F76</f>
        <v>195.31812580092196</v>
      </c>
      <c r="G78" s="447">
        <f>'R3 - Totex - Reconciliation'!F129+'R3 - Totex - Reconciliation'!F157+G76</f>
        <v>210.48992660893862</v>
      </c>
      <c r="H78" s="447">
        <f>'R3 - Totex - Reconciliation'!G129+'R3 - Totex - Reconciliation'!G157+H76</f>
        <v>0</v>
      </c>
      <c r="I78" s="447">
        <f>'R3 - Totex - Reconciliation'!H129+'R3 - Totex - Reconciliation'!H157+I76</f>
        <v>0</v>
      </c>
      <c r="K78" s="88"/>
      <c r="N78" s="88"/>
    </row>
    <row r="79" spans="1:14">
      <c r="B79" s="411" t="s">
        <v>567</v>
      </c>
      <c r="D79" s="29" t="s">
        <v>522</v>
      </c>
      <c r="E79" s="448" t="str">
        <f>IF(ABS(E78-SUM(E72,E75,E76))&lt;=materiality_threshold,"ok","error")</f>
        <v>ok</v>
      </c>
      <c r="F79" s="448" t="str">
        <f>IF(ABS(F78-SUM(F72,F75,F76))&lt;=materiality_threshold,"ok","error")</f>
        <v>ok</v>
      </c>
      <c r="G79" s="448" t="str">
        <f>IF(ABS(G78-SUM(G72,G75,G76))&lt;=materiality_threshold,"ok","error")</f>
        <v>ok</v>
      </c>
      <c r="H79" s="448" t="str">
        <f>IF(ABS(H78-SUM(H72,H75,H76))&lt;=materiality_threshold,"ok","error")</f>
        <v>ok</v>
      </c>
      <c r="I79" s="448" t="str">
        <f>IF(ABS(I78-SUM(I72,I75,I76))&lt;=materiality_threshold,"ok","error")</f>
        <v>ok</v>
      </c>
    </row>
    <row r="80" spans="1:14">
      <c r="B80" s="114"/>
      <c r="E80" s="29"/>
      <c r="F80" s="29"/>
      <c r="G80" s="29"/>
      <c r="H80" s="29"/>
      <c r="I80" s="29"/>
    </row>
    <row r="81" spans="2:13">
      <c r="B81" s="346" t="s">
        <v>568</v>
      </c>
      <c r="D81" s="29" t="s">
        <v>522</v>
      </c>
      <c r="E81" s="449">
        <f>E68-E72</f>
        <v>1087.46512377</v>
      </c>
      <c r="F81" s="449">
        <f>F68-F72</f>
        <v>1367.0447399</v>
      </c>
      <c r="G81" s="449">
        <f>G68-G72</f>
        <v>1354.9805964899997</v>
      </c>
      <c r="H81" s="449">
        <f>H68-H72</f>
        <v>0</v>
      </c>
      <c r="I81" s="449">
        <f>I68-I72</f>
        <v>0</v>
      </c>
    </row>
    <row r="82" spans="2:13">
      <c r="B82" s="412" t="s">
        <v>569</v>
      </c>
      <c r="D82" s="29" t="s">
        <v>522</v>
      </c>
      <c r="E82" s="449">
        <f>E69-E78</f>
        <v>278.20226320682445</v>
      </c>
      <c r="F82" s="449">
        <f>F69-F78</f>
        <v>452.13462786591242</v>
      </c>
      <c r="G82" s="449">
        <f>G69-G78</f>
        <v>307.88246367337103</v>
      </c>
      <c r="H82" s="449">
        <f>H69-H78</f>
        <v>0</v>
      </c>
      <c r="I82" s="449">
        <f>I69-I78</f>
        <v>0</v>
      </c>
    </row>
    <row r="84" spans="2:13">
      <c r="B84" s="346" t="s">
        <v>570</v>
      </c>
      <c r="D84" s="29" t="s">
        <v>522</v>
      </c>
      <c r="E84" s="447">
        <f>'R3 - Totex - Reconciliation'!D124</f>
        <v>402.46512377000005</v>
      </c>
      <c r="F84" s="447">
        <f>'R3 - Totex - Reconciliation'!E124</f>
        <v>422.04473989999997</v>
      </c>
      <c r="G84" s="447">
        <f>'R3 - Totex - Reconciliation'!F124</f>
        <v>462</v>
      </c>
      <c r="H84" s="447">
        <f>'R3 - Totex - Reconciliation'!G124</f>
        <v>0</v>
      </c>
      <c r="I84" s="447">
        <f>'R3 - Totex - Reconciliation'!H124</f>
        <v>0</v>
      </c>
    </row>
    <row r="85" spans="2:13" ht="16" customHeight="1">
      <c r="B85" s="411" t="s">
        <v>563</v>
      </c>
    </row>
    <row r="86" spans="2:13" ht="22" customHeight="1">
      <c r="B86" s="114" t="s">
        <v>571</v>
      </c>
      <c r="D86" s="114"/>
    </row>
    <row r="87" spans="2:13">
      <c r="B87" s="389" t="s">
        <v>572</v>
      </c>
      <c r="D87" s="29" t="s">
        <v>522</v>
      </c>
      <c r="E87" s="413">
        <v>9</v>
      </c>
      <c r="F87" s="413">
        <v>12</v>
      </c>
      <c r="G87" s="413">
        <v>18</v>
      </c>
      <c r="H87" s="413">
        <v>0</v>
      </c>
      <c r="I87" s="413">
        <v>0</v>
      </c>
    </row>
    <row r="88" spans="2:13">
      <c r="B88" s="402" t="s">
        <v>573</v>
      </c>
      <c r="C88" s="402"/>
      <c r="D88" s="29" t="s">
        <v>522</v>
      </c>
      <c r="E88" s="413">
        <v>0</v>
      </c>
      <c r="F88" s="413">
        <v>0</v>
      </c>
      <c r="G88" s="401"/>
      <c r="H88" s="401"/>
      <c r="I88" s="401"/>
    </row>
    <row r="89" spans="2:13">
      <c r="B89" s="389" t="s">
        <v>574</v>
      </c>
      <c r="D89" s="29" t="s">
        <v>522</v>
      </c>
      <c r="E89" s="450">
        <f>SUM(E87:E88)</f>
        <v>9</v>
      </c>
      <c r="F89" s="450">
        <f t="shared" ref="F89:I89" si="16">SUM(F87:F88)</f>
        <v>12</v>
      </c>
      <c r="G89" s="450">
        <f t="shared" si="16"/>
        <v>18</v>
      </c>
      <c r="H89" s="450">
        <f t="shared" si="16"/>
        <v>0</v>
      </c>
      <c r="I89" s="450">
        <f t="shared" si="16"/>
        <v>0</v>
      </c>
    </row>
    <row r="90" spans="2:13" ht="5.15" customHeight="1">
      <c r="B90" s="389"/>
      <c r="D90" s="88"/>
      <c r="E90" s="88"/>
      <c r="F90" s="88"/>
      <c r="G90" s="88"/>
      <c r="H90" s="88"/>
      <c r="I90" s="88"/>
      <c r="J90" s="88"/>
      <c r="K90" s="88"/>
      <c r="L90" s="88"/>
      <c r="M90" s="88"/>
    </row>
    <row r="91" spans="2:13">
      <c r="B91" s="339" t="s">
        <v>575</v>
      </c>
      <c r="D91" s="29" t="s">
        <v>522</v>
      </c>
      <c r="E91" s="451">
        <f>SUM(E84,E89)</f>
        <v>411.46512377000005</v>
      </c>
      <c r="F91" s="451">
        <f t="shared" ref="F91:I91" si="17">SUM(F84,F89)</f>
        <v>434.04473989999997</v>
      </c>
      <c r="G91" s="451">
        <f t="shared" si="17"/>
        <v>480</v>
      </c>
      <c r="H91" s="451">
        <f t="shared" si="17"/>
        <v>0</v>
      </c>
      <c r="I91" s="451">
        <f t="shared" si="17"/>
        <v>0</v>
      </c>
    </row>
    <row r="92" spans="2:13">
      <c r="B92" s="114"/>
      <c r="C92" s="114"/>
      <c r="D92" s="114"/>
    </row>
    <row r="93" spans="2:13">
      <c r="B93" s="414" t="s">
        <v>576</v>
      </c>
      <c r="C93" s="415"/>
      <c r="D93" s="323" t="s">
        <v>522</v>
      </c>
      <c r="E93" s="443">
        <f>E81-E84</f>
        <v>685</v>
      </c>
      <c r="F93" s="443">
        <f t="shared" ref="F93:I93" si="18">F81-F84</f>
        <v>945</v>
      </c>
      <c r="G93" s="443">
        <f t="shared" si="18"/>
        <v>892.9805964899997</v>
      </c>
      <c r="H93" s="443">
        <f t="shared" si="18"/>
        <v>0</v>
      </c>
      <c r="I93" s="443">
        <f t="shared" si="18"/>
        <v>0</v>
      </c>
    </row>
    <row r="94" spans="2:13">
      <c r="B94" s="416" t="s">
        <v>577</v>
      </c>
      <c r="D94" s="29" t="s">
        <v>522</v>
      </c>
      <c r="E94" s="451">
        <f>E82-E91</f>
        <v>-133.26286056317559</v>
      </c>
      <c r="F94" s="451">
        <f t="shared" ref="F94:I94" si="19">F82-F91</f>
        <v>18.089887965912453</v>
      </c>
      <c r="G94" s="451">
        <f t="shared" si="19"/>
        <v>-172.11753632662897</v>
      </c>
      <c r="H94" s="451">
        <f t="shared" si="19"/>
        <v>0</v>
      </c>
      <c r="I94" s="451">
        <f t="shared" si="19"/>
        <v>0</v>
      </c>
    </row>
    <row r="95" spans="2:13">
      <c r="B95" s="416"/>
      <c r="E95" s="417"/>
      <c r="F95" s="417"/>
      <c r="G95" s="417"/>
      <c r="H95" s="417"/>
      <c r="I95" s="418"/>
    </row>
    <row r="96" spans="2:13">
      <c r="B96" s="419" t="s">
        <v>578</v>
      </c>
      <c r="D96" s="29" t="s">
        <v>522</v>
      </c>
      <c r="E96" s="452">
        <f>'R5 - Financing'!D9</f>
        <v>316.3534681299999</v>
      </c>
      <c r="F96" s="452">
        <f>'R5 - Financing'!E9</f>
        <v>204.97499434999986</v>
      </c>
      <c r="G96" s="452">
        <f>'R5 - Financing'!F9</f>
        <v>202.85811992473543</v>
      </c>
      <c r="H96" s="452">
        <f>'R5 - Financing'!G9</f>
        <v>181.68456240652563</v>
      </c>
      <c r="I96" s="452">
        <f>'R5 - Financing'!H9</f>
        <v>188.81385155382426</v>
      </c>
    </row>
    <row r="97" spans="2:9">
      <c r="B97" s="420" t="s">
        <v>579</v>
      </c>
      <c r="D97" s="29" t="s">
        <v>522</v>
      </c>
      <c r="E97" s="452">
        <f>'R5 - Financing'!D29</f>
        <v>61.082924507701108</v>
      </c>
      <c r="F97" s="452">
        <f>'R5 - Financing'!E29</f>
        <v>95.723011876521582</v>
      </c>
      <c r="G97" s="452">
        <f>'R5 - Financing'!F29</f>
        <v>68.345222385649976</v>
      </c>
      <c r="H97" s="452">
        <f>'R5 - Financing'!G29</f>
        <v>52.148632879092901</v>
      </c>
      <c r="I97" s="452">
        <f>'R5 - Financing'!H29</f>
        <v>54.043350312384376</v>
      </c>
    </row>
    <row r="98" spans="2:9">
      <c r="B98" s="421" t="s">
        <v>580</v>
      </c>
      <c r="D98" s="29" t="s">
        <v>522</v>
      </c>
      <c r="E98" s="451">
        <f>E96-E97</f>
        <v>255.27054362229879</v>
      </c>
      <c r="F98" s="451">
        <f>F96-F97</f>
        <v>109.25198247347828</v>
      </c>
      <c r="G98" s="451">
        <f>G96-G97</f>
        <v>134.51289753908546</v>
      </c>
      <c r="H98" s="451">
        <f>H96-H97</f>
        <v>129.53592952743273</v>
      </c>
      <c r="I98" s="453">
        <f>I96-I97</f>
        <v>134.77050124143989</v>
      </c>
    </row>
    <row r="99" spans="2:9">
      <c r="B99" s="416"/>
      <c r="E99" s="417"/>
      <c r="F99" s="417"/>
      <c r="G99" s="417"/>
      <c r="H99" s="417"/>
      <c r="I99" s="418"/>
    </row>
    <row r="100" spans="2:9">
      <c r="B100" s="419" t="s">
        <v>581</v>
      </c>
      <c r="D100" s="29" t="s">
        <v>522</v>
      </c>
      <c r="E100" s="413">
        <v>462</v>
      </c>
      <c r="F100" s="413">
        <v>160</v>
      </c>
      <c r="G100" s="401">
        <v>174</v>
      </c>
      <c r="H100" s="401"/>
      <c r="I100" s="401"/>
    </row>
    <row r="101" spans="2:9">
      <c r="B101" s="419" t="s">
        <v>582</v>
      </c>
      <c r="D101" s="29" t="s">
        <v>522</v>
      </c>
      <c r="E101" s="413">
        <v>-379</v>
      </c>
      <c r="F101" s="413">
        <v>-63</v>
      </c>
      <c r="G101" s="401">
        <v>-14</v>
      </c>
      <c r="H101" s="401"/>
      <c r="I101" s="401"/>
    </row>
    <row r="102" spans="2:9">
      <c r="B102" s="419" t="s">
        <v>583</v>
      </c>
      <c r="D102" s="29" t="s">
        <v>522</v>
      </c>
      <c r="E102" s="443">
        <f>SUM(E100:E101)</f>
        <v>83</v>
      </c>
      <c r="F102" s="443">
        <f t="shared" ref="F102:I102" si="20">SUM(F100:F101)</f>
        <v>97</v>
      </c>
      <c r="G102" s="443">
        <f t="shared" si="20"/>
        <v>160</v>
      </c>
      <c r="H102" s="443">
        <f t="shared" si="20"/>
        <v>0</v>
      </c>
      <c r="I102" s="443">
        <f t="shared" si="20"/>
        <v>0</v>
      </c>
    </row>
    <row r="103" spans="2:9">
      <c r="B103" s="420" t="s">
        <v>584</v>
      </c>
      <c r="D103" s="29" t="s">
        <v>522</v>
      </c>
      <c r="E103" s="452">
        <f>Adjusted_regulated_tax_liability</f>
        <v>21.866402186376504</v>
      </c>
      <c r="F103" s="452">
        <f>Adjusted_regulated_tax_liability</f>
        <v>15.694737371922201</v>
      </c>
      <c r="G103" s="452">
        <f>Adjusted_regulated_tax_liability</f>
        <v>39.633502570786078</v>
      </c>
      <c r="H103" s="452">
        <f>Adjusted_regulated_tax_liability</f>
        <v>28.046442191011028</v>
      </c>
      <c r="I103" s="452">
        <f>Adjusted_regulated_tax_liability</f>
        <v>42.897259036812592</v>
      </c>
    </row>
    <row r="104" spans="2:9">
      <c r="B104" s="421" t="s">
        <v>580</v>
      </c>
      <c r="D104" s="29" t="s">
        <v>522</v>
      </c>
      <c r="E104" s="454">
        <f>E102-E103</f>
        <v>61.133597813623496</v>
      </c>
      <c r="F104" s="454">
        <f t="shared" ref="F104:I104" si="21">F102-F103</f>
        <v>81.305262628077799</v>
      </c>
      <c r="G104" s="454">
        <f t="shared" si="21"/>
        <v>120.36649742921392</v>
      </c>
      <c r="H104" s="454">
        <f t="shared" si="21"/>
        <v>-28.046442191011028</v>
      </c>
      <c r="I104" s="454">
        <f t="shared" si="21"/>
        <v>-42.897259036812592</v>
      </c>
    </row>
    <row r="105" spans="2:9">
      <c r="B105" s="422"/>
      <c r="E105" s="417"/>
      <c r="F105" s="417"/>
      <c r="G105" s="417"/>
      <c r="H105" s="417"/>
      <c r="I105" s="418"/>
    </row>
    <row r="106" spans="2:9">
      <c r="B106" s="423" t="s">
        <v>585</v>
      </c>
      <c r="D106" s="29" t="s">
        <v>522</v>
      </c>
      <c r="E106" s="443">
        <f>IFERROR(E93-E96-E100,0)</f>
        <v>-93.353468129999897</v>
      </c>
      <c r="F106" s="443">
        <f>IFERROR(F93-F96-F100,0)</f>
        <v>580.02500565000014</v>
      </c>
      <c r="G106" s="443">
        <f>IFERROR(G93-G96-G100,0)</f>
        <v>516.12247656526426</v>
      </c>
      <c r="H106" s="443">
        <f>IFERROR(H93-H96-H100,0)</f>
        <v>-181.68456240652563</v>
      </c>
      <c r="I106" s="443">
        <f>IFERROR(I93-I96-I100,0)</f>
        <v>-188.81385155382426</v>
      </c>
    </row>
    <row r="107" spans="2:9">
      <c r="B107" s="424" t="s">
        <v>586</v>
      </c>
      <c r="D107" s="29" t="s">
        <v>522</v>
      </c>
      <c r="E107" s="443">
        <f>IFERROR(E94-E97-E103,0)</f>
        <v>-216.21218725725322</v>
      </c>
      <c r="F107" s="443">
        <f>IFERROR(F94-F97-F103,0)</f>
        <v>-93.32786128253133</v>
      </c>
      <c r="G107" s="443">
        <f>IFERROR(G94-G97-G103,0)</f>
        <v>-280.09626128306502</v>
      </c>
      <c r="H107" s="443">
        <f>IFERROR(H94-H97-H103,0)</f>
        <v>-80.195075070103925</v>
      </c>
      <c r="I107" s="443">
        <f>IFERROR(I94-I97-I103,0)</f>
        <v>-96.940609349196961</v>
      </c>
    </row>
    <row r="108" spans="2:9">
      <c r="B108" s="421" t="s">
        <v>580</v>
      </c>
      <c r="D108" s="29" t="s">
        <v>522</v>
      </c>
      <c r="E108" s="451">
        <f>IFERROR(E106-E107,0)</f>
        <v>122.85871912725332</v>
      </c>
      <c r="F108" s="451">
        <f>IFERROR(F106-F107,0)</f>
        <v>673.35286693253147</v>
      </c>
      <c r="G108" s="451">
        <f>IFERROR(G106-G107,0)</f>
        <v>796.21873784832928</v>
      </c>
      <c r="H108" s="451">
        <f>IFERROR(H106-H107,0)</f>
        <v>-101.4894873364217</v>
      </c>
      <c r="I108" s="451">
        <f>IFERROR(I106-I107,0)</f>
        <v>-91.873242204627303</v>
      </c>
    </row>
    <row r="109" spans="2:9">
      <c r="B109" s="422"/>
      <c r="C109" s="114"/>
      <c r="D109" s="114"/>
      <c r="I109" s="425"/>
    </row>
    <row r="110" spans="2:9">
      <c r="B110" s="426"/>
      <c r="C110" s="427"/>
      <c r="D110" s="206"/>
      <c r="E110" s="207"/>
      <c r="F110" s="206"/>
      <c r="G110" s="206"/>
      <c r="H110" s="206"/>
      <c r="I110" s="208"/>
    </row>
    <row r="111" spans="2:9">
      <c r="B111" s="114"/>
      <c r="D111" s="114"/>
    </row>
    <row r="112" spans="2:9">
      <c r="B112" s="114"/>
      <c r="C112" s="114"/>
      <c r="D112" s="114"/>
    </row>
    <row r="113" spans="2:9">
      <c r="B113" s="428"/>
      <c r="D113" s="114"/>
    </row>
    <row r="114" spans="2:9">
      <c r="B114" s="429" t="s">
        <v>587</v>
      </c>
      <c r="C114" s="114"/>
      <c r="D114" s="114"/>
    </row>
    <row r="115" spans="2:9">
      <c r="B115" s="1358"/>
      <c r="C115" s="1359"/>
      <c r="D115" s="1359"/>
      <c r="E115" s="1359"/>
      <c r="F115" s="1359"/>
      <c r="G115" s="430"/>
      <c r="H115" s="430"/>
      <c r="I115" s="431"/>
    </row>
    <row r="116" spans="2:9">
      <c r="B116" s="432"/>
      <c r="C116" s="433"/>
      <c r="D116" s="434"/>
      <c r="E116" s="435"/>
      <c r="F116" s="435"/>
      <c r="G116" s="435"/>
      <c r="H116" s="435"/>
      <c r="I116" s="436"/>
    </row>
    <row r="117" spans="2:9">
      <c r="B117" s="432"/>
      <c r="C117" s="433"/>
      <c r="D117" s="434"/>
      <c r="E117" s="435"/>
      <c r="F117" s="435"/>
      <c r="G117" s="435"/>
      <c r="H117" s="435"/>
      <c r="I117" s="436"/>
    </row>
    <row r="118" spans="2:9">
      <c r="B118" s="432"/>
      <c r="C118" s="433"/>
      <c r="D118" s="434"/>
      <c r="E118" s="435"/>
      <c r="F118" s="435"/>
      <c r="G118" s="435"/>
      <c r="H118" s="435"/>
      <c r="I118" s="436"/>
    </row>
    <row r="119" spans="2:9">
      <c r="B119" s="432"/>
      <c r="C119" s="433"/>
      <c r="D119" s="434"/>
      <c r="E119" s="435"/>
      <c r="F119" s="435"/>
      <c r="G119" s="435"/>
      <c r="H119" s="435"/>
      <c r="I119" s="436"/>
    </row>
    <row r="120" spans="2:9">
      <c r="B120" s="437"/>
      <c r="C120" s="438"/>
      <c r="D120" s="439"/>
      <c r="E120" s="440"/>
      <c r="F120" s="440"/>
      <c r="G120" s="440"/>
      <c r="H120" s="440"/>
      <c r="I120" s="441"/>
    </row>
    <row r="122" spans="2:9" ht="13.5" customHeight="1"/>
    <row r="128" spans="2:9" ht="15" customHeight="1"/>
    <row r="142" ht="91.5" customHeight="1"/>
  </sheetData>
  <sheetProtection insertRows="0" autoFilter="0" pivotTables="0"/>
  <mergeCells count="1">
    <mergeCell ref="B115:F115"/>
  </mergeCells>
  <conditionalFormatting sqref="C36">
    <cfRule type="expression" dxfId="90" priority="60">
      <formula>C$5="Forecast"</formula>
    </cfRule>
  </conditionalFormatting>
  <conditionalFormatting sqref="E87:F88">
    <cfRule type="expression" dxfId="89" priority="6">
      <formula>D$12="N/A"</formula>
    </cfRule>
  </conditionalFormatting>
  <conditionalFormatting sqref="E100:F101">
    <cfRule type="expression" dxfId="88" priority="5">
      <formula>D$12="N/A"</formula>
    </cfRule>
  </conditionalFormatting>
  <conditionalFormatting sqref="E6:H6">
    <cfRule type="expression" dxfId="87" priority="27">
      <formula>AND(E$5="Actuals",F$5="Forecast")</formula>
    </cfRule>
  </conditionalFormatting>
  <conditionalFormatting sqref="E66:H66">
    <cfRule type="expression" dxfId="86" priority="30">
      <formula>AND(E$5="Actuals",F$5="N/A")</formula>
    </cfRule>
  </conditionalFormatting>
  <conditionalFormatting sqref="E7:I7">
    <cfRule type="expression" dxfId="85" priority="29">
      <formula>AND(E$5="Actuals",F$5="Forecast")</formula>
    </cfRule>
  </conditionalFormatting>
  <conditionalFormatting sqref="E13:I19 E21:I21 E25:I25">
    <cfRule type="expression" dxfId="84" priority="1">
      <formula>E$5="Forecast"</formula>
    </cfRule>
  </conditionalFormatting>
  <conditionalFormatting sqref="E28:I36 E40:I55">
    <cfRule type="expression" priority="25">
      <formula>E$5="Forecast"</formula>
    </cfRule>
  </conditionalFormatting>
  <conditionalFormatting sqref="E28:I36">
    <cfRule type="expression" priority="26">
      <formula>$E6="Forecast"</formula>
    </cfRule>
  </conditionalFormatting>
  <conditionalFormatting sqref="E60:I60">
    <cfRule type="expression" dxfId="83" priority="64">
      <formula>E$5="Forecast"</formula>
    </cfRule>
  </conditionalFormatting>
  <conditionalFormatting sqref="E68:I70 E72:I72">
    <cfRule type="expression" dxfId="82" priority="56">
      <formula>D$12="N/A"</formula>
    </cfRule>
  </conditionalFormatting>
  <conditionalFormatting sqref="E75:I76">
    <cfRule type="expression" dxfId="81" priority="16">
      <formula>E$5="Forecast"</formula>
    </cfRule>
  </conditionalFormatting>
  <conditionalFormatting sqref="E78:I78">
    <cfRule type="expression" dxfId="80" priority="11">
      <formula>D$12="N/A"</formula>
    </cfRule>
  </conditionalFormatting>
  <conditionalFormatting sqref="E78:I79">
    <cfRule type="expression" dxfId="79" priority="10">
      <formula>E$5="Forecast"</formula>
    </cfRule>
  </conditionalFormatting>
  <conditionalFormatting sqref="E84:I84">
    <cfRule type="expression" dxfId="78" priority="8">
      <formula>E$5="Forecast"</formula>
    </cfRule>
    <cfRule type="expression" dxfId="77" priority="9">
      <formula>D$12="N/A"</formula>
    </cfRule>
  </conditionalFormatting>
  <conditionalFormatting sqref="E87:I87">
    <cfRule type="expression" dxfId="76" priority="3">
      <formula>E$5="Forecast"</formula>
    </cfRule>
  </conditionalFormatting>
  <conditionalFormatting sqref="E88:I89 E100:I100 E101:F101 E28:I37 E40:I56 E58:I60 E66:I66 E68:I69 E72:I72 E91:I91 E93:I94 E96:I98 E102:I104">
    <cfRule type="expression" dxfId="75" priority="24">
      <formula>E$5="Forecast"</formula>
    </cfRule>
  </conditionalFormatting>
  <conditionalFormatting sqref="E106:I108">
    <cfRule type="expression" dxfId="74" priority="22">
      <formula>E$5="Forecast"</formula>
    </cfRule>
  </conditionalFormatting>
  <conditionalFormatting sqref="G87:I87">
    <cfRule type="expression" dxfId="73" priority="4">
      <formula>F$12="N/A"</formula>
    </cfRule>
  </conditionalFormatting>
  <conditionalFormatting sqref="G101:I101">
    <cfRule type="expression" dxfId="72" priority="2">
      <formula>G$5="Forecast"</formula>
    </cfRule>
  </conditionalFormatting>
  <conditionalFormatting sqref="H25:I25">
    <cfRule type="expression" priority="12">
      <formula>H$5="Forecast"</formula>
    </cfRule>
    <cfRule type="expression" priority="13">
      <formula>$E3="Forecast"</formula>
    </cfRule>
  </conditionalFormatting>
  <conditionalFormatting sqref="I6">
    <cfRule type="expression" dxfId="70" priority="28">
      <formula>AND(I$5="Actuals",#REF!="Forecast")</formula>
    </cfRule>
  </conditionalFormatting>
  <conditionalFormatting sqref="I66">
    <cfRule type="expression" dxfId="69" priority="242">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7" id="{F64DC2A1-1BFC-4A45-BEAE-BCD4DDABF2EA}">
            <xm:f>'RFPR cover'!$C$7="ESO"</xm:f>
            <x14:dxf>
              <fill>
                <patternFill>
                  <fgColor auto="1"/>
                  <bgColor theme="7" tint="0.79998168889431442"/>
                </patternFill>
              </fill>
            </x14:dxf>
          </x14:cfRule>
          <xm:sqref>H25:I25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85" zoomScaleNormal="85" workbookViewId="0">
      <selection activeCell="A5" sqref="A5"/>
    </sheetView>
  </sheetViews>
  <sheetFormatPr defaultColWidth="9" defaultRowHeight="13.5"/>
  <cols>
    <col min="1" max="1" width="8.3828125" style="114" customWidth="1"/>
    <col min="2" max="2" width="71.3828125" style="114" bestFit="1" customWidth="1"/>
    <col min="3" max="3" width="13.3828125" style="29" customWidth="1"/>
    <col min="4" max="8" width="11.15234375" style="114" customWidth="1"/>
    <col min="9" max="9" width="12.84375" style="114" customWidth="1"/>
    <col min="10" max="10" width="12.765625" style="114" customWidth="1"/>
    <col min="11" max="11" width="5.765625" style="114" bestFit="1" customWidth="1"/>
    <col min="12" max="16384" width="9" style="114"/>
  </cols>
  <sheetData>
    <row r="1" spans="1:14" ht="20">
      <c r="A1" s="525" t="s">
        <v>669</v>
      </c>
      <c r="B1" s="526"/>
      <c r="C1" s="527"/>
      <c r="D1" s="528"/>
      <c r="E1" s="528"/>
      <c r="F1" s="528"/>
      <c r="G1" s="528"/>
      <c r="H1" s="528"/>
      <c r="I1" s="328"/>
      <c r="J1" s="328"/>
      <c r="K1" s="456"/>
    </row>
    <row r="2" spans="1:14" ht="20">
      <c r="A2" s="329" t="str">
        <f>Licensee</f>
        <v>Cadent-London</v>
      </c>
      <c r="B2" s="529"/>
      <c r="C2" s="530"/>
      <c r="D2" s="531"/>
      <c r="E2" s="531"/>
      <c r="F2" s="531"/>
      <c r="G2" s="531"/>
      <c r="H2" s="531"/>
      <c r="I2" s="333"/>
      <c r="J2" s="333"/>
      <c r="K2" s="334"/>
    </row>
    <row r="3" spans="1:14" ht="20">
      <c r="A3" s="331">
        <f>Reporting_Year</f>
        <v>2024</v>
      </c>
      <c r="B3" s="332"/>
      <c r="C3" s="532"/>
      <c r="D3" s="533"/>
      <c r="E3" s="533"/>
      <c r="F3" s="533"/>
      <c r="G3" s="533"/>
      <c r="H3" s="533"/>
      <c r="I3" s="336"/>
      <c r="J3" s="336"/>
      <c r="K3" s="337"/>
    </row>
    <row r="4" spans="1:14" s="339" customFormat="1" ht="12.75" customHeight="1">
      <c r="B4" s="480"/>
      <c r="C4" s="29"/>
    </row>
    <row r="5" spans="1:14" s="339" customFormat="1" ht="21.65" customHeight="1">
      <c r="B5" s="480"/>
      <c r="C5" s="29"/>
      <c r="D5" s="338" t="str">
        <f t="shared" ref="D5:I5" si="0">IF(D6&lt;=Reporting_Year,"Actuals","Forecast")</f>
        <v>Actuals</v>
      </c>
      <c r="E5" s="338" t="str">
        <f t="shared" si="0"/>
        <v>Actuals</v>
      </c>
      <c r="F5" s="338" t="str">
        <f t="shared" si="0"/>
        <v>Actuals</v>
      </c>
      <c r="G5" s="338" t="str">
        <f t="shared" si="0"/>
        <v>Forecast</v>
      </c>
      <c r="H5" s="338" t="str">
        <f t="shared" si="0"/>
        <v>Forecast</v>
      </c>
      <c r="I5" s="338" t="str">
        <f t="shared" si="0"/>
        <v>Forecast</v>
      </c>
    </row>
    <row r="6" spans="1:14" s="339" customFormat="1" ht="29.25" customHeight="1">
      <c r="C6" s="29"/>
      <c r="D6" s="457">
        <f>'RFPR cover'!$C$6</f>
        <v>2022</v>
      </c>
      <c r="E6" s="458">
        <f>D6+1</f>
        <v>2023</v>
      </c>
      <c r="F6" s="458">
        <f t="shared" ref="F6:H6" si="1">E6+1</f>
        <v>2024</v>
      </c>
      <c r="G6" s="458">
        <f t="shared" si="1"/>
        <v>2025</v>
      </c>
      <c r="H6" s="458">
        <f t="shared" si="1"/>
        <v>2026</v>
      </c>
      <c r="I6" s="342" t="str">
        <f>"Cumulative to "&amp;'RFPR cover'!$C$9</f>
        <v>Cumulative to 2024</v>
      </c>
      <c r="J6" s="459" t="s">
        <v>483</v>
      </c>
    </row>
    <row r="7" spans="1:14" s="339" customFormat="1">
      <c r="C7" s="29"/>
      <c r="D7" s="343" t="str">
        <f>RIIO_2_start_date-1&amp;"/"&amp;RIGHT(RIIO_2_start_date,2)</f>
        <v>2021/22</v>
      </c>
      <c r="E7" s="343" t="str">
        <f>RIIO_2_start_date&amp;"/"&amp;RIGHT(RIIO_2_start_date+1,2)</f>
        <v>2022/23</v>
      </c>
      <c r="F7" s="343" t="str">
        <f>RIIO_2_start_date+1&amp;"/"&amp;RIGHT(RIIO_2_start_date+2,2)</f>
        <v>2023/24</v>
      </c>
      <c r="G7" s="343" t="str">
        <f>RIIO_2_start_date+2&amp;"/"&amp;RIGHT(RIIO_2_start_date+3,2)</f>
        <v>2024/25</v>
      </c>
      <c r="H7" s="343" t="str">
        <f>RIIO_2_start_date+3&amp;"/"&amp;RIGHT(RIIO_2_start_date+4,2)</f>
        <v>2025/26</v>
      </c>
    </row>
    <row r="8" spans="1:14" s="339" customFormat="1" ht="17.5">
      <c r="B8" s="534" t="s">
        <v>670</v>
      </c>
      <c r="C8" s="392"/>
      <c r="D8" s="393"/>
      <c r="E8" s="393"/>
      <c r="F8" s="393"/>
      <c r="G8" s="393"/>
      <c r="H8" s="393"/>
      <c r="I8" s="393"/>
      <c r="J8" s="393"/>
      <c r="K8" s="393"/>
    </row>
    <row r="9" spans="1:14" s="339" customFormat="1">
      <c r="N9" s="360"/>
    </row>
    <row r="10" spans="1:14" s="339" customFormat="1"/>
    <row r="11" spans="1:14" s="339" customFormat="1"/>
    <row r="12" spans="1:14" s="339" customFormat="1">
      <c r="A12" s="345" t="s">
        <v>487</v>
      </c>
      <c r="B12" s="482" t="s">
        <v>671</v>
      </c>
      <c r="C12" s="468" t="str">
        <f>Data!$C$9</f>
        <v>£m 18/19</v>
      </c>
      <c r="D12" s="1208">
        <f>INDEX(Data!$C$98:$I$126,MATCH($A$2,Data!$B$98:$B$126,0),MATCH(D$6,Data!$C$97:$I$97))</f>
        <v>-1.1368683772161603E-15</v>
      </c>
      <c r="E12" s="1208">
        <f>INDEX(Data!$C$98:$I$126,MATCH($A$2,Data!$B$98:$B$126,0),MATCH(E$6,Data!$C$97:$I$97))</f>
        <v>-1.1368683772161603E-15</v>
      </c>
      <c r="F12" s="1208">
        <f>INDEX(Data!$C$98:$I$126,MATCH($A$2,Data!$B$98:$B$126,0),MATCH(F$6,Data!$C$97:$I$97))</f>
        <v>-1.1368683772161603E-15</v>
      </c>
      <c r="G12" s="1208">
        <f>INDEX(Data!$C$98:$I$126,MATCH($A$2,Data!$B$98:$B$126,0),MATCH(G$6,Data!$C$97:$I$97))</f>
        <v>-1.1368683772161603E-15</v>
      </c>
      <c r="H12" s="1208">
        <f>INDEX(Data!$C$98:$I$126,MATCH($A$2,Data!$B$98:$B$126,0),MATCH(H$6,Data!$C$97:$I$97))</f>
        <v>-1.1368683772161603E-15</v>
      </c>
      <c r="I12" s="1208">
        <f>SUM(D12:INDEX(D12:H12,0,MATCH('RFPR cover'!$C$9,$D$6:$H$6,0)))</f>
        <v>-3.4106051316484808E-15</v>
      </c>
      <c r="J12" s="1209">
        <f>SUM(D12:H12)</f>
        <v>-5.6843418860808018E-15</v>
      </c>
    </row>
    <row r="13" spans="1:14" s="339" customFormat="1" ht="19.5" customHeight="1">
      <c r="A13" s="345"/>
      <c r="B13" s="535" t="s">
        <v>672</v>
      </c>
    </row>
    <row r="14" spans="1:14" s="339" customFormat="1">
      <c r="A14" s="345" t="s">
        <v>488</v>
      </c>
      <c r="B14" s="536" t="str">
        <f>Data!B132</f>
        <v>Customer Satisfaction Survey ODI - (SpC 4.2)</v>
      </c>
      <c r="C14" s="468" t="str">
        <f>Data!$C$9</f>
        <v>£m 18/19</v>
      </c>
      <c r="D14" s="537">
        <v>7.8806372549019996E-2</v>
      </c>
      <c r="E14" s="537">
        <v>0.48779223227752577</v>
      </c>
      <c r="F14" s="537">
        <v>1.1149630865377675</v>
      </c>
      <c r="G14" s="537">
        <v>1.7778520499108736</v>
      </c>
      <c r="H14" s="537">
        <v>1.9010695187165765</v>
      </c>
      <c r="I14" s="499">
        <f>SUM(D14:INDEX(D14:H14,0,MATCH('RFPR cover'!$C$9,$D$6:$H$6,0)))</f>
        <v>1.6815616913643132</v>
      </c>
      <c r="J14" s="500">
        <f t="shared" ref="J14:J22" si="2">SUM(D14:H14)</f>
        <v>5.3604832599917636</v>
      </c>
    </row>
    <row r="15" spans="1:14" s="339" customFormat="1">
      <c r="A15" s="345" t="s">
        <v>489</v>
      </c>
      <c r="B15" s="536" t="str">
        <f>Data!B133</f>
        <v>Complaints metric ODI - (SpC 4.3)</v>
      </c>
      <c r="C15" s="468" t="str">
        <f>Data!$C$9</f>
        <v>£m 18/19</v>
      </c>
      <c r="D15" s="537">
        <v>0</v>
      </c>
      <c r="E15" s="537">
        <v>0</v>
      </c>
      <c r="F15" s="537">
        <v>0</v>
      </c>
      <c r="G15" s="537">
        <v>0</v>
      </c>
      <c r="H15" s="537">
        <v>0</v>
      </c>
      <c r="I15" s="499">
        <f>SUM(D15:INDEX(D15:H15,0,MATCH('RFPR cover'!$C$9,$D$6:$H$6,0)))</f>
        <v>0</v>
      </c>
      <c r="J15" s="500">
        <f t="shared" si="2"/>
        <v>0</v>
      </c>
    </row>
    <row r="16" spans="1:14" s="339" customFormat="1">
      <c r="A16" s="345" t="s">
        <v>490</v>
      </c>
      <c r="B16" s="536" t="str">
        <f>Data!B134</f>
        <v>Unplanned Interruption Mean Duration ODI [NGN, SGN and WWU] - (SpC 4.5)</v>
      </c>
      <c r="C16" s="468" t="str">
        <f>Data!$C$9</f>
        <v>£m 18/19</v>
      </c>
      <c r="D16" s="537">
        <v>0</v>
      </c>
      <c r="E16" s="537">
        <v>0</v>
      </c>
      <c r="F16" s="537">
        <v>0</v>
      </c>
      <c r="G16" s="537">
        <v>0</v>
      </c>
      <c r="H16" s="537">
        <v>0</v>
      </c>
      <c r="I16" s="499">
        <f>SUM(D16:INDEX(D16:H16,0,MATCH('RFPR cover'!$C$9,$D$6:$H$6,0)))</f>
        <v>0</v>
      </c>
      <c r="J16" s="500">
        <f t="shared" si="2"/>
        <v>0</v>
      </c>
    </row>
    <row r="17" spans="1:10" s="339" customFormat="1">
      <c r="A17" s="345" t="s">
        <v>491</v>
      </c>
      <c r="B17" s="536" t="str">
        <f>Data!B135</f>
        <v>Unplanned Interruption Mean Duration ODI [Cadent only]- (SpC 4.6)</v>
      </c>
      <c r="C17" s="468" t="str">
        <f>Data!$C$9</f>
        <v>£m 18/19</v>
      </c>
      <c r="D17" s="537">
        <v>0</v>
      </c>
      <c r="E17" s="537">
        <v>0</v>
      </c>
      <c r="F17" s="537">
        <v>0</v>
      </c>
      <c r="G17" s="537">
        <v>0</v>
      </c>
      <c r="H17" s="537">
        <v>0</v>
      </c>
      <c r="I17" s="499">
        <f>SUM(D17:INDEX(D17:H17,0,MATCH('RFPR cover'!$C$9,$D$6:$H$6,0)))</f>
        <v>0</v>
      </c>
      <c r="J17" s="500">
        <f t="shared" si="2"/>
        <v>0</v>
      </c>
    </row>
    <row r="18" spans="1:10" s="339" customFormat="1">
      <c r="A18" s="345" t="s">
        <v>492</v>
      </c>
      <c r="B18" s="536" t="str">
        <f>Data!B136</f>
        <v>Shrinkage Management ODI- (SpC 4.4)</v>
      </c>
      <c r="C18" s="468" t="str">
        <f>Data!$C$9</f>
        <v>£m 18/19</v>
      </c>
      <c r="D18" s="537">
        <v>-0.224364258308861</v>
      </c>
      <c r="E18" s="537">
        <v>0.16035020774819159</v>
      </c>
      <c r="F18" s="537">
        <v>1.9727040418466645E-2</v>
      </c>
      <c r="G18" s="537">
        <v>1.6582982776588321E-2</v>
      </c>
      <c r="H18" s="537">
        <v>1.593816621579669E-2</v>
      </c>
      <c r="I18" s="499">
        <f>SUM(D18:INDEX(D18:H18,0,MATCH('RFPR cover'!$C$9,$D$6:$H$6,0)))</f>
        <v>-4.4287010142202772E-2</v>
      </c>
      <c r="J18" s="500">
        <f t="shared" si="2"/>
        <v>-1.1765861149817761E-2</v>
      </c>
    </row>
    <row r="19" spans="1:10" s="339" customFormat="1">
      <c r="A19" s="345" t="s">
        <v>493</v>
      </c>
      <c r="B19" s="536" t="str">
        <f>Data!B137</f>
        <v>Collaborative streetworks ODI [Cadent Lon &amp; EoE, SGN So only]- (SpC 4.7)</v>
      </c>
      <c r="C19" s="468" t="str">
        <f>Data!$C$9</f>
        <v>£m 18/19</v>
      </c>
      <c r="D19" s="537">
        <v>0.98750000000000004</v>
      </c>
      <c r="E19" s="537">
        <v>0.91500000000000004</v>
      </c>
      <c r="F19" s="537">
        <v>0.98750000000000004</v>
      </c>
      <c r="G19" s="537">
        <v>0.98750000000000004</v>
      </c>
      <c r="H19" s="537">
        <v>0.98750000000000004</v>
      </c>
      <c r="I19" s="499">
        <f>SUM(D19:INDEX(D19:H19,0,MATCH('RFPR cover'!$C$9,$D$6:$H$6,0)))</f>
        <v>2.89</v>
      </c>
      <c r="J19" s="500">
        <f>SUM(D19:H19)</f>
        <v>4.8650000000000002</v>
      </c>
    </row>
    <row r="20" spans="1:10" s="339" customFormat="1">
      <c r="A20" s="345" t="s">
        <v>673</v>
      </c>
      <c r="B20" s="536" t="str">
        <f>Data!B138</f>
        <v/>
      </c>
      <c r="C20" s="468" t="str">
        <f>Data!$C$9</f>
        <v>£m 18/19</v>
      </c>
      <c r="D20" s="537">
        <v>0</v>
      </c>
      <c r="E20" s="537">
        <v>0</v>
      </c>
      <c r="F20" s="537">
        <v>0</v>
      </c>
      <c r="G20" s="537">
        <v>0</v>
      </c>
      <c r="H20" s="537">
        <v>0</v>
      </c>
      <c r="I20" s="499">
        <f>SUM(D20:INDEX(D20:H20,0,MATCH('RFPR cover'!$C$9,$D$6:$H$6,0)))</f>
        <v>0</v>
      </c>
      <c r="J20" s="500">
        <f>SUM(D20:H20)</f>
        <v>0</v>
      </c>
    </row>
    <row r="21" spans="1:10" s="339" customFormat="1">
      <c r="A21" s="345" t="s">
        <v>494</v>
      </c>
      <c r="B21" s="536" t="str">
        <f>Data!B139</f>
        <v/>
      </c>
      <c r="C21" s="468" t="str">
        <f>Data!$C$9</f>
        <v>£m 18/19</v>
      </c>
      <c r="D21" s="537">
        <v>0</v>
      </c>
      <c r="E21" s="537">
        <v>0</v>
      </c>
      <c r="F21" s="537">
        <v>0</v>
      </c>
      <c r="G21" s="537">
        <v>0</v>
      </c>
      <c r="H21" s="537">
        <v>0</v>
      </c>
      <c r="I21" s="499">
        <f>SUM(D21:INDEX(D21:H21,0,MATCH('RFPR cover'!$C$9,$D$6:$H$6,0)))</f>
        <v>0</v>
      </c>
      <c r="J21" s="500">
        <f t="shared" si="2"/>
        <v>0</v>
      </c>
    </row>
    <row r="22" spans="1:10" s="339" customFormat="1">
      <c r="B22" s="482" t="s">
        <v>674</v>
      </c>
      <c r="C22" s="476" t="str">
        <f>Data!$C$9</f>
        <v>£m 18/19</v>
      </c>
      <c r="D22" s="511">
        <f>SUM(D14:D21)</f>
        <v>0.84194211424015908</v>
      </c>
      <c r="E22" s="511">
        <f>SUM(E14:E21)</f>
        <v>1.5631424400257175</v>
      </c>
      <c r="F22" s="511">
        <f>SUM(F14:F21)</f>
        <v>2.1221901269562342</v>
      </c>
      <c r="G22" s="511">
        <f>SUM(G14:G21)</f>
        <v>2.7819350326874623</v>
      </c>
      <c r="H22" s="511">
        <f>SUM(H14:H21)</f>
        <v>2.9045076849323732</v>
      </c>
      <c r="I22" s="499">
        <f>SUM(D22:INDEX(D22:H22,0,MATCH('RFPR cover'!$C$9,$D$6:$H$6,0)))</f>
        <v>4.5272746812221101</v>
      </c>
      <c r="J22" s="500">
        <f t="shared" si="2"/>
        <v>10.213717398841945</v>
      </c>
    </row>
    <row r="23" spans="1:10" s="339" customFormat="1"/>
    <row r="24" spans="1:10" s="539" customFormat="1" ht="14.25" customHeight="1">
      <c r="A24" s="538"/>
    </row>
    <row r="25" spans="1:10" s="339" customFormat="1">
      <c r="A25" s="540"/>
      <c r="B25" s="541" t="s">
        <v>675</v>
      </c>
      <c r="C25" s="542"/>
      <c r="D25" s="542"/>
      <c r="E25" s="542"/>
      <c r="F25" s="542"/>
      <c r="G25" s="542"/>
      <c r="H25" s="542"/>
      <c r="I25" s="542"/>
      <c r="J25" s="542"/>
    </row>
    <row r="26" spans="1:10" s="339" customFormat="1">
      <c r="A26" s="543" t="s">
        <v>487</v>
      </c>
      <c r="B26" s="1361"/>
      <c r="C26" s="1361"/>
      <c r="D26" s="1361"/>
      <c r="E26" s="1361"/>
      <c r="F26" s="1361"/>
      <c r="G26" s="1361"/>
      <c r="H26" s="1361"/>
      <c r="I26" s="1361"/>
      <c r="J26" s="1361"/>
    </row>
    <row r="27" spans="1:10" s="339" customFormat="1">
      <c r="A27" s="543" t="s">
        <v>488</v>
      </c>
      <c r="B27" s="1361"/>
      <c r="C27" s="1361"/>
      <c r="D27" s="1361"/>
      <c r="E27" s="1361"/>
      <c r="F27" s="1361"/>
      <c r="G27" s="1361"/>
      <c r="H27" s="1361"/>
      <c r="I27" s="1361"/>
      <c r="J27" s="1361"/>
    </row>
    <row r="28" spans="1:10" s="339" customFormat="1">
      <c r="A28" s="543" t="s">
        <v>489</v>
      </c>
      <c r="B28" s="1361"/>
      <c r="C28" s="1361"/>
      <c r="D28" s="1361"/>
      <c r="E28" s="1361"/>
      <c r="F28" s="1361"/>
      <c r="G28" s="1361"/>
      <c r="H28" s="1361"/>
      <c r="I28" s="1361"/>
      <c r="J28" s="1361"/>
    </row>
    <row r="29" spans="1:10" s="339" customFormat="1">
      <c r="A29" s="543" t="s">
        <v>490</v>
      </c>
      <c r="B29" s="1361"/>
      <c r="C29" s="1361"/>
      <c r="D29" s="1361"/>
      <c r="E29" s="1361"/>
      <c r="F29" s="1361"/>
      <c r="G29" s="1361"/>
      <c r="H29" s="1361"/>
      <c r="I29" s="1361"/>
      <c r="J29" s="1361"/>
    </row>
    <row r="30" spans="1:10" s="339" customFormat="1">
      <c r="A30" s="543" t="s">
        <v>491</v>
      </c>
      <c r="B30" s="1361"/>
      <c r="C30" s="1361"/>
      <c r="D30" s="1361"/>
      <c r="E30" s="1361"/>
      <c r="F30" s="1361"/>
      <c r="G30" s="1361"/>
      <c r="H30" s="1361"/>
      <c r="I30" s="1361"/>
      <c r="J30" s="1361"/>
    </row>
    <row r="31" spans="1:10" s="339" customFormat="1">
      <c r="A31" s="543" t="s">
        <v>492</v>
      </c>
      <c r="B31" s="1361"/>
      <c r="C31" s="1361"/>
      <c r="D31" s="1361"/>
      <c r="E31" s="1361"/>
      <c r="F31" s="1361"/>
      <c r="G31" s="1361"/>
      <c r="H31" s="1361"/>
      <c r="I31" s="1361"/>
      <c r="J31" s="1361"/>
    </row>
    <row r="32" spans="1:10" s="339" customFormat="1">
      <c r="A32" s="543" t="s">
        <v>493</v>
      </c>
      <c r="B32" s="402"/>
      <c r="C32" s="402"/>
      <c r="D32" s="402"/>
      <c r="E32" s="402"/>
      <c r="F32" s="402"/>
      <c r="G32" s="402"/>
      <c r="H32" s="402"/>
      <c r="I32" s="402"/>
      <c r="J32" s="402"/>
    </row>
    <row r="33" spans="1:11" s="339" customFormat="1">
      <c r="A33" s="543" t="s">
        <v>673</v>
      </c>
      <c r="B33" s="402"/>
      <c r="C33" s="402"/>
      <c r="D33" s="402"/>
      <c r="E33" s="402"/>
      <c r="F33" s="402"/>
      <c r="G33" s="402"/>
      <c r="H33" s="402"/>
      <c r="I33" s="402"/>
      <c r="J33" s="402"/>
    </row>
    <row r="34" spans="1:11" s="339" customFormat="1">
      <c r="A34" s="543" t="s">
        <v>494</v>
      </c>
      <c r="B34" s="1361"/>
      <c r="C34" s="1361"/>
      <c r="D34" s="1361"/>
      <c r="E34" s="1361"/>
      <c r="F34" s="1361"/>
      <c r="G34" s="1361"/>
      <c r="H34" s="1361"/>
      <c r="I34" s="1361"/>
      <c r="J34" s="1361"/>
    </row>
    <row r="35" spans="1:11" s="339" customFormat="1">
      <c r="A35" s="345"/>
      <c r="C35" s="468"/>
      <c r="D35" s="468"/>
      <c r="E35" s="468"/>
      <c r="F35" s="468"/>
      <c r="G35" s="468"/>
      <c r="H35" s="468"/>
      <c r="I35" s="468"/>
      <c r="J35" s="468"/>
    </row>
    <row r="36" spans="1:11" s="339" customFormat="1" ht="20.5">
      <c r="B36" s="534" t="s">
        <v>676</v>
      </c>
      <c r="C36" s="392"/>
      <c r="D36" s="393"/>
      <c r="E36" s="393"/>
      <c r="F36" s="393"/>
      <c r="G36" s="393"/>
      <c r="H36" s="393"/>
      <c r="I36" s="393"/>
      <c r="J36" s="393"/>
      <c r="K36" s="393"/>
    </row>
    <row r="37" spans="1:11" s="339" customFormat="1">
      <c r="A37" s="482"/>
      <c r="C37" s="29"/>
    </row>
    <row r="38" spans="1:11">
      <c r="B38" s="544" t="s">
        <v>677</v>
      </c>
    </row>
    <row r="39" spans="1:11">
      <c r="B39" s="482"/>
    </row>
    <row r="40" spans="1:11" s="339" customFormat="1">
      <c r="A40" s="467" t="s">
        <v>494</v>
      </c>
      <c r="B40" s="482" t="s">
        <v>122</v>
      </c>
      <c r="C40" s="40" t="s">
        <v>678</v>
      </c>
      <c r="D40" s="494"/>
      <c r="E40" s="494"/>
      <c r="F40" s="494"/>
      <c r="G40" s="494"/>
      <c r="H40" s="494"/>
    </row>
    <row r="41" spans="1:11" s="339" customFormat="1">
      <c r="B41" s="389" t="s">
        <v>679</v>
      </c>
      <c r="C41" s="468" t="str">
        <f>Data!$C$9</f>
        <v>£m 18/19</v>
      </c>
      <c r="D41" s="397">
        <v>0.36606381728193915</v>
      </c>
      <c r="E41" s="397">
        <v>0.60515984167734549</v>
      </c>
      <c r="F41" s="397">
        <v>0.87092408172697444</v>
      </c>
      <c r="G41" s="397">
        <v>2.4761208587235837</v>
      </c>
      <c r="H41" s="397">
        <v>2.4672555928805346</v>
      </c>
      <c r="I41" s="499">
        <f>SUM(D41:INDEX(D41:H41,0,MATCH('RFPR cover'!$C$9,$D$6:$H$6,0)))</f>
        <v>1.8421477406862592</v>
      </c>
      <c r="J41" s="500">
        <f t="shared" ref="J41" si="3">SUM(D41:H41)</f>
        <v>6.7855241922903771</v>
      </c>
      <c r="K41" s="339" t="s">
        <v>680</v>
      </c>
    </row>
    <row r="42" spans="1:11" s="339" customFormat="1">
      <c r="B42" s="389" t="s">
        <v>681</v>
      </c>
      <c r="C42" s="468" t="str">
        <f>Data!$C$9</f>
        <v>£m 18/19</v>
      </c>
      <c r="D42" s="537">
        <v>0</v>
      </c>
      <c r="E42" s="537">
        <v>0</v>
      </c>
      <c r="F42" s="537">
        <v>0</v>
      </c>
      <c r="G42" s="537">
        <v>0</v>
      </c>
      <c r="H42" s="537">
        <v>0</v>
      </c>
      <c r="I42" s="499">
        <f>SUM(D42:INDEX(D42:H42,0,MATCH('RFPR cover'!$C$9,$D$6:$H$6,0)))</f>
        <v>0</v>
      </c>
      <c r="J42" s="500">
        <f t="shared" ref="J42:J45" si="4">SUM(D42:H42)</f>
        <v>0</v>
      </c>
    </row>
    <row r="43" spans="1:11" s="339" customFormat="1">
      <c r="B43" s="389" t="s">
        <v>682</v>
      </c>
      <c r="C43" s="468" t="str">
        <f>Data!$C$9</f>
        <v>£m 18/19</v>
      </c>
      <c r="D43" s="401">
        <v>0.1</v>
      </c>
      <c r="E43" s="401">
        <v>0.1</v>
      </c>
      <c r="F43" s="401">
        <v>0.1</v>
      </c>
      <c r="G43" s="401">
        <v>0.1</v>
      </c>
      <c r="H43" s="401">
        <v>0.1</v>
      </c>
      <c r="I43" s="499">
        <f>SUM(D43:INDEX(D43:H43,0,MATCH('RFPR cover'!$C$9,$D$6:$H$6,0)))</f>
        <v>0.30000000000000004</v>
      </c>
      <c r="J43" s="500">
        <f t="shared" si="4"/>
        <v>0.5</v>
      </c>
    </row>
    <row r="44" spans="1:11" s="482" customFormat="1">
      <c r="B44" s="339" t="s">
        <v>683</v>
      </c>
      <c r="C44" s="468" t="str">
        <f>Data!$C$9</f>
        <v>£m 18/19</v>
      </c>
      <c r="D44" s="511">
        <f>D41-D42-D43</f>
        <v>0.26606381728193917</v>
      </c>
      <c r="E44" s="553">
        <f t="shared" ref="E44:H44" si="5">E41-E42-E43</f>
        <v>0.50515984167734551</v>
      </c>
      <c r="F44" s="553">
        <f t="shared" si="5"/>
        <v>0.77092408172697446</v>
      </c>
      <c r="G44" s="553">
        <f t="shared" si="5"/>
        <v>2.3761208587235836</v>
      </c>
      <c r="H44" s="553">
        <f t="shared" si="5"/>
        <v>2.3672555928805346</v>
      </c>
      <c r="I44" s="499">
        <f>SUM(D44:INDEX(D44:H44,0,MATCH('RFPR cover'!$C$9,$D$6:$H$6,0)))</f>
        <v>1.5421477406862591</v>
      </c>
      <c r="J44" s="500">
        <f t="shared" si="4"/>
        <v>6.285524192290378</v>
      </c>
      <c r="K44" s="339"/>
    </row>
    <row r="45" spans="1:11" s="339" customFormat="1">
      <c r="A45" s="480"/>
      <c r="B45" s="482" t="s">
        <v>684</v>
      </c>
      <c r="C45" s="468" t="str">
        <f>Data!$C$9</f>
        <v>£m 18/19</v>
      </c>
      <c r="D45" s="554">
        <f>D42+D43</f>
        <v>0.1</v>
      </c>
      <c r="E45" s="554">
        <f t="shared" ref="E45:H45" si="6">E42+E43</f>
        <v>0.1</v>
      </c>
      <c r="F45" s="554">
        <f t="shared" si="6"/>
        <v>0.1</v>
      </c>
      <c r="G45" s="554">
        <f t="shared" si="6"/>
        <v>0.1</v>
      </c>
      <c r="H45" s="554">
        <f t="shared" si="6"/>
        <v>0.1</v>
      </c>
      <c r="I45" s="499">
        <f>SUM(D45:INDEX(D45:H45,0,MATCH('RFPR cover'!$C$9,$D$6:$H$6,0)))</f>
        <v>0.30000000000000004</v>
      </c>
      <c r="J45" s="500">
        <f t="shared" si="4"/>
        <v>0.5</v>
      </c>
    </row>
    <row r="46" spans="1:11" s="339" customFormat="1">
      <c r="A46" s="480"/>
      <c r="B46" s="482"/>
      <c r="C46" s="468"/>
      <c r="D46" s="546"/>
      <c r="E46" s="546"/>
      <c r="F46" s="546"/>
      <c r="G46" s="546"/>
      <c r="H46" s="546"/>
    </row>
    <row r="47" spans="1:11" s="339" customFormat="1">
      <c r="A47" s="467" t="s">
        <v>495</v>
      </c>
      <c r="B47" s="482" t="s">
        <v>685</v>
      </c>
      <c r="C47" s="468" t="s">
        <v>686</v>
      </c>
      <c r="D47" s="546"/>
      <c r="E47" s="546"/>
      <c r="F47" s="546"/>
      <c r="G47" s="546"/>
      <c r="H47" s="546"/>
    </row>
    <row r="48" spans="1:11" s="339" customFormat="1" ht="14">
      <c r="A48" s="480"/>
      <c r="B48" s="389" t="s">
        <v>687</v>
      </c>
      <c r="C48" s="468" t="str">
        <f>Data!$C$9</f>
        <v>£m 18/19</v>
      </c>
      <c r="D48" s="397">
        <v>0.64688400240450905</v>
      </c>
      <c r="E48" s="547"/>
      <c r="F48" s="547"/>
      <c r="G48" s="547"/>
      <c r="H48" s="547"/>
      <c r="K48" s="339" t="s">
        <v>680</v>
      </c>
    </row>
    <row r="49" spans="1:11" s="339" customFormat="1" ht="14">
      <c r="A49" s="480"/>
      <c r="B49" s="389" t="s">
        <v>681</v>
      </c>
      <c r="C49" s="468" t="str">
        <f>Data!$C$9</f>
        <v>£m 18/19</v>
      </c>
      <c r="D49" s="545">
        <v>0</v>
      </c>
      <c r="E49" s="547"/>
      <c r="F49" s="547"/>
      <c r="G49" s="547"/>
      <c r="H49" s="547"/>
    </row>
    <row r="50" spans="1:11" s="339" customFormat="1" ht="14">
      <c r="A50" s="480"/>
      <c r="B50" s="389" t="s">
        <v>682</v>
      </c>
      <c r="C50" s="468" t="str">
        <f>Data!$C$9</f>
        <v>£m 18/19</v>
      </c>
      <c r="D50" s="401">
        <v>6.4652073899151993E-2</v>
      </c>
      <c r="E50" s="547"/>
      <c r="F50" s="547"/>
      <c r="G50" s="547"/>
      <c r="H50" s="547"/>
    </row>
    <row r="51" spans="1:11" s="339" customFormat="1" ht="14">
      <c r="A51" s="480"/>
      <c r="B51" s="339" t="s">
        <v>688</v>
      </c>
      <c r="C51" s="468" t="str">
        <f>Data!$C$9</f>
        <v>£m 18/19</v>
      </c>
      <c r="D51" s="511">
        <f>D48-D49-D50</f>
        <v>0.5822319285053571</v>
      </c>
      <c r="E51" s="547"/>
      <c r="F51" s="547"/>
      <c r="G51" s="547"/>
      <c r="H51" s="547"/>
    </row>
    <row r="52" spans="1:11" ht="14">
      <c r="A52" s="548"/>
      <c r="B52" s="482" t="s">
        <v>689</v>
      </c>
      <c r="C52" s="468" t="str">
        <f>Data!$C$9</f>
        <v>£m 18/19</v>
      </c>
      <c r="D52" s="553">
        <f>D49+D50</f>
        <v>6.4652073899151993E-2</v>
      </c>
      <c r="E52" s="547"/>
      <c r="F52" s="547"/>
      <c r="G52" s="547"/>
      <c r="H52" s="547"/>
      <c r="K52" s="339"/>
    </row>
    <row r="53" spans="1:11">
      <c r="B53" s="482"/>
      <c r="C53" s="468"/>
      <c r="D53" s="468"/>
      <c r="E53" s="468"/>
      <c r="F53" s="468"/>
      <c r="G53" s="468"/>
      <c r="H53" s="468"/>
      <c r="K53" s="468"/>
    </row>
    <row r="54" spans="1:11">
      <c r="A54" s="467" t="s">
        <v>496</v>
      </c>
      <c r="B54" s="482" t="s">
        <v>690</v>
      </c>
      <c r="C54" s="468" t="s">
        <v>691</v>
      </c>
      <c r="D54" s="546"/>
      <c r="E54" s="546"/>
      <c r="F54" s="546"/>
      <c r="G54" s="546"/>
      <c r="H54" s="546"/>
      <c r="K54" s="339"/>
    </row>
    <row r="55" spans="1:11">
      <c r="A55" s="480"/>
      <c r="B55" s="389" t="s">
        <v>692</v>
      </c>
      <c r="C55" s="468" t="str">
        <f>Data!$C$9</f>
        <v>£m 18/19</v>
      </c>
      <c r="D55" s="397">
        <v>0</v>
      </c>
      <c r="E55" s="397">
        <v>9.7743496856603551E-2</v>
      </c>
      <c r="F55" s="397">
        <v>0.32920746848039378</v>
      </c>
      <c r="G55" s="397">
        <v>0.96353405408895743</v>
      </c>
      <c r="H55" s="397">
        <v>0.93944570273673333</v>
      </c>
      <c r="I55" s="499">
        <f>SUM(D55:INDEX(D55:H55,0,MATCH('RFPR cover'!$C$9,$D$6:$H$6,0)))</f>
        <v>0.42695096533699733</v>
      </c>
      <c r="J55" s="500">
        <f t="shared" ref="J55" si="7">SUM(D55:H55)</f>
        <v>2.3299307221626879</v>
      </c>
      <c r="K55" s="339" t="s">
        <v>680</v>
      </c>
    </row>
    <row r="56" spans="1:11">
      <c r="A56" s="480"/>
      <c r="B56" s="389" t="s">
        <v>693</v>
      </c>
      <c r="C56" s="468" t="str">
        <f>Data!$C$9</f>
        <v>£m 18/19</v>
      </c>
      <c r="D56" s="537">
        <v>0</v>
      </c>
      <c r="E56" s="537">
        <v>0</v>
      </c>
      <c r="F56" s="537">
        <v>0</v>
      </c>
      <c r="G56" s="537">
        <v>0</v>
      </c>
      <c r="H56" s="537">
        <v>0</v>
      </c>
      <c r="I56" s="499">
        <f>SUM(D56:INDEX(D56:H56,0,MATCH('RFPR cover'!$C$9,$D$6:$H$6,0)))</f>
        <v>0</v>
      </c>
      <c r="J56" s="500">
        <f t="shared" ref="J56:J59" si="8">SUM(D56:H56)</f>
        <v>0</v>
      </c>
    </row>
    <row r="57" spans="1:11">
      <c r="A57" s="480"/>
      <c r="B57" s="389" t="s">
        <v>682</v>
      </c>
      <c r="C57" s="468" t="str">
        <f>Data!$C$9</f>
        <v>£m 18/19</v>
      </c>
      <c r="D57" s="401">
        <v>0</v>
      </c>
      <c r="E57" s="401">
        <v>0</v>
      </c>
      <c r="F57" s="401">
        <v>0</v>
      </c>
      <c r="G57" s="401">
        <v>0</v>
      </c>
      <c r="H57" s="401">
        <v>0</v>
      </c>
      <c r="I57" s="499">
        <f>SUM(D57:INDEX(D57:H57,0,MATCH('RFPR cover'!$C$9,$D$6:$H$6,0)))</f>
        <v>0</v>
      </c>
      <c r="J57" s="500">
        <f t="shared" si="8"/>
        <v>0</v>
      </c>
    </row>
    <row r="58" spans="1:11">
      <c r="A58" s="480"/>
      <c r="B58" s="339" t="s">
        <v>694</v>
      </c>
      <c r="C58" s="468" t="str">
        <f>Data!$C$9</f>
        <v>£m 18/19</v>
      </c>
      <c r="D58" s="511">
        <f>D55-D56-D57</f>
        <v>0</v>
      </c>
      <c r="E58" s="553">
        <f>E55-E56-E57</f>
        <v>9.7743496856603551E-2</v>
      </c>
      <c r="F58" s="553">
        <f>F55-F56-F57</f>
        <v>0.32920746848039378</v>
      </c>
      <c r="G58" s="553">
        <f>G55-G56-G57</f>
        <v>0.96353405408895743</v>
      </c>
      <c r="H58" s="553">
        <f>H55-H56-H57</f>
        <v>0.93944570273673333</v>
      </c>
      <c r="I58" s="499">
        <f>SUM(D58:INDEX(D58:H58,0,MATCH('RFPR cover'!$C$9,$D$6:$H$6,0)))</f>
        <v>0.42695096533699733</v>
      </c>
      <c r="J58" s="500">
        <f t="shared" si="8"/>
        <v>2.3299307221626879</v>
      </c>
    </row>
    <row r="59" spans="1:11">
      <c r="A59" s="548"/>
      <c r="B59" s="482" t="s">
        <v>695</v>
      </c>
      <c r="C59" s="468" t="str">
        <f>Data!$C$9</f>
        <v>£m 18/19</v>
      </c>
      <c r="D59" s="553">
        <f>D56+D57</f>
        <v>0</v>
      </c>
      <c r="E59" s="553">
        <f>E56+E57</f>
        <v>0</v>
      </c>
      <c r="F59" s="553">
        <f>F56+F57</f>
        <v>0</v>
      </c>
      <c r="G59" s="553">
        <f>G56+G57</f>
        <v>0</v>
      </c>
      <c r="H59" s="553">
        <f>H56+H57</f>
        <v>0</v>
      </c>
      <c r="I59" s="499">
        <f>SUM(D59:INDEX(D59:H59,0,MATCH('RFPR cover'!$C$9,$D$6:$H$6,0)))</f>
        <v>0</v>
      </c>
      <c r="J59" s="500">
        <f t="shared" si="8"/>
        <v>0</v>
      </c>
    </row>
    <row r="60" spans="1:11">
      <c r="B60" s="482"/>
      <c r="C60" s="468"/>
      <c r="D60" s="468"/>
      <c r="E60" s="468"/>
      <c r="F60" s="468"/>
      <c r="G60" s="468"/>
      <c r="H60" s="468"/>
      <c r="I60" s="468"/>
    </row>
    <row r="61" spans="1:11">
      <c r="B61" s="482"/>
      <c r="C61" s="468"/>
      <c r="D61" s="468"/>
      <c r="E61" s="468"/>
      <c r="F61" s="468"/>
      <c r="G61" s="468"/>
      <c r="H61" s="468"/>
      <c r="I61" s="468"/>
    </row>
    <row r="62" spans="1:11" s="339" customFormat="1">
      <c r="B62" s="544" t="s">
        <v>696</v>
      </c>
      <c r="C62" s="29"/>
    </row>
    <row r="63" spans="1:11" s="339" customFormat="1" ht="16">
      <c r="B63" s="549" t="s">
        <v>697</v>
      </c>
      <c r="C63" s="550"/>
      <c r="D63" s="549"/>
      <c r="E63" s="549"/>
      <c r="F63" s="549"/>
      <c r="G63" s="549"/>
      <c r="H63" s="549"/>
      <c r="I63" s="549"/>
      <c r="J63" s="549"/>
      <c r="K63" s="549"/>
    </row>
    <row r="64" spans="1:11" s="339" customFormat="1">
      <c r="B64" s="551" t="s">
        <v>698</v>
      </c>
      <c r="C64" s="29"/>
    </row>
    <row r="65" spans="1:13" s="339" customFormat="1" ht="19" customHeight="1">
      <c r="A65" s="345"/>
      <c r="B65" s="535" t="s">
        <v>699</v>
      </c>
    </row>
    <row r="66" spans="1:13" s="339" customFormat="1" ht="14.5" customHeight="1">
      <c r="A66" s="345" t="s">
        <v>497</v>
      </c>
      <c r="B66" s="552" t="str">
        <f>Data!B199</f>
        <v/>
      </c>
      <c r="C66" s="468" t="str">
        <f>Data!$C$9</f>
        <v>£m 18/19</v>
      </c>
      <c r="D66" s="537">
        <v>0</v>
      </c>
      <c r="E66" s="537">
        <v>0</v>
      </c>
      <c r="F66" s="537">
        <v>0</v>
      </c>
      <c r="G66" s="537">
        <v>0</v>
      </c>
      <c r="H66" s="537">
        <v>0</v>
      </c>
      <c r="I66" s="499">
        <f>SUM(D66:INDEX(D66:H66,0,MATCH('RFPR cover'!$C$9,$D$6:$H$6,0)))</f>
        <v>0</v>
      </c>
      <c r="J66" s="500">
        <f t="shared" ref="J66" si="9">SUM(D66:H66)</f>
        <v>0</v>
      </c>
    </row>
    <row r="67" spans="1:13" s="339" customFormat="1" ht="14.5" customHeight="1">
      <c r="A67" s="345" t="s">
        <v>498</v>
      </c>
      <c r="B67" s="552" t="str">
        <f>Data!B200</f>
        <v/>
      </c>
      <c r="C67" s="468" t="str">
        <f>Data!$C$9</f>
        <v>£m 18/19</v>
      </c>
      <c r="D67" s="537">
        <v>0</v>
      </c>
      <c r="E67" s="537">
        <v>0</v>
      </c>
      <c r="F67" s="537">
        <v>0</v>
      </c>
      <c r="G67" s="537">
        <v>0</v>
      </c>
      <c r="H67" s="537">
        <v>0</v>
      </c>
      <c r="I67" s="499">
        <f>SUM(D67:INDEX(D67:H67,0,MATCH('RFPR cover'!$C$9,$D$6:$H$6,0)))</f>
        <v>0</v>
      </c>
      <c r="J67" s="500">
        <f t="shared" ref="J67:J71" si="10">SUM(D67:H67)</f>
        <v>0</v>
      </c>
    </row>
    <row r="68" spans="1:13" s="339" customFormat="1" ht="14.5" customHeight="1">
      <c r="A68" s="345" t="s">
        <v>499</v>
      </c>
      <c r="B68" s="552" t="str">
        <f>Data!B201</f>
        <v/>
      </c>
      <c r="C68" s="468" t="str">
        <f>Data!$C$9</f>
        <v>£m 18/19</v>
      </c>
      <c r="D68" s="537">
        <v>0</v>
      </c>
      <c r="E68" s="537">
        <v>0</v>
      </c>
      <c r="F68" s="537">
        <v>0</v>
      </c>
      <c r="G68" s="537">
        <v>0</v>
      </c>
      <c r="H68" s="537">
        <v>0</v>
      </c>
      <c r="I68" s="499">
        <f>SUM(D68:INDEX(D68:H68,0,MATCH('RFPR cover'!$C$9,$D$6:$H$6,0)))</f>
        <v>0</v>
      </c>
      <c r="J68" s="500">
        <f t="shared" si="10"/>
        <v>0</v>
      </c>
    </row>
    <row r="69" spans="1:13" s="339" customFormat="1" ht="14.5" customHeight="1">
      <c r="A69" s="345" t="s">
        <v>500</v>
      </c>
      <c r="B69" s="552" t="str">
        <f>Data!B202</f>
        <v/>
      </c>
      <c r="C69" s="468" t="str">
        <f>Data!$C$9</f>
        <v>£m 18/19</v>
      </c>
      <c r="D69" s="537">
        <v>0</v>
      </c>
      <c r="E69" s="537">
        <v>0</v>
      </c>
      <c r="F69" s="537">
        <v>0</v>
      </c>
      <c r="G69" s="537">
        <v>0</v>
      </c>
      <c r="H69" s="537">
        <v>0</v>
      </c>
      <c r="I69" s="499">
        <f>SUM(D69:INDEX(D69:H69,0,MATCH('RFPR cover'!$C$9,$D$6:$H$6,0)))</f>
        <v>0</v>
      </c>
      <c r="J69" s="500">
        <f t="shared" si="10"/>
        <v>0</v>
      </c>
    </row>
    <row r="70" spans="1:13" s="339" customFormat="1" ht="14.5" customHeight="1">
      <c r="A70" s="345" t="s">
        <v>501</v>
      </c>
      <c r="B70" s="552" t="str">
        <f>Data!B203</f>
        <v/>
      </c>
      <c r="C70" s="468" t="str">
        <f>Data!$C$9</f>
        <v>£m 18/19</v>
      </c>
      <c r="D70" s="537">
        <v>0</v>
      </c>
      <c r="E70" s="537">
        <v>0</v>
      </c>
      <c r="F70" s="537">
        <v>0</v>
      </c>
      <c r="G70" s="537">
        <v>0</v>
      </c>
      <c r="H70" s="537">
        <v>0</v>
      </c>
      <c r="I70" s="499">
        <f>SUM(D70:INDEX(D70:H70,0,MATCH('RFPR cover'!$C$9,$D$6:$H$6,0)))</f>
        <v>0</v>
      </c>
      <c r="J70" s="500">
        <f t="shared" si="10"/>
        <v>0</v>
      </c>
    </row>
    <row r="71" spans="1:13" s="339" customFormat="1" ht="14.5" customHeight="1">
      <c r="B71" s="482"/>
      <c r="C71" s="476" t="str">
        <f>Data!$C$9</f>
        <v>£m 18/19</v>
      </c>
      <c r="D71" s="511">
        <f>SUM(D66:D70)</f>
        <v>0</v>
      </c>
      <c r="E71" s="511">
        <f>SUM(E66:E70)</f>
        <v>0</v>
      </c>
      <c r="F71" s="511">
        <f>SUM(F66:F70)</f>
        <v>0</v>
      </c>
      <c r="G71" s="511">
        <f>SUM(G66:G70)</f>
        <v>0</v>
      </c>
      <c r="H71" s="511">
        <f>SUM(H66:H70)</f>
        <v>0</v>
      </c>
      <c r="I71" s="499">
        <f>SUM(D71:INDEX(D71:H71,0,MATCH('RFPR cover'!$C$9,$D$6:$H$6,0)))</f>
        <v>0</v>
      </c>
      <c r="J71" s="500">
        <f t="shared" si="10"/>
        <v>0</v>
      </c>
    </row>
    <row r="72" spans="1:13" s="339" customFormat="1" ht="14.5" customHeight="1">
      <c r="B72" s="482"/>
      <c r="C72" s="476"/>
      <c r="D72" s="476"/>
      <c r="E72" s="476"/>
      <c r="F72" s="476"/>
      <c r="G72" s="476"/>
      <c r="H72" s="476"/>
      <c r="I72" s="476"/>
    </row>
    <row r="73" spans="1:13" s="539" customFormat="1" ht="14.25" customHeight="1">
      <c r="A73" s="538"/>
      <c r="M73" s="339"/>
    </row>
    <row r="74" spans="1:13" s="339" customFormat="1">
      <c r="A74" s="540"/>
      <c r="B74" s="541" t="s">
        <v>675</v>
      </c>
      <c r="C74" s="542"/>
      <c r="D74" s="542"/>
      <c r="E74" s="542"/>
      <c r="F74" s="542"/>
      <c r="G74" s="542"/>
      <c r="H74" s="542"/>
      <c r="I74" s="542"/>
      <c r="J74" s="542"/>
    </row>
    <row r="75" spans="1:13" s="339" customFormat="1">
      <c r="A75" s="543" t="s">
        <v>494</v>
      </c>
      <c r="B75" s="541"/>
      <c r="C75" s="542"/>
      <c r="D75" s="542"/>
      <c r="E75" s="542"/>
      <c r="F75" s="542"/>
      <c r="G75" s="542"/>
      <c r="H75" s="542"/>
      <c r="I75" s="542"/>
      <c r="J75" s="542"/>
    </row>
    <row r="76" spans="1:13" s="339" customFormat="1">
      <c r="A76" s="543" t="s">
        <v>495</v>
      </c>
      <c r="B76" s="541"/>
      <c r="C76" s="542"/>
      <c r="D76" s="542"/>
      <c r="E76" s="542"/>
      <c r="F76" s="542"/>
      <c r="G76" s="542"/>
      <c r="H76" s="542"/>
      <c r="I76" s="542"/>
      <c r="J76" s="542"/>
    </row>
    <row r="77" spans="1:13" s="339" customFormat="1">
      <c r="A77" s="543" t="s">
        <v>496</v>
      </c>
      <c r="B77" s="1361"/>
      <c r="C77" s="1361"/>
      <c r="D77" s="1361"/>
      <c r="E77" s="1361"/>
      <c r="F77" s="1361"/>
      <c r="G77" s="1361"/>
      <c r="H77" s="1361"/>
      <c r="I77" s="1361"/>
      <c r="J77" s="1361"/>
    </row>
    <row r="78" spans="1:13" s="339" customFormat="1">
      <c r="A78" s="543" t="s">
        <v>497</v>
      </c>
      <c r="B78" s="1361"/>
      <c r="C78" s="1361"/>
      <c r="D78" s="1361"/>
      <c r="E78" s="1361"/>
      <c r="F78" s="1361"/>
      <c r="G78" s="1361"/>
      <c r="H78" s="1361"/>
      <c r="I78" s="1361"/>
      <c r="J78" s="1361"/>
    </row>
    <row r="79" spans="1:13" s="339" customFormat="1">
      <c r="A79" s="543" t="s">
        <v>498</v>
      </c>
      <c r="B79" s="1361"/>
      <c r="C79" s="1361"/>
      <c r="D79" s="1361"/>
      <c r="E79" s="1361"/>
      <c r="F79" s="1361"/>
      <c r="G79" s="1361"/>
      <c r="H79" s="1361"/>
      <c r="I79" s="1361"/>
      <c r="J79" s="1361"/>
    </row>
    <row r="80" spans="1:13" s="339" customFormat="1">
      <c r="A80" s="543" t="s">
        <v>499</v>
      </c>
      <c r="B80" s="1361"/>
      <c r="C80" s="1361"/>
      <c r="D80" s="1361"/>
      <c r="E80" s="1361"/>
      <c r="F80" s="1361"/>
      <c r="G80" s="1361"/>
      <c r="H80" s="1361"/>
      <c r="I80" s="1361"/>
      <c r="J80" s="1361"/>
    </row>
    <row r="81" spans="1:10" s="339" customFormat="1">
      <c r="A81" s="543" t="s">
        <v>500</v>
      </c>
      <c r="B81" s="402"/>
      <c r="C81" s="402"/>
      <c r="D81" s="402"/>
      <c r="E81" s="402"/>
      <c r="F81" s="402"/>
      <c r="G81" s="402"/>
      <c r="H81" s="402"/>
      <c r="I81" s="402"/>
      <c r="J81" s="402"/>
    </row>
    <row r="82" spans="1:10" s="339" customFormat="1">
      <c r="A82" s="543" t="s">
        <v>501</v>
      </c>
      <c r="B82" s="1361"/>
      <c r="C82" s="1361"/>
      <c r="D82" s="1361"/>
      <c r="E82" s="1361"/>
      <c r="F82" s="1361"/>
      <c r="G82" s="1361"/>
      <c r="H82" s="1361"/>
      <c r="I82" s="1361"/>
      <c r="J82" s="1361"/>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65" priority="1">
      <formula>AND(D$5="Actuals",E$5="Forecast")</formula>
    </cfRule>
  </conditionalFormatting>
  <conditionalFormatting sqref="H5:H6">
    <cfRule type="expression" dxfId="64" priority="237">
      <formula>AND(H$5="Actuals",#REF!="Forecast")</formula>
    </cfRule>
  </conditionalFormatting>
  <conditionalFormatting sqref="I5 D5:G6">
    <cfRule type="expression" dxfId="63"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election activeCell="D20" sqref="D20"/>
    </sheetView>
  </sheetViews>
  <sheetFormatPr defaultColWidth="0" defaultRowHeight="13.5" zeroHeight="1"/>
  <cols>
    <col min="1" max="1" width="8.3828125" style="114" customWidth="1"/>
    <col min="2" max="2" width="74.84375" style="114" customWidth="1"/>
    <col min="3" max="3" width="14.15234375" style="114" customWidth="1"/>
    <col min="4" max="8" width="11.15234375" style="114" customWidth="1"/>
    <col min="9" max="10" width="12.84375" style="114" customWidth="1"/>
    <col min="11" max="11" width="5" style="114" customWidth="1"/>
    <col min="12" max="23" width="9.23046875" style="114" customWidth="1"/>
    <col min="24" max="27" width="9" style="114" hidden="1" customWidth="1"/>
    <col min="28" max="16384" width="9" style="114" hidden="1"/>
  </cols>
  <sheetData>
    <row r="1" spans="1:27" ht="20">
      <c r="A1" s="324" t="s">
        <v>264</v>
      </c>
      <c r="B1" s="326"/>
      <c r="C1" s="327"/>
      <c r="D1" s="327"/>
      <c r="E1" s="327"/>
      <c r="F1" s="327"/>
      <c r="G1" s="327"/>
      <c r="H1" s="327"/>
      <c r="I1" s="328"/>
      <c r="J1" s="328"/>
      <c r="K1" s="456"/>
    </row>
    <row r="2" spans="1:27" ht="20">
      <c r="A2" s="329" t="s">
        <v>4</v>
      </c>
      <c r="B2" s="331"/>
      <c r="C2" s="332"/>
      <c r="D2" s="332"/>
      <c r="E2" s="332"/>
      <c r="F2" s="332"/>
      <c r="G2" s="332"/>
      <c r="H2" s="332"/>
      <c r="I2" s="333"/>
      <c r="J2" s="333"/>
      <c r="K2" s="334"/>
    </row>
    <row r="3" spans="1:27" ht="20">
      <c r="A3" s="555">
        <v>2024</v>
      </c>
      <c r="B3" s="556" t="s">
        <v>1249</v>
      </c>
      <c r="C3" s="555"/>
      <c r="D3" s="335"/>
      <c r="E3" s="335"/>
      <c r="F3" s="335"/>
      <c r="G3" s="335"/>
      <c r="H3" s="335"/>
      <c r="I3" s="336"/>
      <c r="J3" s="336"/>
      <c r="K3" s="337"/>
    </row>
    <row r="4" spans="1:27" ht="12.75" customHeight="1">
      <c r="A4" s="557"/>
      <c r="B4" s="557"/>
      <c r="C4" s="557"/>
      <c r="D4" s="557"/>
      <c r="E4" s="557"/>
      <c r="F4" s="557"/>
      <c r="G4" s="557"/>
      <c r="H4" s="557"/>
      <c r="I4" s="558"/>
    </row>
    <row r="5" spans="1:27">
      <c r="A5" s="339"/>
      <c r="B5" s="480"/>
      <c r="C5" s="480"/>
      <c r="D5" s="338" t="s">
        <v>1250</v>
      </c>
      <c r="E5" s="338" t="s">
        <v>1250</v>
      </c>
      <c r="F5" s="338" t="s">
        <v>1250</v>
      </c>
      <c r="G5" s="338" t="s">
        <v>1251</v>
      </c>
      <c r="H5" s="338" t="s">
        <v>1251</v>
      </c>
      <c r="I5" s="338" t="s">
        <v>1251</v>
      </c>
      <c r="J5" s="339"/>
      <c r="K5" s="339"/>
      <c r="L5" s="339"/>
      <c r="M5" s="339"/>
      <c r="N5" s="339"/>
      <c r="O5" s="339"/>
      <c r="P5" s="339"/>
      <c r="Q5" s="339"/>
      <c r="R5" s="339"/>
      <c r="S5" s="339"/>
      <c r="T5" s="339"/>
      <c r="U5" s="339"/>
      <c r="V5" s="339"/>
      <c r="W5" s="339"/>
      <c r="X5" s="339"/>
      <c r="Y5" s="339"/>
      <c r="Z5" s="339"/>
      <c r="AA5" s="339"/>
    </row>
    <row r="6" spans="1:27" ht="27">
      <c r="A6" s="339"/>
      <c r="B6" s="339"/>
      <c r="C6" s="339"/>
      <c r="D6" s="457">
        <v>2022</v>
      </c>
      <c r="E6" s="458">
        <v>2023</v>
      </c>
      <c r="F6" s="458">
        <v>2024</v>
      </c>
      <c r="G6" s="458">
        <v>2025</v>
      </c>
      <c r="H6" s="559">
        <v>2026</v>
      </c>
      <c r="I6" s="560" t="s">
        <v>1252</v>
      </c>
      <c r="J6" s="561" t="s">
        <v>483</v>
      </c>
      <c r="K6" s="339"/>
      <c r="L6" s="339"/>
      <c r="M6" s="339"/>
      <c r="N6" s="339"/>
      <c r="O6" s="339"/>
      <c r="P6" s="339"/>
      <c r="Q6" s="339"/>
      <c r="R6" s="339"/>
      <c r="S6" s="339"/>
      <c r="T6" s="339"/>
      <c r="U6" s="339"/>
      <c r="V6" s="339"/>
      <c r="W6" s="339"/>
      <c r="X6" s="339"/>
      <c r="Y6" s="339"/>
      <c r="Z6" s="339"/>
      <c r="AA6" s="339"/>
    </row>
    <row r="7" spans="1:27">
      <c r="A7" s="339"/>
      <c r="B7" s="339"/>
      <c r="C7" s="339"/>
      <c r="D7" s="457" t="s">
        <v>1253</v>
      </c>
      <c r="E7" s="457" t="s">
        <v>1254</v>
      </c>
      <c r="F7" s="457" t="s">
        <v>1255</v>
      </c>
      <c r="G7" s="457" t="s">
        <v>1256</v>
      </c>
      <c r="H7" s="562" t="s">
        <v>1257</v>
      </c>
      <c r="I7" s="339"/>
      <c r="J7" s="339"/>
      <c r="K7" s="339"/>
      <c r="L7" s="339"/>
      <c r="M7" s="339"/>
      <c r="N7" s="339"/>
      <c r="O7" s="339"/>
      <c r="P7" s="339"/>
      <c r="Q7" s="339"/>
      <c r="R7" s="339"/>
      <c r="S7" s="339"/>
      <c r="T7" s="339"/>
      <c r="U7" s="339"/>
      <c r="V7" s="339"/>
      <c r="W7" s="339"/>
      <c r="X7" s="339"/>
      <c r="Y7" s="339"/>
      <c r="Z7" s="339"/>
      <c r="AA7" s="339"/>
    </row>
    <row r="8" spans="1:27">
      <c r="A8" s="339"/>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row>
    <row r="9" spans="1:27">
      <c r="B9" s="563" t="s">
        <v>768</v>
      </c>
      <c r="C9" s="29" t="s">
        <v>522</v>
      </c>
      <c r="D9" s="591">
        <v>316.3534681299999</v>
      </c>
      <c r="E9" s="591">
        <v>204.97499434999986</v>
      </c>
      <c r="F9" s="591">
        <v>202.85811992473543</v>
      </c>
      <c r="G9" s="591">
        <v>181.68456240652563</v>
      </c>
      <c r="H9" s="591">
        <v>188.81385155382426</v>
      </c>
      <c r="I9" s="339"/>
      <c r="J9" s="339"/>
    </row>
    <row r="10" spans="1:27">
      <c r="B10" s="429"/>
      <c r="C10" s="29"/>
      <c r="D10" s="39"/>
      <c r="E10" s="39"/>
      <c r="F10" s="39"/>
      <c r="G10" s="39"/>
      <c r="H10" s="39"/>
      <c r="I10" s="339"/>
      <c r="J10" s="339"/>
    </row>
    <row r="11" spans="1:27">
      <c r="B11" s="429" t="s">
        <v>700</v>
      </c>
      <c r="C11" s="564"/>
      <c r="D11" s="565"/>
      <c r="E11" s="565"/>
      <c r="F11" s="565"/>
      <c r="G11" s="565"/>
      <c r="H11" s="565"/>
      <c r="I11" s="339"/>
      <c r="J11" s="339"/>
    </row>
    <row r="12" spans="1:27">
      <c r="B12" s="566" t="s">
        <v>772</v>
      </c>
      <c r="C12" s="29" t="s">
        <v>522</v>
      </c>
      <c r="D12" s="591">
        <v>0</v>
      </c>
      <c r="E12" s="591">
        <v>0</v>
      </c>
      <c r="F12" s="591">
        <v>0</v>
      </c>
      <c r="G12" s="591">
        <v>0</v>
      </c>
      <c r="H12" s="591">
        <v>0</v>
      </c>
      <c r="I12" s="339"/>
      <c r="J12" s="339"/>
    </row>
    <row r="13" spans="1:27">
      <c r="B13" s="566" t="s">
        <v>773</v>
      </c>
      <c r="C13" s="29" t="s">
        <v>522</v>
      </c>
      <c r="D13" s="591">
        <v>13.819698439999998</v>
      </c>
      <c r="E13" s="591">
        <v>14.963229609999999</v>
      </c>
      <c r="F13" s="591">
        <v>15.535199629999999</v>
      </c>
      <c r="G13" s="591">
        <v>3.7789985591600463</v>
      </c>
      <c r="H13" s="591">
        <v>3.2317871291445792</v>
      </c>
      <c r="I13" s="339"/>
      <c r="J13" s="339"/>
    </row>
    <row r="14" spans="1:27">
      <c r="B14" s="566" t="s">
        <v>774</v>
      </c>
      <c r="C14" s="29" t="s">
        <v>522</v>
      </c>
      <c r="D14" s="591">
        <v>0</v>
      </c>
      <c r="E14" s="591">
        <v>0</v>
      </c>
      <c r="F14" s="591">
        <v>0</v>
      </c>
      <c r="G14" s="591">
        <v>0</v>
      </c>
      <c r="H14" s="591">
        <v>0</v>
      </c>
      <c r="I14" s="339"/>
      <c r="J14" s="339"/>
    </row>
    <row r="15" spans="1:27">
      <c r="B15" s="566" t="s">
        <v>775</v>
      </c>
      <c r="C15" s="29" t="s">
        <v>522</v>
      </c>
      <c r="D15" s="591">
        <v>0</v>
      </c>
      <c r="E15" s="591">
        <v>0</v>
      </c>
      <c r="F15" s="591">
        <v>0</v>
      </c>
      <c r="G15" s="591">
        <v>0</v>
      </c>
      <c r="H15" s="591">
        <v>0</v>
      </c>
      <c r="I15" s="339"/>
      <c r="J15" s="339"/>
    </row>
    <row r="16" spans="1:27">
      <c r="B16" s="566" t="s">
        <v>776</v>
      </c>
      <c r="C16" s="29" t="s">
        <v>522</v>
      </c>
      <c r="D16" s="591">
        <v>0</v>
      </c>
      <c r="E16" s="591">
        <v>0</v>
      </c>
      <c r="F16" s="591">
        <v>0</v>
      </c>
      <c r="G16" s="591">
        <v>0</v>
      </c>
      <c r="H16" s="591">
        <v>0</v>
      </c>
      <c r="I16" s="339"/>
      <c r="J16" s="339"/>
    </row>
    <row r="17" spans="2:9">
      <c r="B17" s="566" t="s">
        <v>777</v>
      </c>
      <c r="C17" s="29" t="s">
        <v>522</v>
      </c>
      <c r="D17" s="591">
        <v>9</v>
      </c>
      <c r="E17" s="591">
        <v>29</v>
      </c>
      <c r="F17" s="591">
        <v>33</v>
      </c>
      <c r="G17" s="591">
        <v>35</v>
      </c>
      <c r="H17" s="591">
        <v>35</v>
      </c>
      <c r="I17" s="339"/>
    </row>
    <row r="18" spans="2:9">
      <c r="B18" s="566" t="s">
        <v>778</v>
      </c>
      <c r="C18" s="29" t="s">
        <v>522</v>
      </c>
      <c r="D18" s="591">
        <v>-4.5332836099999936</v>
      </c>
      <c r="E18" s="591">
        <v>-7.2766104899999995</v>
      </c>
      <c r="F18" s="591">
        <v>3.9201389299999989</v>
      </c>
      <c r="G18" s="591">
        <v>-5.5044040992774139</v>
      </c>
      <c r="H18" s="591">
        <v>-5.1790534673784503</v>
      </c>
      <c r="I18" s="339"/>
    </row>
    <row r="19" spans="2:9" ht="12.75" customHeight="1">
      <c r="B19" s="566" t="s">
        <v>779</v>
      </c>
      <c r="C19" s="29" t="s">
        <v>522</v>
      </c>
      <c r="D19" s="591">
        <v>-0.2824158799999999</v>
      </c>
      <c r="E19" s="591">
        <v>-3.0097344699999997</v>
      </c>
      <c r="F19" s="591">
        <v>-1.9666726999999986</v>
      </c>
      <c r="G19" s="591">
        <v>-0.57600000000000007</v>
      </c>
      <c r="H19" s="591">
        <v>-0.57600000000000007</v>
      </c>
      <c r="I19" s="339"/>
    </row>
    <row r="20" spans="2:9">
      <c r="B20" s="566" t="s">
        <v>1240</v>
      </c>
      <c r="C20" s="29" t="s">
        <v>522</v>
      </c>
      <c r="D20" s="591">
        <v>-0.28329284999999998</v>
      </c>
      <c r="E20" s="591">
        <v>-0.30700746999999995</v>
      </c>
      <c r="F20" s="591">
        <v>-0.28404590000000002</v>
      </c>
      <c r="G20" s="591">
        <v>-0.27436445682940558</v>
      </c>
      <c r="H20" s="591">
        <v>0</v>
      </c>
      <c r="I20" s="339"/>
    </row>
    <row r="21" spans="2:9">
      <c r="B21" s="566" t="s">
        <v>1241</v>
      </c>
      <c r="C21" s="29" t="s">
        <v>522</v>
      </c>
      <c r="D21" s="591">
        <v>-2.0715935500000002</v>
      </c>
      <c r="E21" s="591">
        <v>-0.47992902999999987</v>
      </c>
      <c r="F21" s="591">
        <v>0</v>
      </c>
      <c r="G21" s="591">
        <v>-1.3724999999999998</v>
      </c>
      <c r="H21" s="591">
        <v>-1.3724999999999998</v>
      </c>
      <c r="I21" s="339"/>
    </row>
    <row r="22" spans="2:9">
      <c r="B22" s="566" t="s">
        <v>1242</v>
      </c>
      <c r="C22" s="29" t="s">
        <v>522</v>
      </c>
      <c r="D22" s="591">
        <v>-77.819520879999999</v>
      </c>
      <c r="E22" s="591">
        <v>158</v>
      </c>
      <c r="F22" s="591">
        <v>27.193917420000091</v>
      </c>
      <c r="G22" s="591">
        <v>0</v>
      </c>
      <c r="H22" s="591">
        <v>0</v>
      </c>
      <c r="I22" s="339"/>
    </row>
    <row r="23" spans="2:9">
      <c r="B23" s="566" t="s">
        <v>1243</v>
      </c>
      <c r="C23" s="29" t="s">
        <v>522</v>
      </c>
      <c r="D23" s="591">
        <v>0</v>
      </c>
      <c r="E23" s="591">
        <v>0</v>
      </c>
      <c r="F23" s="591">
        <v>0</v>
      </c>
      <c r="G23" s="591">
        <v>0</v>
      </c>
      <c r="H23" s="591">
        <v>0</v>
      </c>
      <c r="I23" s="339"/>
    </row>
    <row r="24" spans="2:9">
      <c r="B24" s="566" t="s">
        <v>794</v>
      </c>
      <c r="C24" s="29" t="s">
        <v>522</v>
      </c>
      <c r="D24" s="591">
        <v>-193.10013529229883</v>
      </c>
      <c r="E24" s="591">
        <v>-300.14193062347829</v>
      </c>
      <c r="F24" s="591">
        <v>-211.91143491908556</v>
      </c>
      <c r="G24" s="591">
        <v>-160.58765953048595</v>
      </c>
      <c r="H24" s="591">
        <v>-165.87473490320602</v>
      </c>
      <c r="I24" s="339"/>
    </row>
    <row r="25" spans="2:9">
      <c r="B25" s="566" t="s">
        <v>780</v>
      </c>
      <c r="C25" s="29" t="s">
        <v>522</v>
      </c>
      <c r="D25" s="591">
        <v>0</v>
      </c>
      <c r="E25" s="591">
        <v>0</v>
      </c>
      <c r="F25" s="591">
        <v>0</v>
      </c>
      <c r="G25" s="591">
        <v>0</v>
      </c>
      <c r="H25" s="591">
        <v>0</v>
      </c>
      <c r="I25" s="339"/>
    </row>
    <row r="26" spans="2:9">
      <c r="B26" s="566" t="s">
        <v>780</v>
      </c>
      <c r="C26" s="29" t="s">
        <v>522</v>
      </c>
      <c r="D26" s="591">
        <v>0</v>
      </c>
      <c r="E26" s="591">
        <v>0</v>
      </c>
      <c r="F26" s="591">
        <v>0</v>
      </c>
      <c r="G26" s="591">
        <v>0</v>
      </c>
      <c r="H26" s="591">
        <v>0</v>
      </c>
      <c r="I26" s="339"/>
    </row>
    <row r="27" spans="2:9">
      <c r="B27" s="566" t="s">
        <v>780</v>
      </c>
      <c r="C27" s="29" t="s">
        <v>522</v>
      </c>
      <c r="D27" s="591">
        <v>0</v>
      </c>
      <c r="E27" s="591">
        <v>0</v>
      </c>
      <c r="F27" s="591">
        <v>0</v>
      </c>
      <c r="G27" s="591">
        <v>0</v>
      </c>
      <c r="H27" s="591">
        <v>0</v>
      </c>
      <c r="I27" s="339"/>
    </row>
    <row r="28" spans="2:9">
      <c r="B28" s="566" t="s">
        <v>780</v>
      </c>
      <c r="C28" s="29" t="s">
        <v>522</v>
      </c>
      <c r="D28" s="591">
        <v>0</v>
      </c>
      <c r="E28" s="591">
        <v>0</v>
      </c>
      <c r="F28" s="591">
        <v>0</v>
      </c>
      <c r="G28" s="591">
        <v>0</v>
      </c>
      <c r="H28" s="591">
        <v>0</v>
      </c>
      <c r="I28" s="339"/>
    </row>
    <row r="29" spans="2:9">
      <c r="B29" s="567" t="s">
        <v>579</v>
      </c>
      <c r="C29" s="29" t="s">
        <v>522</v>
      </c>
      <c r="D29" s="26">
        <v>61.082924507701108</v>
      </c>
      <c r="E29" s="27">
        <v>95.723011876521582</v>
      </c>
      <c r="F29" s="27">
        <v>68.345222385649976</v>
      </c>
      <c r="G29" s="27">
        <v>52.148632879092901</v>
      </c>
      <c r="H29" s="27">
        <v>54.043350312384376</v>
      </c>
      <c r="I29" s="339"/>
    </row>
    <row r="30" spans="2:9" ht="14">
      <c r="B30" s="568" t="s">
        <v>701</v>
      </c>
      <c r="C30" s="29" t="s">
        <v>522</v>
      </c>
      <c r="D30" s="547"/>
      <c r="E30" s="569"/>
      <c r="F30" s="569"/>
      <c r="G30" s="569">
        <v>6.7298895591042607</v>
      </c>
      <c r="H30" s="569">
        <v>8.4056832046955883</v>
      </c>
      <c r="I30" s="339"/>
    </row>
    <row r="31" spans="2:9">
      <c r="B31" s="1229" t="s">
        <v>702</v>
      </c>
      <c r="C31" s="29" t="s">
        <v>522</v>
      </c>
      <c r="D31" s="26">
        <v>61.082924507701108</v>
      </c>
      <c r="E31" s="27">
        <v>95.723011876521582</v>
      </c>
      <c r="F31" s="27">
        <v>68.345222385649976</v>
      </c>
      <c r="G31" s="27">
        <v>58.878522438197159</v>
      </c>
      <c r="H31" s="27">
        <v>62.449033517079968</v>
      </c>
      <c r="I31" s="339"/>
    </row>
    <row r="32" spans="2:9">
      <c r="B32" s="88" t="s">
        <v>703</v>
      </c>
      <c r="C32" s="29" t="s">
        <v>522</v>
      </c>
      <c r="D32" s="569">
        <v>61.082924507701108</v>
      </c>
      <c r="E32" s="569">
        <v>95.723011876521582</v>
      </c>
      <c r="F32" s="569">
        <v>68.345222385649976</v>
      </c>
      <c r="G32" s="569">
        <v>58.878522438197159</v>
      </c>
      <c r="H32" s="569">
        <v>62.449033517079968</v>
      </c>
      <c r="I32" s="339"/>
    </row>
    <row r="33" spans="2:11">
      <c r="B33" s="88" t="s">
        <v>704</v>
      </c>
      <c r="C33" s="29" t="s">
        <v>522</v>
      </c>
      <c r="D33" s="569">
        <v>0</v>
      </c>
      <c r="E33" s="569">
        <v>0</v>
      </c>
      <c r="F33" s="569">
        <v>0</v>
      </c>
      <c r="G33" s="569">
        <v>0</v>
      </c>
      <c r="H33" s="569">
        <v>0</v>
      </c>
      <c r="I33" s="339"/>
    </row>
    <row r="34" spans="2:11">
      <c r="B34" s="88"/>
      <c r="D34" s="592" t="s">
        <v>1258</v>
      </c>
      <c r="E34" s="593" t="s">
        <v>1258</v>
      </c>
      <c r="F34" s="593" t="s">
        <v>1258</v>
      </c>
      <c r="G34" s="593" t="s">
        <v>1258</v>
      </c>
      <c r="H34" s="593" t="s">
        <v>1258</v>
      </c>
      <c r="I34" s="339"/>
    </row>
    <row r="35" spans="2:11">
      <c r="D35" s="570"/>
      <c r="E35" s="570"/>
      <c r="F35" s="570"/>
      <c r="G35" s="570"/>
      <c r="H35" s="570"/>
      <c r="I35" s="339"/>
    </row>
    <row r="36" spans="2:11">
      <c r="B36" s="88" t="s">
        <v>705</v>
      </c>
      <c r="C36" s="29" t="s">
        <v>522</v>
      </c>
      <c r="D36" s="569">
        <v>34.20475406434646</v>
      </c>
      <c r="E36" s="569">
        <v>71.000727248065942</v>
      </c>
      <c r="F36" s="569">
        <v>34.571558987316187</v>
      </c>
      <c r="G36" s="569">
        <v>15.574429616138225</v>
      </c>
      <c r="H36" s="569">
        <v>12.008252025234066</v>
      </c>
      <c r="I36" s="339"/>
    </row>
    <row r="37" spans="2:11">
      <c r="D37" s="570"/>
      <c r="E37" s="570"/>
      <c r="F37" s="570"/>
      <c r="G37" s="570"/>
      <c r="H37" s="570"/>
      <c r="I37" s="339"/>
    </row>
    <row r="38" spans="2:11">
      <c r="B38" s="88" t="s">
        <v>706</v>
      </c>
      <c r="C38" s="29" t="s">
        <v>522</v>
      </c>
      <c r="D38" s="591">
        <v>75.530722098126816</v>
      </c>
      <c r="E38" s="591">
        <v>152.08730747374005</v>
      </c>
      <c r="F38" s="591">
        <v>105.22514264712503</v>
      </c>
      <c r="G38" s="591">
        <v>45.498322463222415</v>
      </c>
      <c r="H38" s="591">
        <v>30.870844003404386</v>
      </c>
      <c r="I38" s="339"/>
      <c r="K38" s="346"/>
    </row>
    <row r="39" spans="2:11">
      <c r="B39" s="88"/>
      <c r="C39" s="29"/>
      <c r="D39" s="571"/>
      <c r="E39" s="571"/>
      <c r="F39" s="571"/>
      <c r="G39" s="571"/>
      <c r="H39" s="571"/>
      <c r="I39" s="339"/>
      <c r="K39" s="346"/>
    </row>
    <row r="40" spans="2:11">
      <c r="B40" s="88" t="s">
        <v>707</v>
      </c>
      <c r="C40" s="29" t="s">
        <v>522</v>
      </c>
      <c r="D40" s="21">
        <v>-14.447797590425708</v>
      </c>
      <c r="E40" s="21">
        <v>-56.364295597218472</v>
      </c>
      <c r="F40" s="21">
        <v>-36.87992026147505</v>
      </c>
      <c r="G40" s="21">
        <v>13.380199974974744</v>
      </c>
      <c r="H40" s="21">
        <v>31.578189513675582</v>
      </c>
    </row>
    <row r="41" spans="2:11">
      <c r="B41" s="88"/>
      <c r="C41" s="29"/>
      <c r="D41" s="29"/>
      <c r="E41" s="29"/>
      <c r="F41" s="29"/>
      <c r="G41" s="29"/>
      <c r="H41" s="29"/>
      <c r="I41" s="29"/>
      <c r="K41" s="346"/>
    </row>
    <row r="42" spans="2:11">
      <c r="B42" s="572" t="s">
        <v>708</v>
      </c>
      <c r="C42" s="29" t="s">
        <v>709</v>
      </c>
      <c r="D42" s="594">
        <v>1.0847835302284383</v>
      </c>
      <c r="E42" s="594">
        <v>1.1799638149272795</v>
      </c>
      <c r="F42" s="594">
        <v>1.2454152449594804</v>
      </c>
      <c r="G42" s="594">
        <v>1.2741504065955518</v>
      </c>
      <c r="H42" s="594">
        <v>1.2937411435491952</v>
      </c>
      <c r="I42" s="29"/>
      <c r="K42" s="346"/>
    </row>
    <row r="43" spans="2:11">
      <c r="I43" s="468"/>
      <c r="J43" s="468"/>
      <c r="K43" s="468"/>
    </row>
    <row r="44" spans="2:11">
      <c r="B44" s="86" t="s">
        <v>707</v>
      </c>
      <c r="C44" s="476" t="s">
        <v>23</v>
      </c>
      <c r="D44" s="26">
        <v>-13.318599690929332</v>
      </c>
      <c r="E44" s="27">
        <v>-47.767817016229579</v>
      </c>
      <c r="F44" s="27">
        <v>-29.612549236680444</v>
      </c>
      <c r="G44" s="27">
        <v>10.501271989329565</v>
      </c>
      <c r="H44" s="27">
        <v>24.408429515540721</v>
      </c>
      <c r="I44" s="595">
        <v>-90.698965943839355</v>
      </c>
      <c r="J44" s="596">
        <v>-55.78926443896907</v>
      </c>
    </row>
    <row r="45" spans="2:11">
      <c r="B45" s="88"/>
      <c r="C45" s="468"/>
      <c r="D45" s="573"/>
      <c r="E45" s="573"/>
      <c r="F45" s="573"/>
      <c r="G45" s="573"/>
      <c r="H45" s="573"/>
      <c r="I45" s="574"/>
      <c r="J45" s="574"/>
    </row>
    <row r="46" spans="2:11">
      <c r="B46" s="86" t="s">
        <v>710</v>
      </c>
      <c r="C46" s="29"/>
      <c r="D46" s="573"/>
      <c r="E46" s="573"/>
      <c r="F46" s="573"/>
      <c r="G46" s="573"/>
      <c r="H46" s="573"/>
      <c r="I46" s="574"/>
      <c r="J46" s="574"/>
    </row>
    <row r="47" spans="2:11">
      <c r="B47" s="566" t="s">
        <v>781</v>
      </c>
      <c r="C47" s="29" t="s">
        <v>522</v>
      </c>
      <c r="D47" s="101">
        <v>4.5332836099999936</v>
      </c>
      <c r="E47" s="101">
        <v>7.2766104899999995</v>
      </c>
      <c r="F47" s="101">
        <v>-3.9201389299999989</v>
      </c>
      <c r="G47" s="101">
        <v>5.5044040992774139</v>
      </c>
      <c r="H47" s="101">
        <v>5.1790534673784503</v>
      </c>
      <c r="I47" s="595">
        <v>7.8897551699999955</v>
      </c>
      <c r="J47" s="595">
        <v>18.573212736655861</v>
      </c>
    </row>
    <row r="48" spans="2:11" ht="14">
      <c r="B48" s="566" t="s">
        <v>711</v>
      </c>
      <c r="C48" s="29" t="s">
        <v>522</v>
      </c>
      <c r="D48" s="547"/>
      <c r="E48" s="569">
        <v>0.29709482473594495</v>
      </c>
      <c r="F48" s="569">
        <v>0.18289990782806409</v>
      </c>
      <c r="G48" s="569">
        <v>0.26964602756430894</v>
      </c>
      <c r="H48" s="569">
        <v>0</v>
      </c>
      <c r="I48" s="595">
        <v>0.47999473256400904</v>
      </c>
      <c r="J48" s="595">
        <v>0.74964076012831793</v>
      </c>
    </row>
    <row r="49" spans="1:11">
      <c r="B49" s="566" t="s">
        <v>782</v>
      </c>
      <c r="C49" s="29" t="s">
        <v>522</v>
      </c>
      <c r="D49" s="101">
        <v>0</v>
      </c>
      <c r="E49" s="101">
        <v>0</v>
      </c>
      <c r="F49" s="101">
        <v>0</v>
      </c>
      <c r="G49" s="101">
        <v>0</v>
      </c>
      <c r="H49" s="101">
        <v>0</v>
      </c>
      <c r="I49" s="595">
        <v>0</v>
      </c>
      <c r="J49" s="595">
        <v>0</v>
      </c>
    </row>
    <row r="50" spans="1:11">
      <c r="B50" s="566" t="s">
        <v>783</v>
      </c>
      <c r="C50" s="29" t="s">
        <v>522</v>
      </c>
      <c r="D50" s="101">
        <v>0</v>
      </c>
      <c r="E50" s="101">
        <v>0</v>
      </c>
      <c r="F50" s="101">
        <v>0</v>
      </c>
      <c r="G50" s="101">
        <v>0</v>
      </c>
      <c r="H50" s="101">
        <v>0</v>
      </c>
      <c r="I50" s="595">
        <v>0</v>
      </c>
      <c r="J50" s="595">
        <v>0</v>
      </c>
    </row>
    <row r="51" spans="1:11">
      <c r="B51" s="566" t="s">
        <v>1244</v>
      </c>
      <c r="C51" s="29" t="s">
        <v>522</v>
      </c>
      <c r="D51" s="101">
        <v>-3.4438867763183634</v>
      </c>
      <c r="E51" s="101">
        <v>-5.5170733408999828</v>
      </c>
      <c r="F51" s="101">
        <v>2.9641481980397248</v>
      </c>
      <c r="G51" s="101">
        <v>-4.155094372478457</v>
      </c>
      <c r="H51" s="101">
        <v>-3.9063368531458509</v>
      </c>
      <c r="I51" s="595">
        <v>-5.9968119191786204</v>
      </c>
      <c r="J51" s="595">
        <v>-14.058243144802928</v>
      </c>
    </row>
    <row r="52" spans="1:11">
      <c r="B52" s="566" t="s">
        <v>780</v>
      </c>
      <c r="C52" s="29" t="s">
        <v>522</v>
      </c>
      <c r="D52" s="101">
        <v>0</v>
      </c>
      <c r="E52" s="101">
        <v>0</v>
      </c>
      <c r="F52" s="101">
        <v>0</v>
      </c>
      <c r="G52" s="101">
        <v>0</v>
      </c>
      <c r="H52" s="101">
        <v>0</v>
      </c>
      <c r="I52" s="595">
        <v>0</v>
      </c>
      <c r="J52" s="595">
        <v>0</v>
      </c>
    </row>
    <row r="53" spans="1:11">
      <c r="B53" s="566" t="s">
        <v>780</v>
      </c>
      <c r="C53" s="29" t="s">
        <v>522</v>
      </c>
      <c r="D53" s="101">
        <v>0</v>
      </c>
      <c r="E53" s="101">
        <v>0</v>
      </c>
      <c r="F53" s="101">
        <v>0</v>
      </c>
      <c r="G53" s="101">
        <v>0</v>
      </c>
      <c r="H53" s="101">
        <v>0</v>
      </c>
      <c r="I53" s="595">
        <v>0</v>
      </c>
      <c r="J53" s="595">
        <v>0</v>
      </c>
    </row>
    <row r="54" spans="1:11">
      <c r="B54" s="566" t="s">
        <v>780</v>
      </c>
      <c r="C54" s="29" t="s">
        <v>522</v>
      </c>
      <c r="D54" s="101">
        <v>0</v>
      </c>
      <c r="E54" s="101">
        <v>0</v>
      </c>
      <c r="F54" s="101">
        <v>0</v>
      </c>
      <c r="G54" s="101">
        <v>0</v>
      </c>
      <c r="H54" s="101">
        <v>0</v>
      </c>
      <c r="I54" s="595">
        <v>0</v>
      </c>
      <c r="J54" s="595">
        <v>0</v>
      </c>
    </row>
    <row r="55" spans="1:11">
      <c r="A55" s="575"/>
      <c r="B55" s="576"/>
      <c r="C55" s="100"/>
      <c r="D55" s="577"/>
      <c r="E55" s="577"/>
      <c r="F55" s="577"/>
      <c r="G55" s="577"/>
      <c r="H55" s="577"/>
      <c r="I55" s="578"/>
      <c r="J55" s="578"/>
      <c r="K55" s="575"/>
    </row>
    <row r="56" spans="1:11">
      <c r="B56" s="579" t="s">
        <v>712</v>
      </c>
      <c r="C56" s="40" t="s">
        <v>522</v>
      </c>
      <c r="D56" s="26">
        <v>1.0893968336816302</v>
      </c>
      <c r="E56" s="26">
        <v>2.0566319738359615</v>
      </c>
      <c r="F56" s="26">
        <v>-0.77309082413220986</v>
      </c>
      <c r="G56" s="26">
        <v>1.6189557543632658</v>
      </c>
      <c r="H56" s="26">
        <v>1.2727166142325994</v>
      </c>
      <c r="I56" s="595">
        <v>2.3729379833853819</v>
      </c>
      <c r="J56" s="596">
        <v>5.264610351981247</v>
      </c>
    </row>
    <row r="57" spans="1:11">
      <c r="B57" s="579" t="s">
        <v>712</v>
      </c>
      <c r="C57" s="476" t="s">
        <v>23</v>
      </c>
      <c r="D57" s="26">
        <v>1.0042527410535265</v>
      </c>
      <c r="E57" s="26">
        <v>1.7429619008805881</v>
      </c>
      <c r="F57" s="26">
        <v>-0.62074944662923437</v>
      </c>
      <c r="G57" s="26">
        <v>1.2706158911717587</v>
      </c>
      <c r="H57" s="26">
        <v>0.98374904483680714</v>
      </c>
      <c r="I57" s="595">
        <v>2.1264651953048799</v>
      </c>
      <c r="J57" s="596">
        <v>4.380830131313445</v>
      </c>
    </row>
    <row r="58" spans="1:11">
      <c r="B58" s="88"/>
      <c r="C58" s="468"/>
      <c r="D58" s="573"/>
      <c r="E58" s="573"/>
      <c r="F58" s="573"/>
      <c r="G58" s="573"/>
      <c r="H58" s="573"/>
      <c r="I58" s="574"/>
      <c r="J58" s="574"/>
    </row>
    <row r="59" spans="1:11">
      <c r="A59" s="467"/>
      <c r="B59" s="339"/>
      <c r="C59" s="339"/>
      <c r="D59" s="339"/>
      <c r="E59" s="339"/>
      <c r="F59" s="339"/>
      <c r="G59" s="339"/>
      <c r="H59" s="339"/>
      <c r="I59" s="339"/>
      <c r="J59" s="339"/>
      <c r="K59" s="339"/>
    </row>
    <row r="60" spans="1:11">
      <c r="A60" s="467"/>
      <c r="B60" s="580" t="s">
        <v>713</v>
      </c>
      <c r="C60" s="393"/>
      <c r="D60" s="393"/>
      <c r="E60" s="393"/>
      <c r="F60" s="393"/>
      <c r="G60" s="393"/>
      <c r="H60" s="393"/>
      <c r="I60" s="393"/>
      <c r="J60" s="393"/>
      <c r="K60" s="393"/>
    </row>
    <row r="61" spans="1:11">
      <c r="A61" s="467"/>
      <c r="B61" s="581" t="s">
        <v>714</v>
      </c>
      <c r="C61" s="582"/>
      <c r="D61" s="582"/>
      <c r="E61" s="582"/>
      <c r="F61" s="582"/>
      <c r="G61" s="582"/>
      <c r="H61" s="582"/>
      <c r="I61" s="582"/>
      <c r="J61" s="582"/>
      <c r="K61" s="582"/>
    </row>
    <row r="62" spans="1:11">
      <c r="A62" s="467"/>
      <c r="B62" s="339"/>
      <c r="C62" s="339"/>
      <c r="D62" s="339"/>
      <c r="E62" s="339"/>
      <c r="F62" s="339"/>
      <c r="G62" s="339"/>
      <c r="H62" s="339"/>
      <c r="I62" s="339"/>
      <c r="J62" s="339"/>
      <c r="K62" s="339"/>
    </row>
    <row r="63" spans="1:11">
      <c r="B63" s="88" t="s">
        <v>24</v>
      </c>
      <c r="C63" s="468" t="s">
        <v>486</v>
      </c>
      <c r="D63" s="102">
        <v>0.6</v>
      </c>
      <c r="E63" s="103">
        <v>0.6</v>
      </c>
      <c r="F63" s="103">
        <v>0.6</v>
      </c>
      <c r="G63" s="103">
        <v>0.6</v>
      </c>
      <c r="H63" s="103">
        <v>0.6</v>
      </c>
      <c r="I63" s="339"/>
      <c r="K63" s="346"/>
    </row>
    <row r="64" spans="1:11">
      <c r="B64" s="88" t="s">
        <v>715</v>
      </c>
      <c r="C64" s="468" t="s">
        <v>486</v>
      </c>
      <c r="D64" s="103">
        <v>0.61726616052805849</v>
      </c>
      <c r="E64" s="103">
        <v>0.59579826292463067</v>
      </c>
      <c r="F64" s="103">
        <v>0.58827883880251453</v>
      </c>
      <c r="G64" s="103">
        <v>0.60174474859437577</v>
      </c>
      <c r="H64" s="103">
        <v>0.61600180018362083</v>
      </c>
      <c r="I64" s="339"/>
      <c r="K64" s="346"/>
    </row>
    <row r="65" spans="2:12">
      <c r="B65" s="88"/>
      <c r="C65" s="468"/>
      <c r="D65" s="468"/>
      <c r="E65" s="468"/>
      <c r="F65" s="468"/>
      <c r="G65" s="468"/>
      <c r="H65" s="468"/>
      <c r="I65" s="339"/>
      <c r="K65" s="346"/>
    </row>
    <row r="66" spans="2:12">
      <c r="B66" s="88" t="s">
        <v>716</v>
      </c>
      <c r="C66" s="29" t="s">
        <v>522</v>
      </c>
      <c r="D66" s="18">
        <v>-14.447797590425708</v>
      </c>
      <c r="E66" s="19">
        <v>-56.364295597218472</v>
      </c>
      <c r="F66" s="19">
        <v>-36.87992026147505</v>
      </c>
      <c r="G66" s="19">
        <v>13.380199974974744</v>
      </c>
      <c r="H66" s="19">
        <v>31.578189513675582</v>
      </c>
    </row>
    <row r="67" spans="2:12">
      <c r="B67" s="88" t="s">
        <v>717</v>
      </c>
      <c r="C67" s="29" t="s">
        <v>522</v>
      </c>
      <c r="D67" s="18">
        <v>0.40413359491435774</v>
      </c>
      <c r="E67" s="18">
        <v>-0.39749687985892435</v>
      </c>
      <c r="F67" s="18">
        <v>-0.73481393825942798</v>
      </c>
      <c r="G67" s="18">
        <v>-3.8795660707195652E-2</v>
      </c>
      <c r="H67" s="18">
        <v>-0.82030260075169148</v>
      </c>
      <c r="K67" s="346"/>
    </row>
    <row r="68" spans="2:12">
      <c r="B68" s="88" t="s">
        <v>718</v>
      </c>
      <c r="C68" s="29" t="s">
        <v>522</v>
      </c>
      <c r="D68" s="21">
        <v>-14.04366399551135</v>
      </c>
      <c r="E68" s="22">
        <v>-56.7617924770774</v>
      </c>
      <c r="F68" s="22">
        <v>-37.614734199734478</v>
      </c>
      <c r="G68" s="22">
        <v>13.341404314267548</v>
      </c>
      <c r="H68" s="22">
        <v>30.75788691292389</v>
      </c>
    </row>
    <row r="69" spans="2:12">
      <c r="B69" s="88"/>
      <c r="C69" s="29"/>
      <c r="D69" s="29"/>
      <c r="E69" s="29"/>
      <c r="F69" s="29"/>
      <c r="G69" s="29"/>
      <c r="H69" s="29"/>
      <c r="I69" s="29"/>
      <c r="J69" s="29"/>
      <c r="K69" s="29"/>
      <c r="L69" s="29"/>
    </row>
    <row r="70" spans="2:12">
      <c r="B70" s="86" t="s">
        <v>718</v>
      </c>
      <c r="C70" s="476" t="s">
        <v>23</v>
      </c>
      <c r="D70" s="26">
        <v>-12.946052004084148</v>
      </c>
      <c r="E70" s="27">
        <v>-48.104689109111021</v>
      </c>
      <c r="F70" s="27">
        <v>-30.202564447457259</v>
      </c>
      <c r="G70" s="27">
        <v>10.470823731018479</v>
      </c>
      <c r="H70" s="27">
        <v>23.774374855656205</v>
      </c>
      <c r="I70" s="595">
        <v>-91.253305560652436</v>
      </c>
      <c r="J70" s="596">
        <v>-57.008106973977746</v>
      </c>
    </row>
    <row r="71" spans="2:12">
      <c r="B71" s="88" t="s">
        <v>719</v>
      </c>
      <c r="C71" s="468" t="s">
        <v>23</v>
      </c>
      <c r="D71" s="18">
        <v>0.97616179723289109</v>
      </c>
      <c r="E71" s="18">
        <v>1.7552537588728168</v>
      </c>
      <c r="F71" s="18">
        <v>-0.63311756842331723</v>
      </c>
      <c r="G71" s="18">
        <v>1.2669317621531142</v>
      </c>
      <c r="H71" s="18">
        <v>0.958194321390197</v>
      </c>
      <c r="I71" s="597">
        <v>2.0982979876823906</v>
      </c>
      <c r="J71" s="598">
        <v>4.3234240712257019</v>
      </c>
      <c r="K71" s="468"/>
    </row>
    <row r="72" spans="2:12"/>
    <row r="73" spans="2:12">
      <c r="B73" s="583" t="s">
        <v>720</v>
      </c>
      <c r="C73" s="584"/>
      <c r="D73" s="584"/>
      <c r="E73" s="584"/>
      <c r="F73" s="584"/>
      <c r="G73" s="584"/>
      <c r="H73" s="584"/>
      <c r="I73" s="584"/>
      <c r="J73" s="584"/>
      <c r="K73" s="584"/>
      <c r="L73" s="468"/>
    </row>
    <row r="74" spans="2:12">
      <c r="B74" s="493"/>
      <c r="C74" s="468"/>
      <c r="D74" s="468"/>
      <c r="E74" s="468"/>
      <c r="F74" s="468"/>
      <c r="G74" s="468"/>
      <c r="H74" s="468"/>
      <c r="I74" s="468"/>
      <c r="J74" s="468"/>
      <c r="K74" s="468"/>
      <c r="L74" s="468"/>
    </row>
    <row r="75" spans="2:12">
      <c r="B75" s="581" t="s">
        <v>721</v>
      </c>
      <c r="C75" s="585"/>
      <c r="D75" s="585"/>
      <c r="E75" s="585"/>
      <c r="F75" s="585"/>
      <c r="G75" s="585"/>
      <c r="H75" s="585"/>
      <c r="I75" s="585"/>
      <c r="J75" s="585"/>
      <c r="K75" s="585"/>
      <c r="L75" s="468"/>
    </row>
    <row r="76" spans="2:12">
      <c r="B76" s="586"/>
      <c r="C76" s="586"/>
      <c r="D76" s="586"/>
      <c r="E76" s="586"/>
      <c r="F76" s="586"/>
      <c r="G76" s="586"/>
      <c r="H76" s="586"/>
      <c r="I76" s="586"/>
      <c r="J76" s="586"/>
      <c r="K76" s="586"/>
      <c r="L76" s="468"/>
    </row>
    <row r="77" spans="2:12">
      <c r="B77" s="88" t="s">
        <v>722</v>
      </c>
      <c r="C77" s="468" t="s">
        <v>23</v>
      </c>
      <c r="D77" s="522">
        <v>28.387271784040259</v>
      </c>
      <c r="E77" s="522">
        <v>26.556476419923111</v>
      </c>
      <c r="F77" s="522">
        <v>27.275993945584663</v>
      </c>
      <c r="G77" s="522">
        <v>30.467312248928884</v>
      </c>
      <c r="H77" s="522">
        <v>33.491243526962492</v>
      </c>
      <c r="I77" s="586"/>
      <c r="J77" s="587"/>
      <c r="L77" s="468"/>
    </row>
    <row r="78" spans="2:12">
      <c r="B78" s="88"/>
      <c r="C78" s="468"/>
      <c r="D78" s="588"/>
      <c r="E78" s="588"/>
      <c r="F78" s="588"/>
      <c r="G78" s="588"/>
      <c r="H78" s="588"/>
      <c r="I78" s="586"/>
      <c r="J78" s="574"/>
      <c r="L78" s="468"/>
    </row>
    <row r="79" spans="2:12">
      <c r="B79" s="88"/>
      <c r="C79" s="468"/>
      <c r="D79" s="588"/>
      <c r="E79" s="589"/>
      <c r="F79" s="589"/>
      <c r="G79" s="589"/>
      <c r="H79" s="589"/>
      <c r="I79" s="574"/>
      <c r="J79" s="574"/>
      <c r="L79" s="468"/>
    </row>
    <row r="80" spans="2:12">
      <c r="B80" s="590" t="s">
        <v>723</v>
      </c>
      <c r="C80" s="584"/>
      <c r="D80" s="584"/>
      <c r="E80" s="584"/>
      <c r="F80" s="584"/>
      <c r="G80" s="584"/>
      <c r="H80" s="584"/>
      <c r="I80" s="584"/>
      <c r="J80" s="584"/>
      <c r="K80" s="584"/>
    </row>
    <row r="81" spans="2:11">
      <c r="B81" s="581" t="s">
        <v>724</v>
      </c>
      <c r="C81" s="582"/>
      <c r="D81" s="582"/>
      <c r="E81" s="582"/>
      <c r="F81" s="582"/>
      <c r="G81" s="582"/>
      <c r="H81" s="582"/>
      <c r="I81" s="582"/>
      <c r="J81" s="582"/>
      <c r="K81" s="582"/>
    </row>
    <row r="82" spans="2:11" ht="24.65" customHeight="1">
      <c r="B82" s="564" t="s">
        <v>725</v>
      </c>
      <c r="C82" s="468"/>
      <c r="D82" s="468"/>
      <c r="E82" s="468"/>
      <c r="F82" s="468"/>
      <c r="G82" s="468"/>
      <c r="H82" s="468"/>
      <c r="I82" s="468"/>
      <c r="J82" s="468"/>
      <c r="K82" s="468"/>
    </row>
    <row r="83" spans="2:11">
      <c r="B83" s="88" t="s">
        <v>726</v>
      </c>
      <c r="C83" s="468" t="s">
        <v>23</v>
      </c>
      <c r="D83" s="26">
        <v>40.701618733916064</v>
      </c>
      <c r="E83" s="26">
        <v>72.581331535272099</v>
      </c>
      <c r="F83" s="26">
        <v>57.509292628894343</v>
      </c>
      <c r="G83" s="26">
        <v>18.69542436842756</v>
      </c>
      <c r="H83" s="26">
        <v>8.0990649665849634</v>
      </c>
      <c r="I83" s="595">
        <v>170.79224289808252</v>
      </c>
      <c r="J83" s="596">
        <v>197.58673223309503</v>
      </c>
      <c r="K83" s="468"/>
    </row>
    <row r="84" spans="2:11">
      <c r="B84" s="88"/>
      <c r="K84" s="468"/>
    </row>
    <row r="85" spans="2:11">
      <c r="B85" s="88" t="s">
        <v>727</v>
      </c>
      <c r="C85" s="468" t="s">
        <v>23</v>
      </c>
      <c r="D85" s="26">
        <v>40.357161990891512</v>
      </c>
      <c r="E85" s="26">
        <v>72.905911770161325</v>
      </c>
      <c r="F85" s="26">
        <v>58.111675961465238</v>
      </c>
      <c r="G85" s="26">
        <v>18.729556755757294</v>
      </c>
      <c r="H85" s="26">
        <v>8.75867434991609</v>
      </c>
      <c r="I85" s="595">
        <v>171.37474972251806</v>
      </c>
      <c r="J85" s="596">
        <v>198.86298082819144</v>
      </c>
      <c r="K85" s="468"/>
    </row>
    <row r="86" spans="2:11">
      <c r="B86" s="88"/>
      <c r="K86" s="468"/>
    </row>
    <row r="87" spans="2:11">
      <c r="B87" s="88" t="s">
        <v>728</v>
      </c>
      <c r="C87" s="468" t="s">
        <v>23</v>
      </c>
      <c r="D87" s="26">
        <v>0.34445674302455132</v>
      </c>
      <c r="E87" s="26">
        <v>-0.32458023488922549</v>
      </c>
      <c r="F87" s="26">
        <v>-0.60238333257089494</v>
      </c>
      <c r="G87" s="26">
        <v>-3.4132387329734115E-2</v>
      </c>
      <c r="H87" s="26">
        <v>-0.65960938333112651</v>
      </c>
      <c r="I87" s="595">
        <v>-0.58250682443556911</v>
      </c>
      <c r="J87" s="596">
        <v>-1.2762485950964297</v>
      </c>
      <c r="K87" s="468"/>
    </row>
    <row r="88" spans="2:11">
      <c r="K88" s="468"/>
    </row>
    <row r="89" spans="2:11">
      <c r="K89" s="468"/>
    </row>
    <row r="90" spans="2:11">
      <c r="K90" s="468"/>
    </row>
    <row r="91" spans="2:11">
      <c r="K91" s="468"/>
    </row>
    <row r="92" spans="2:11"/>
    <row r="93" spans="2:11"/>
    <row r="94" spans="2:11"/>
    <row r="95" spans="2:11"/>
    <row r="96" spans="2:11"/>
    <row r="97"/>
    <row r="98"/>
    <row r="99"/>
    <row r="100"/>
  </sheetData>
  <sheetProtection insertRows="0" sort="0" autoFilter="0" pivotTables="0"/>
  <conditionalFormatting sqref="D48">
    <cfRule type="expression" dxfId="62" priority="7">
      <formula>D$5="Forecast"</formula>
    </cfRule>
    <cfRule type="expression" dxfId="61" priority="8">
      <formula>C$12="N/A"</formula>
    </cfRule>
  </conditionalFormatting>
  <conditionalFormatting sqref="D30:H30">
    <cfRule type="expression" dxfId="60" priority="4">
      <formula>D$5="Actuals"</formula>
    </cfRule>
  </conditionalFormatting>
  <conditionalFormatting sqref="D32:H33">
    <cfRule type="expression" dxfId="59" priority="3">
      <formula>D$5="Actuals"</formula>
    </cfRule>
  </conditionalFormatting>
  <conditionalFormatting sqref="D36:H36">
    <cfRule type="expression" dxfId="58" priority="2">
      <formula>D$5="Actuals"</formula>
    </cfRule>
  </conditionalFormatting>
  <conditionalFormatting sqref="E48:H48">
    <cfRule type="expression" dxfId="57" priority="1">
      <formula>E$5="Actuals"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2107892A82294095935E789D345B26" ma:contentTypeVersion="4" ma:contentTypeDescription="Create a new document." ma:contentTypeScope="" ma:versionID="3aab2bbc0587c5da4ae561109ca8a1e1">
  <xsd:schema xmlns:xsd="http://www.w3.org/2001/XMLSchema" xmlns:xs="http://www.w3.org/2001/XMLSchema" xmlns:p="http://schemas.microsoft.com/office/2006/metadata/properties" xmlns:ns2="27c39479-cc18-4e06-8d1d-0435a342121f" targetNamespace="http://schemas.microsoft.com/office/2006/metadata/properties" ma:root="true" ma:fieldsID="e9490f48221179bff8dbe565ae2ac00e" ns2:_="">
    <xsd:import namespace="27c39479-cc18-4e06-8d1d-0435a342121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c39479-cc18-4e06-8d1d-0435a34212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4.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9BE204-43DA-40C4-BC4D-C51A843B3A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c39479-cc18-4e06-8d1d-0435a34212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285FE4-1466-4BF7-8FA9-67F63A3D57B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ED8114B6-BDD8-4CB5-AA20-4A909702B5CF}">
  <ds:schemaRefs>
    <ds:schemaRef ds:uri="http://schemas.microsoft.com/DataMashup"/>
  </ds:schemaRefs>
</ds:datastoreItem>
</file>

<file path=customXml/itemProps5.xml><?xml version="1.0" encoding="utf-8"?>
<ds:datastoreItem xmlns:ds="http://schemas.openxmlformats.org/officeDocument/2006/customXml" ds:itemID="{0F84B15B-8890-4BBF-8F1F-B67789940F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68</vt:i4>
      </vt:variant>
    </vt:vector>
  </HeadingPairs>
  <TitlesOfParts>
    <vt:vector size="88" baseType="lpstr">
      <vt:lpstr>RFPR cover</vt:lpstr>
      <vt:lpstr>Data</vt:lpstr>
      <vt:lpstr>Content &amp; Version Control</vt:lpstr>
      <vt:lpstr>Change log</vt:lpstr>
      <vt:lpstr>R1 - RoRE</vt:lpstr>
      <vt:lpstr>R3 - Totex - Reconciliation</vt:lpstr>
      <vt:lpstr>R2 - Rec to Revenue and Profit</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Kang, Sanjeet</cp:lastModifiedBy>
  <cp:revision/>
  <dcterms:created xsi:type="dcterms:W3CDTF">2018-06-13T08:32:09Z</dcterms:created>
  <dcterms:modified xsi:type="dcterms:W3CDTF">2024-09-30T15:05:14Z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0x010100082107892A82294095935E789D345B26</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MSIP_Label_4b435a31-4a51-492c-a5f9-db703ab5f2e4_Enabled">
    <vt:lpwstr>true</vt:lpwstr>
  </property>
  <property fmtid="{D5CDD505-2E9C-101B-9397-08002B2CF9AE}" pid="86" name="MSIP_Label_4b435a31-4a51-492c-a5f9-db703ab5f2e4_SetDate">
    <vt:lpwstr>2024-09-03T10:21:30Z</vt:lpwstr>
  </property>
  <property fmtid="{D5CDD505-2E9C-101B-9397-08002B2CF9AE}" pid="87" name="MSIP_Label_4b435a31-4a51-492c-a5f9-db703ab5f2e4_Method">
    <vt:lpwstr>Standard</vt:lpwstr>
  </property>
  <property fmtid="{D5CDD505-2E9C-101B-9397-08002B2CF9AE}" pid="88" name="MSIP_Label_4b435a31-4a51-492c-a5f9-db703ab5f2e4_Name">
    <vt:lpwstr>Cadent - Official</vt:lpwstr>
  </property>
  <property fmtid="{D5CDD505-2E9C-101B-9397-08002B2CF9AE}" pid="89" name="MSIP_Label_4b435a31-4a51-492c-a5f9-db703ab5f2e4_SiteId">
    <vt:lpwstr>de0d74aa-9914-4bb9-9235-fbefe83b1769</vt:lpwstr>
  </property>
  <property fmtid="{D5CDD505-2E9C-101B-9397-08002B2CF9AE}" pid="90" name="MSIP_Label_4b435a31-4a51-492c-a5f9-db703ab5f2e4_ActionId">
    <vt:lpwstr>7a83376d-f01f-4603-b4c4-d598cd0c7173</vt:lpwstr>
  </property>
  <property fmtid="{D5CDD505-2E9C-101B-9397-08002B2CF9AE}" pid="91" name="MSIP_Label_4b435a31-4a51-492c-a5f9-db703ab5f2e4_ContentBits">
    <vt:lpwstr>0</vt:lpwstr>
  </property>
</Properties>
</file>