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C:\Users\gurpreet.virk\Downloads\"/>
    </mc:Choice>
  </mc:AlternateContent>
  <xr:revisionPtr revIDLastSave="0" documentId="13_ncr:1_{AF870D50-C87D-4A73-A36F-AC91BC89477E}" xr6:coauthVersionLast="47" xr6:coauthVersionMax="47" xr10:uidLastSave="{00000000-0000-0000-0000-000000000000}"/>
  <bookViews>
    <workbookView xWindow="40920" yWindow="-120" windowWidth="38640" windowHeight="2124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2 - Monthly Inflation" sheetId="44" r:id="rId19"/>
  </sheet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xlnm._FilterDatabase" localSheetId="14" hidden="1">'R8a - Tax Reconciliation'!$A$9:$M$110</definedName>
    <definedName name="_Key1" hidden="1">#REF!</definedName>
    <definedName name="_Key2" hidden="1">#REF!</definedName>
    <definedName name="_Order1" hidden="1">255</definedName>
    <definedName name="_Order2" hidden="1">0</definedName>
    <definedName name="_Sort" hidden="1">#REF!</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hidden="1">#REF!</definedName>
    <definedName name="ACwvu.Japan_Capers_Ed_Pub." hidden="1">#REF!</definedName>
    <definedName name="ACwvu.KJP_CC." hidden="1">#REF!</definedName>
    <definedName name="Adjusted_regulated_tax_liability">'R8 - Tax'!$E$36:$I$36</definedName>
    <definedName name="Adjusted_regulated_tax_liability__Reporting_Year">'R8 - Tax'!$E$36:$I$36</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hidden="1">{"staff",#N/A,FALSE,"Current Month"}</definedName>
    <definedName name="bb" hidden="1">{#N/A,#N/A,FALSE,"PRJCTED MNTHLY QTY's"}</definedName>
    <definedName name="bbbb" hidden="1">{#N/A,#N/A,FALSE,"PRJCTED QTRLY QTY's"}</definedName>
    <definedName name="bbbbbb" hidden="1">{#N/A,#N/A,FALSE,"PRJCTED QTRLY QTY's"}</definedName>
    <definedName name="BExEZ4HBCC06708765M8A06KCR7P" hidden="1">#N/A</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#REF!</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Data!$F$26:$L$26</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Data!$F$29:$L$29</definedName>
    <definedName name="Corporate_Tax" localSheetId="14">#REF!</definedName>
    <definedName name="Corporate_Tax">Data!$C$19:$N$19</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hidden="1">{"'PRODUCTIONCOST SHEET'!$B$3:$G$48"}</definedName>
    <definedName name="ff" hidden="1">{#N/A,#N/A,FALSE,"PRJCTED MNTHLY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hidden="1">{#N/A,#N/A,FALSE,"DI 2 YEAR MASTER SCHEDULE"}</definedName>
    <definedName name="GPIRt">#REF!</definedName>
    <definedName name="GRIRt">#REF!</definedName>
    <definedName name="GTA">#REF!</definedName>
    <definedName name="GTAA">#REF!</definedName>
    <definedName name="gwge" hidden="1">#REF!</definedName>
    <definedName name="HB">#REF!</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hidden="1">{"staff",#N/A,FALSE,"Current Month"}</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5">'R2 - Rec to Revenue and Profit'!$A$1:$J$62</definedName>
    <definedName name="_xlnm.Print_Area" localSheetId="6">'R3 - Totex - Reconciliation'!$A$1:$J$106</definedName>
    <definedName name="_xlnm.Print_Area" localSheetId="7">'R4 - Incentives and Other Rev'!$A$1:$I$32</definedName>
    <definedName name="_xlnm.Print_Area" localSheetId="8">'R5 - Financing'!$A$1:$I$83</definedName>
    <definedName name="_xlnm.Print_Area" localSheetId="9">'R5a - Financing input'!$A$4:$AK$228</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3">'R8 - Tax'!$A$1:$J$44</definedName>
    <definedName name="_xlnm.Print_Area" localSheetId="14">'R8a - Tax Reconciliation'!$A$1:$L$110</definedName>
    <definedName name="_xlnm.Print_Area" localSheetId="15">'R9 -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Data!$F$27:$L$27</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hidden="1">#REF!</definedName>
    <definedName name="Swvu.Japan_Capers_Ed_Pub."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hidden="1">{#VALUE!,#N/A,FALSE,0}</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hidden="1">{"Japan_Capers_Ed_Pub",#N/A,FALSE,"DI 2 YEAR MASTER SCHEDULE"}</definedName>
    <definedName name="Version__Number">'RFPR cover'!$C$10</definedName>
    <definedName name="wrn.CapersPlotter." hidden="1">{#N/A,#N/A,FALSE,"DI 2 YEAR MASTER SCHEDULE"}</definedName>
    <definedName name="wrn.Edutainment._.Priority._.List." hidden="1">{#N/A,#N/A,FALSE,"DI 2 YEAR MASTER SCHEDULE"}</definedName>
    <definedName name="wrn.Japan_Capers_Ed._.Pub." hidden="1">{"Japan_Capers_Ed_Pub",#N/A,FALSE,"DI 2 YEAR MASTER SCHEDULE"}</definedName>
    <definedName name="wrn.Mat." hidden="1">{"staff",#N/A,FALSE,"Current Month"}</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{#N/A,#N/A,FALSE,"DI 2 YEAR MASTER SCHEDULE"}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Data!$F$29:$L$29</definedName>
    <definedName name="YEFactor_change" localSheetId="14">#REF!</definedName>
    <definedName name="YEFactor_change">Data!$F$28:$L$28</definedName>
    <definedName name="z" hidden="1">{#N/A,#N/A,FALSE,"DI 2 YEAR MASTER SCHEDULE"}</definedName>
    <definedName name="Z_9A428CE1_B4D9_11D0_A8AA_0000C071AEE7_.wvu.Cols" hidden="1">#REF!,#REF!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3" i="44" l="1"/>
  <c r="F273" i="44"/>
  <c r="E274" i="44"/>
  <c r="F274" i="44"/>
  <c r="E275" i="44"/>
  <c r="F275" i="44"/>
  <c r="E276" i="44"/>
  <c r="F276" i="44"/>
  <c r="E277" i="44"/>
  <c r="F277" i="44"/>
  <c r="E278" i="44"/>
  <c r="F278" i="44"/>
  <c r="E279" i="44"/>
  <c r="F279" i="44"/>
  <c r="E280" i="44"/>
  <c r="F280" i="44"/>
  <c r="E281" i="44"/>
  <c r="F281" i="44"/>
  <c r="E282" i="44"/>
  <c r="F282" i="44"/>
  <c r="E283" i="44"/>
  <c r="F283" i="44"/>
  <c r="E284" i="44"/>
  <c r="F284" i="44"/>
  <c r="E285" i="44"/>
  <c r="F285" i="44"/>
  <c r="E286" i="44"/>
  <c r="F286" i="44"/>
  <c r="E287" i="44"/>
  <c r="F287" i="44"/>
  <c r="E288" i="44"/>
  <c r="F288" i="44"/>
  <c r="E289" i="44"/>
  <c r="F289" i="44"/>
  <c r="E290" i="44"/>
  <c r="F290" i="44"/>
  <c r="E291" i="44"/>
  <c r="F291" i="44"/>
  <c r="E292" i="44"/>
  <c r="F292" i="44"/>
  <c r="E293" i="44"/>
  <c r="F293" i="44"/>
  <c r="E294" i="44"/>
  <c r="F294" i="44"/>
  <c r="E295" i="44"/>
  <c r="F295" i="44"/>
  <c r="E296" i="44"/>
  <c r="F296" i="44"/>
  <c r="E297" i="44"/>
  <c r="F297" i="44"/>
  <c r="E298" i="44"/>
  <c r="F298" i="44"/>
  <c r="E299" i="44"/>
  <c r="F299" i="44"/>
  <c r="E300" i="44"/>
  <c r="F300" i="44"/>
  <c r="E301" i="44"/>
  <c r="F301" i="44"/>
  <c r="E302" i="44"/>
  <c r="F302" i="44"/>
  <c r="E303" i="44"/>
  <c r="F303" i="44"/>
  <c r="E304" i="44"/>
  <c r="F304" i="44"/>
  <c r="E305" i="44"/>
  <c r="F305" i="44"/>
  <c r="E306" i="44"/>
  <c r="F306" i="44"/>
  <c r="E307" i="44"/>
  <c r="F307" i="44"/>
  <c r="E308" i="44"/>
  <c r="F308" i="44"/>
  <c r="E309" i="44"/>
  <c r="F309" i="44"/>
  <c r="E310" i="44"/>
  <c r="F310" i="44"/>
  <c r="E311" i="44"/>
  <c r="F311" i="44"/>
  <c r="E312" i="44"/>
  <c r="F312" i="44"/>
  <c r="E313" i="44"/>
  <c r="F313" i="44"/>
  <c r="E314" i="44"/>
  <c r="F314" i="44"/>
  <c r="E315" i="44"/>
  <c r="F315" i="44"/>
  <c r="E316" i="44"/>
  <c r="F316" i="44"/>
  <c r="E317" i="44"/>
  <c r="F317" i="44"/>
  <c r="E318" i="44"/>
  <c r="F318" i="44"/>
  <c r="E319" i="44"/>
  <c r="F319" i="44"/>
  <c r="E320" i="44"/>
  <c r="F320" i="44"/>
  <c r="E321" i="44"/>
  <c r="F321" i="44"/>
  <c r="E322" i="44"/>
  <c r="F322" i="44"/>
  <c r="E323" i="44"/>
  <c r="F323" i="44"/>
  <c r="E324" i="44"/>
  <c r="F324" i="44"/>
  <c r="E325" i="44"/>
  <c r="F325" i="44"/>
  <c r="E326" i="44"/>
  <c r="F326" i="44"/>
  <c r="E327" i="44"/>
  <c r="F327" i="44"/>
  <c r="E328" i="44"/>
  <c r="F328" i="44"/>
  <c r="E329" i="44"/>
  <c r="F329" i="44"/>
  <c r="E330" i="44"/>
  <c r="F330" i="44"/>
  <c r="E331" i="44"/>
  <c r="F331" i="44"/>
  <c r="E332" i="44"/>
  <c r="F332" i="44"/>
  <c r="E333" i="44"/>
  <c r="F333" i="44"/>
  <c r="E334" i="44"/>
  <c r="F334" i="44"/>
  <c r="E335" i="44"/>
  <c r="F335" i="44"/>
  <c r="E336" i="44"/>
  <c r="F336" i="44"/>
  <c r="E337" i="44"/>
  <c r="F337" i="44"/>
  <c r="E338" i="44"/>
  <c r="F338" i="44"/>
  <c r="E339" i="44"/>
  <c r="F339" i="44"/>
  <c r="E340" i="44"/>
  <c r="F340" i="44"/>
  <c r="E341" i="44"/>
  <c r="F341" i="44"/>
  <c r="E342" i="44"/>
  <c r="F342" i="44"/>
  <c r="E343" i="44"/>
  <c r="F343" i="44"/>
  <c r="E344" i="44"/>
  <c r="F344" i="44"/>
  <c r="E345" i="44"/>
  <c r="F345" i="44"/>
  <c r="E346" i="44"/>
  <c r="F346" i="44"/>
  <c r="E347" i="44"/>
  <c r="F347" i="44"/>
  <c r="E348" i="44"/>
  <c r="F348" i="44"/>
  <c r="E349" i="44"/>
  <c r="F349" i="44"/>
  <c r="E350" i="44"/>
  <c r="F350" i="44"/>
  <c r="E351" i="44"/>
  <c r="F351" i="44"/>
  <c r="E352" i="44"/>
  <c r="F352" i="44"/>
  <c r="E353" i="44"/>
  <c r="F353" i="44"/>
  <c r="E354" i="44"/>
  <c r="F354" i="44"/>
  <c r="E355" i="44"/>
  <c r="F355" i="44"/>
  <c r="E356" i="44"/>
  <c r="F356" i="44"/>
  <c r="E357" i="44"/>
  <c r="F357" i="44"/>
  <c r="E358" i="44"/>
  <c r="F358" i="44"/>
  <c r="E359" i="44"/>
  <c r="F359" i="44"/>
  <c r="E360" i="44"/>
  <c r="F360" i="44"/>
  <c r="E361" i="44"/>
  <c r="F361" i="44"/>
  <c r="E362" i="44"/>
  <c r="F362" i="44"/>
  <c r="E363" i="44"/>
  <c r="F363" i="44"/>
  <c r="E364" i="44"/>
  <c r="F364" i="44"/>
  <c r="E365" i="44"/>
  <c r="F365" i="44"/>
  <c r="E366" i="44"/>
  <c r="F366" i="44"/>
  <c r="E367" i="44"/>
  <c r="F367" i="44"/>
  <c r="E368" i="44"/>
  <c r="F368" i="44"/>
  <c r="E369" i="44"/>
  <c r="F369" i="44"/>
  <c r="E370" i="44"/>
  <c r="F370" i="44"/>
  <c r="E371" i="44"/>
  <c r="F371" i="44"/>
  <c r="E372" i="44"/>
  <c r="F372" i="44"/>
  <c r="E373" i="44"/>
  <c r="F373" i="44"/>
  <c r="E374" i="44"/>
  <c r="F374" i="44"/>
  <c r="E375" i="44"/>
  <c r="F375" i="44"/>
  <c r="E376" i="44"/>
  <c r="F376" i="44"/>
  <c r="E377" i="44"/>
  <c r="F377" i="44"/>
  <c r="E378" i="44"/>
  <c r="F378" i="44"/>
  <c r="E379" i="44"/>
  <c r="F379" i="44"/>
  <c r="E380" i="44"/>
  <c r="F380" i="44"/>
  <c r="E381" i="44"/>
  <c r="F381" i="44"/>
  <c r="E382" i="44"/>
  <c r="F382" i="44"/>
  <c r="E383" i="44"/>
  <c r="F383" i="44"/>
  <c r="E384" i="44"/>
  <c r="F384" i="44"/>
  <c r="E385" i="44"/>
  <c r="F385" i="44"/>
  <c r="E386" i="44"/>
  <c r="F386" i="44"/>
  <c r="E387" i="44"/>
  <c r="F387" i="44"/>
  <c r="E388" i="44"/>
  <c r="F388" i="44"/>
  <c r="E389" i="44"/>
  <c r="F389" i="44"/>
  <c r="E390" i="44"/>
  <c r="F390" i="44"/>
  <c r="E391" i="44"/>
  <c r="F391" i="44"/>
  <c r="E392" i="44"/>
  <c r="F392" i="44"/>
  <c r="E393" i="44"/>
  <c r="F393" i="44"/>
  <c r="E394" i="44"/>
  <c r="F394" i="44"/>
  <c r="E395" i="44"/>
  <c r="F395" i="44"/>
  <c r="E396" i="44"/>
  <c r="F396" i="44"/>
  <c r="E397" i="44"/>
  <c r="F397" i="44"/>
  <c r="E398" i="44"/>
  <c r="F398" i="44"/>
  <c r="E399" i="44"/>
  <c r="F399" i="44"/>
  <c r="E400" i="44"/>
  <c r="F400" i="44"/>
  <c r="E401" i="44"/>
  <c r="F401" i="44"/>
  <c r="E402" i="44"/>
  <c r="F402" i="44"/>
  <c r="E403" i="44"/>
  <c r="F403" i="44"/>
  <c r="E404" i="44"/>
  <c r="F404" i="44"/>
  <c r="E405" i="44"/>
  <c r="F405" i="44"/>
  <c r="E406" i="44"/>
  <c r="F406" i="44"/>
  <c r="E407" i="44"/>
  <c r="F407" i="44"/>
  <c r="E408" i="44"/>
  <c r="F408" i="44"/>
  <c r="E409" i="44"/>
  <c r="F409" i="44"/>
  <c r="E410" i="44"/>
  <c r="F410" i="44"/>
  <c r="E411" i="44"/>
  <c r="F411" i="44"/>
  <c r="E412" i="44"/>
  <c r="F412" i="44"/>
  <c r="E413" i="44"/>
  <c r="F413" i="44"/>
  <c r="I63" i="5" l="1"/>
  <c r="J63" i="5"/>
  <c r="I64" i="5"/>
  <c r="J64" i="5"/>
  <c r="I65" i="5"/>
  <c r="J65" i="5"/>
  <c r="I66" i="5"/>
  <c r="J66" i="5"/>
  <c r="J62" i="5"/>
  <c r="I62" i="5"/>
  <c r="I52" i="5"/>
  <c r="J52" i="5"/>
  <c r="I53" i="5"/>
  <c r="J53" i="5"/>
  <c r="J51" i="5"/>
  <c r="I51" i="5"/>
  <c r="I38" i="5"/>
  <c r="J38" i="5"/>
  <c r="I39" i="5"/>
  <c r="J39" i="5"/>
  <c r="J37" i="5"/>
  <c r="I37" i="5"/>
  <c r="J19" i="5"/>
  <c r="I19" i="5"/>
  <c r="J18" i="5"/>
  <c r="I18" i="5"/>
  <c r="J17" i="5"/>
  <c r="I17" i="5"/>
  <c r="J16" i="5"/>
  <c r="I16" i="5"/>
  <c r="J15" i="5"/>
  <c r="I15" i="5"/>
  <c r="J14" i="5"/>
  <c r="I14" i="5"/>
  <c r="J12" i="5"/>
  <c r="I12" i="5"/>
  <c r="M338" i="28" l="1"/>
  <c r="N338" i="28" s="1"/>
  <c r="O338" i="28" s="1"/>
  <c r="P338" i="28" s="1"/>
  <c r="Q338" i="28" s="1"/>
  <c r="R338" i="28" s="1"/>
  <c r="S338" i="28" s="1"/>
  <c r="D328" i="28" l="1"/>
  <c r="E328" i="28"/>
  <c r="F328" i="28"/>
  <c r="G328" i="28"/>
  <c r="C328" i="28"/>
  <c r="M303" i="28" l="1"/>
  <c r="N303" i="28" s="1"/>
  <c r="O303" i="28" s="1"/>
  <c r="P303" i="28" s="1"/>
  <c r="Q303" i="28" s="1"/>
  <c r="R303" i="28" s="1"/>
  <c r="S303" i="28" s="1"/>
  <c r="C303" i="28" l="1"/>
  <c r="D303" i="28" l="1"/>
  <c r="E303" i="28" s="1"/>
  <c r="F303" i="28" s="1"/>
  <c r="G303" i="28" s="1"/>
  <c r="H303" i="28" s="1"/>
  <c r="I303" i="28" s="1"/>
  <c r="A3" i="29"/>
  <c r="D23" i="11"/>
  <c r="E80" i="1" l="1"/>
  <c r="F83" i="4"/>
  <c r="G83" i="4"/>
  <c r="H83" i="4"/>
  <c r="I83" i="4"/>
  <c r="E83" i="4"/>
  <c r="E129" i="2" l="1"/>
  <c r="F129" i="2"/>
  <c r="G129" i="2"/>
  <c r="H129" i="2"/>
  <c r="D153" i="2"/>
  <c r="E68" i="4" l="1"/>
  <c r="F68" i="4"/>
  <c r="E67" i="4"/>
  <c r="D129" i="2" l="1"/>
  <c r="E153" i="2"/>
  <c r="F153" i="2"/>
  <c r="G153" i="2"/>
  <c r="H153" i="2"/>
  <c r="T9" i="37" l="1"/>
  <c r="T8" i="37" s="1"/>
  <c r="M9" i="36" l="1"/>
  <c r="M8" i="36" s="1"/>
  <c r="B39" i="27" l="1"/>
  <c r="B38" i="27"/>
  <c r="B37" i="27"/>
  <c r="B36" i="27"/>
  <c r="B35" i="27"/>
  <c r="B34" i="27"/>
  <c r="B33" i="27"/>
  <c r="B32" i="27"/>
  <c r="B31" i="27"/>
  <c r="B30" i="27"/>
  <c r="B29" i="27"/>
  <c r="B28" i="27"/>
  <c r="B27" i="27"/>
  <c r="B26" i="27"/>
  <c r="B25" i="27"/>
  <c r="B24" i="27"/>
  <c r="B20" i="27"/>
  <c r="B19" i="27"/>
  <c r="B18" i="27"/>
  <c r="B17" i="27"/>
  <c r="B16" i="27"/>
  <c r="B15" i="27"/>
  <c r="B14" i="27"/>
  <c r="B13" i="27"/>
  <c r="B12" i="27"/>
  <c r="B54" i="17"/>
  <c r="B53" i="17"/>
  <c r="B52" i="17"/>
  <c r="B51" i="17"/>
  <c r="B50" i="17"/>
  <c r="B49" i="17"/>
  <c r="B47" i="17"/>
  <c r="B28" i="17"/>
  <c r="B27" i="17"/>
  <c r="B26" i="17"/>
  <c r="B25" i="17"/>
  <c r="B24" i="17"/>
  <c r="B23" i="17"/>
  <c r="B22" i="17"/>
  <c r="B21" i="17"/>
  <c r="B20" i="17"/>
  <c r="B19" i="17"/>
  <c r="B18" i="17"/>
  <c r="B17" i="17"/>
  <c r="B16" i="17"/>
  <c r="B15" i="17"/>
  <c r="B14" i="17"/>
  <c r="B13" i="17"/>
  <c r="B12" i="17"/>
  <c r="B9" i="17"/>
  <c r="D62" i="27" l="1"/>
  <c r="E62" i="27"/>
  <c r="F62" i="27"/>
  <c r="G62" i="27"/>
  <c r="H62" i="27"/>
  <c r="D24" i="27"/>
  <c r="E24" i="27"/>
  <c r="F24" i="27"/>
  <c r="G24" i="27"/>
  <c r="H24" i="27"/>
  <c r="D25" i="27"/>
  <c r="E25" i="27"/>
  <c r="F25" i="27"/>
  <c r="G25" i="27"/>
  <c r="H25" i="27"/>
  <c r="D26" i="27"/>
  <c r="E26" i="27"/>
  <c r="F26" i="27"/>
  <c r="G26" i="27"/>
  <c r="H26" i="27"/>
  <c r="D27" i="27"/>
  <c r="E27" i="27"/>
  <c r="F27" i="27"/>
  <c r="G27" i="27"/>
  <c r="H27" i="27"/>
  <c r="D28" i="27"/>
  <c r="E28" i="27"/>
  <c r="F28" i="27"/>
  <c r="G28" i="27"/>
  <c r="H28" i="27"/>
  <c r="D29" i="27"/>
  <c r="E29" i="27"/>
  <c r="F29" i="27"/>
  <c r="G29" i="27"/>
  <c r="H29" i="27"/>
  <c r="D30" i="27"/>
  <c r="E30" i="27"/>
  <c r="F30" i="27"/>
  <c r="G30" i="27"/>
  <c r="H30" i="27"/>
  <c r="D32" i="27"/>
  <c r="E32" i="27"/>
  <c r="F32" i="27"/>
  <c r="G32" i="27"/>
  <c r="H32" i="27"/>
  <c r="D33" i="27"/>
  <c r="E33" i="27"/>
  <c r="F33" i="27"/>
  <c r="G33" i="27"/>
  <c r="H33" i="27"/>
  <c r="D34" i="27"/>
  <c r="E34" i="27"/>
  <c r="F34" i="27"/>
  <c r="G34" i="27"/>
  <c r="H34" i="27"/>
  <c r="D35" i="27"/>
  <c r="E35" i="27"/>
  <c r="F35" i="27"/>
  <c r="G35" i="27"/>
  <c r="H35" i="27"/>
  <c r="D36" i="27"/>
  <c r="E36" i="27"/>
  <c r="F36" i="27"/>
  <c r="G36" i="27"/>
  <c r="H36" i="27"/>
  <c r="D37" i="27"/>
  <c r="E37" i="27"/>
  <c r="F37" i="27"/>
  <c r="G37" i="27"/>
  <c r="H37" i="27"/>
  <c r="D38" i="27"/>
  <c r="E38" i="27"/>
  <c r="F38" i="27"/>
  <c r="G38" i="27"/>
  <c r="H38" i="27"/>
  <c r="D39" i="27"/>
  <c r="E39" i="27"/>
  <c r="F39" i="27"/>
  <c r="G39" i="27"/>
  <c r="H39" i="27"/>
  <c r="D50" i="17"/>
  <c r="E50" i="17"/>
  <c r="F50" i="17"/>
  <c r="G50" i="17"/>
  <c r="H50" i="17"/>
  <c r="D51" i="17"/>
  <c r="E51" i="17"/>
  <c r="F51" i="17"/>
  <c r="G51" i="17"/>
  <c r="H51" i="17"/>
  <c r="D52" i="17"/>
  <c r="E52" i="17"/>
  <c r="F52" i="17"/>
  <c r="G52" i="17"/>
  <c r="H52" i="17"/>
  <c r="D53" i="17"/>
  <c r="E53" i="17"/>
  <c r="F53" i="17"/>
  <c r="G53" i="17"/>
  <c r="H53" i="17"/>
  <c r="D54" i="17"/>
  <c r="E54" i="17"/>
  <c r="F54" i="17"/>
  <c r="G54" i="17"/>
  <c r="H54" i="17"/>
  <c r="D49" i="17"/>
  <c r="E49" i="17"/>
  <c r="F49" i="17"/>
  <c r="G49" i="17"/>
  <c r="H49" i="17"/>
  <c r="E12" i="17"/>
  <c r="F12" i="17"/>
  <c r="G12" i="17"/>
  <c r="H12" i="17"/>
  <c r="E13" i="17"/>
  <c r="F13" i="17"/>
  <c r="G13" i="17"/>
  <c r="H13" i="17"/>
  <c r="E14" i="17"/>
  <c r="F14" i="17"/>
  <c r="G14" i="17"/>
  <c r="H14" i="17"/>
  <c r="E15" i="17"/>
  <c r="F15" i="17"/>
  <c r="G15" i="17"/>
  <c r="H15" i="17"/>
  <c r="E16" i="17"/>
  <c r="F16" i="17"/>
  <c r="G16" i="17"/>
  <c r="H16" i="17"/>
  <c r="E17" i="17"/>
  <c r="F17" i="17"/>
  <c r="G17" i="17"/>
  <c r="H17" i="17"/>
  <c r="E18" i="17"/>
  <c r="F18" i="17"/>
  <c r="G18" i="17"/>
  <c r="H18" i="17"/>
  <c r="E19" i="17"/>
  <c r="F19" i="17"/>
  <c r="G19" i="17"/>
  <c r="H19" i="17"/>
  <c r="E20" i="17"/>
  <c r="F20" i="17"/>
  <c r="G20" i="17"/>
  <c r="H20" i="17"/>
  <c r="E21" i="17"/>
  <c r="F21" i="17"/>
  <c r="G21" i="17"/>
  <c r="H21" i="17"/>
  <c r="E22" i="17"/>
  <c r="F22" i="17"/>
  <c r="G22" i="17"/>
  <c r="H22" i="17"/>
  <c r="E23" i="17"/>
  <c r="F23" i="17"/>
  <c r="G23" i="17"/>
  <c r="H23" i="17"/>
  <c r="E25" i="17"/>
  <c r="F25" i="17"/>
  <c r="G25" i="17"/>
  <c r="H25" i="17"/>
  <c r="E26" i="17"/>
  <c r="F26" i="17"/>
  <c r="G26" i="17"/>
  <c r="H26" i="17"/>
  <c r="E27" i="17"/>
  <c r="F27" i="17"/>
  <c r="G27" i="17"/>
  <c r="H27" i="17"/>
  <c r="E28" i="17"/>
  <c r="F28" i="17"/>
  <c r="G28" i="17"/>
  <c r="H28" i="17"/>
  <c r="D12" i="17"/>
  <c r="D13" i="17"/>
  <c r="D14" i="17"/>
  <c r="D15" i="17"/>
  <c r="D16" i="17"/>
  <c r="D17" i="17"/>
  <c r="D18" i="17"/>
  <c r="D19" i="17"/>
  <c r="D20" i="17"/>
  <c r="D21" i="17"/>
  <c r="D22" i="17"/>
  <c r="D23" i="17"/>
  <c r="D25" i="17"/>
  <c r="D26" i="17"/>
  <c r="D27" i="17"/>
  <c r="D28" i="17"/>
  <c r="H278" i="44"/>
  <c r="G278" i="44"/>
  <c r="H277" i="44"/>
  <c r="G277" i="44"/>
  <c r="H276" i="44"/>
  <c r="G276" i="44"/>
  <c r="H275" i="44"/>
  <c r="G275" i="44"/>
  <c r="H274" i="44"/>
  <c r="G274" i="44"/>
  <c r="H273" i="44"/>
  <c r="G273" i="44"/>
  <c r="H272" i="44"/>
  <c r="G272" i="44"/>
  <c r="H271" i="44"/>
  <c r="G271" i="44"/>
  <c r="H270" i="44"/>
  <c r="G270" i="44"/>
  <c r="H269" i="44"/>
  <c r="I269" i="44" s="1"/>
  <c r="G269" i="44"/>
  <c r="H268" i="44"/>
  <c r="I268" i="44" s="1"/>
  <c r="G268" i="44"/>
  <c r="H267" i="44"/>
  <c r="I267" i="44" s="1"/>
  <c r="G267" i="44"/>
  <c r="H266" i="44"/>
  <c r="I266" i="44" s="1"/>
  <c r="G266" i="44"/>
  <c r="H265" i="44"/>
  <c r="I265" i="44" s="1"/>
  <c r="G265" i="44"/>
  <c r="H264" i="44"/>
  <c r="I264" i="44" s="1"/>
  <c r="G264" i="44"/>
  <c r="H263" i="44"/>
  <c r="I263" i="44" s="1"/>
  <c r="G263" i="44"/>
  <c r="H262" i="44"/>
  <c r="I262" i="44" s="1"/>
  <c r="G262" i="44"/>
  <c r="H261" i="44"/>
  <c r="I261" i="44" s="1"/>
  <c r="G261" i="44"/>
  <c r="H260" i="44"/>
  <c r="I260" i="44" s="1"/>
  <c r="G260" i="44"/>
  <c r="H259" i="44"/>
  <c r="I259" i="44" s="1"/>
  <c r="G259" i="44"/>
  <c r="H258" i="44"/>
  <c r="I258" i="44" s="1"/>
  <c r="G258" i="44"/>
  <c r="H257" i="44"/>
  <c r="I257" i="44" s="1"/>
  <c r="G257" i="44"/>
  <c r="H256" i="44"/>
  <c r="I256" i="44" s="1"/>
  <c r="G256" i="44"/>
  <c r="H255" i="44"/>
  <c r="I255" i="44" s="1"/>
  <c r="G255" i="44"/>
  <c r="H254" i="44"/>
  <c r="I254" i="44" s="1"/>
  <c r="G254" i="44"/>
  <c r="H253" i="44"/>
  <c r="I253" i="44" s="1"/>
  <c r="G253" i="44"/>
  <c r="H252" i="44"/>
  <c r="I252" i="44" s="1"/>
  <c r="G252" i="44"/>
  <c r="H251" i="44"/>
  <c r="I251" i="44" s="1"/>
  <c r="G251" i="44"/>
  <c r="H250" i="44"/>
  <c r="I250" i="44" s="1"/>
  <c r="G250" i="44"/>
  <c r="H249" i="44"/>
  <c r="I249" i="44" s="1"/>
  <c r="G249" i="44"/>
  <c r="H248" i="44"/>
  <c r="I248" i="44" s="1"/>
  <c r="G248" i="44"/>
  <c r="H247" i="44"/>
  <c r="I247" i="44" s="1"/>
  <c r="G247" i="44"/>
  <c r="H246" i="44"/>
  <c r="I246" i="44" s="1"/>
  <c r="G246" i="44"/>
  <c r="H245" i="44"/>
  <c r="I245" i="44" s="1"/>
  <c r="G245" i="44"/>
  <c r="H244" i="44"/>
  <c r="I244" i="44" s="1"/>
  <c r="G244" i="44"/>
  <c r="H243" i="44"/>
  <c r="I243" i="44" s="1"/>
  <c r="G243" i="44"/>
  <c r="H242" i="44"/>
  <c r="I242" i="44" s="1"/>
  <c r="G242" i="44"/>
  <c r="H241" i="44"/>
  <c r="I241" i="44" s="1"/>
  <c r="G241" i="44"/>
  <c r="H240" i="44"/>
  <c r="I240" i="44" s="1"/>
  <c r="G240" i="44"/>
  <c r="H239" i="44"/>
  <c r="I239" i="44" s="1"/>
  <c r="G239" i="44"/>
  <c r="H238" i="44"/>
  <c r="I238" i="44" s="1"/>
  <c r="G238" i="44"/>
  <c r="H237" i="44"/>
  <c r="I237" i="44" s="1"/>
  <c r="G237" i="44"/>
  <c r="H236" i="44"/>
  <c r="I236" i="44" s="1"/>
  <c r="G236" i="44"/>
  <c r="H235" i="44"/>
  <c r="I235" i="44" s="1"/>
  <c r="G235" i="44"/>
  <c r="H234" i="44"/>
  <c r="I234" i="44" s="1"/>
  <c r="G234" i="44"/>
  <c r="H233" i="44"/>
  <c r="I233" i="44" s="1"/>
  <c r="G233" i="44"/>
  <c r="H232" i="44"/>
  <c r="I232" i="44" s="1"/>
  <c r="G232" i="44"/>
  <c r="H231" i="44"/>
  <c r="I231" i="44" s="1"/>
  <c r="G231" i="44"/>
  <c r="H230" i="44"/>
  <c r="I230" i="44" s="1"/>
  <c r="G230" i="44"/>
  <c r="H229" i="44"/>
  <c r="I229" i="44" s="1"/>
  <c r="G229" i="44"/>
  <c r="H228" i="44"/>
  <c r="I228" i="44" s="1"/>
  <c r="G228" i="44"/>
  <c r="H227" i="44"/>
  <c r="I227" i="44" s="1"/>
  <c r="G227" i="44"/>
  <c r="H226" i="44"/>
  <c r="I226" i="44" s="1"/>
  <c r="G226" i="44"/>
  <c r="H225" i="44"/>
  <c r="I225" i="44" s="1"/>
  <c r="G225" i="44"/>
  <c r="H224" i="44"/>
  <c r="I224" i="44" s="1"/>
  <c r="G224" i="44"/>
  <c r="H223" i="44"/>
  <c r="I223" i="44" s="1"/>
  <c r="G223" i="44"/>
  <c r="H222" i="44"/>
  <c r="I222" i="44" s="1"/>
  <c r="G222" i="44"/>
  <c r="H221" i="44"/>
  <c r="I221" i="44" s="1"/>
  <c r="G221" i="44"/>
  <c r="H220" i="44"/>
  <c r="I220" i="44" s="1"/>
  <c r="G220" i="44"/>
  <c r="H219" i="44"/>
  <c r="I219" i="44" s="1"/>
  <c r="G219" i="44"/>
  <c r="H218" i="44"/>
  <c r="I218" i="44" s="1"/>
  <c r="G218" i="44"/>
  <c r="H217" i="44"/>
  <c r="I217" i="44" s="1"/>
  <c r="G217" i="44"/>
  <c r="H216" i="44"/>
  <c r="I216" i="44" s="1"/>
  <c r="G216" i="44"/>
  <c r="H215" i="44"/>
  <c r="I215" i="44" s="1"/>
  <c r="G215" i="44"/>
  <c r="H214" i="44"/>
  <c r="I214" i="44" s="1"/>
  <c r="G214" i="44"/>
  <c r="H213" i="44"/>
  <c r="I213" i="44" s="1"/>
  <c r="G213" i="44"/>
  <c r="H212" i="44"/>
  <c r="I212" i="44" s="1"/>
  <c r="G212" i="44"/>
  <c r="H211" i="44"/>
  <c r="I211" i="44" s="1"/>
  <c r="G211" i="44"/>
  <c r="H210" i="44"/>
  <c r="I210" i="44" s="1"/>
  <c r="G210" i="44"/>
  <c r="H209" i="44"/>
  <c r="I209" i="44" s="1"/>
  <c r="G209" i="44"/>
  <c r="H208" i="44"/>
  <c r="I208" i="44" s="1"/>
  <c r="G208" i="44"/>
  <c r="H207" i="44"/>
  <c r="I207" i="44" s="1"/>
  <c r="G207" i="44"/>
  <c r="H206" i="44"/>
  <c r="I206" i="44" s="1"/>
  <c r="G206" i="44"/>
  <c r="H205" i="44"/>
  <c r="I205" i="44" s="1"/>
  <c r="G205" i="44"/>
  <c r="H204" i="44"/>
  <c r="I204" i="44" s="1"/>
  <c r="G204" i="44"/>
  <c r="H203" i="44"/>
  <c r="I203" i="44" s="1"/>
  <c r="G203" i="44"/>
  <c r="H202" i="44"/>
  <c r="I202" i="44" s="1"/>
  <c r="G202" i="44"/>
  <c r="H201" i="44"/>
  <c r="I201" i="44" s="1"/>
  <c r="G201" i="44"/>
  <c r="H200" i="44"/>
  <c r="I200" i="44" s="1"/>
  <c r="G200" i="44"/>
  <c r="H199" i="44"/>
  <c r="I199" i="44" s="1"/>
  <c r="G199" i="44"/>
  <c r="H198" i="44"/>
  <c r="I198" i="44" s="1"/>
  <c r="G198" i="44"/>
  <c r="H197" i="44"/>
  <c r="I197" i="44" s="1"/>
  <c r="G197" i="44"/>
  <c r="H196" i="44"/>
  <c r="I196" i="44" s="1"/>
  <c r="G196" i="44"/>
  <c r="H195" i="44"/>
  <c r="I195" i="44" s="1"/>
  <c r="G195" i="44"/>
  <c r="H194" i="44"/>
  <c r="I194" i="44" s="1"/>
  <c r="G194" i="44"/>
  <c r="H193" i="44"/>
  <c r="I193" i="44" s="1"/>
  <c r="G193" i="44"/>
  <c r="H192" i="44"/>
  <c r="I192" i="44" s="1"/>
  <c r="G192" i="44"/>
  <c r="H191" i="44"/>
  <c r="I191" i="44" s="1"/>
  <c r="G191" i="44"/>
  <c r="H190" i="44"/>
  <c r="I190" i="44" s="1"/>
  <c r="G190" i="44"/>
  <c r="H189" i="44"/>
  <c r="I189" i="44" s="1"/>
  <c r="G189" i="44"/>
  <c r="H188" i="44"/>
  <c r="I188" i="44" s="1"/>
  <c r="G188" i="44"/>
  <c r="H187" i="44"/>
  <c r="I187" i="44" s="1"/>
  <c r="G187" i="44"/>
  <c r="H186" i="44"/>
  <c r="I186" i="44" s="1"/>
  <c r="G186" i="44"/>
  <c r="H185" i="44"/>
  <c r="I185" i="44" s="1"/>
  <c r="G185" i="44"/>
  <c r="H184" i="44"/>
  <c r="I184" i="44" s="1"/>
  <c r="G184" i="44"/>
  <c r="H183" i="44"/>
  <c r="I183" i="44" s="1"/>
  <c r="G183" i="44"/>
  <c r="H182" i="44"/>
  <c r="I182" i="44" s="1"/>
  <c r="G182" i="44"/>
  <c r="H181" i="44"/>
  <c r="I181" i="44" s="1"/>
  <c r="G181" i="44"/>
  <c r="H180" i="44"/>
  <c r="I180" i="44" s="1"/>
  <c r="G180" i="44"/>
  <c r="H179" i="44"/>
  <c r="I179" i="44" s="1"/>
  <c r="G179" i="44"/>
  <c r="H178" i="44"/>
  <c r="I178" i="44" s="1"/>
  <c r="G178" i="44"/>
  <c r="H177" i="44"/>
  <c r="I177" i="44" s="1"/>
  <c r="G177" i="44"/>
  <c r="H176" i="44"/>
  <c r="I176" i="44" s="1"/>
  <c r="G176" i="44"/>
  <c r="H175" i="44"/>
  <c r="I175" i="44" s="1"/>
  <c r="G175" i="44"/>
  <c r="H174" i="44"/>
  <c r="I174" i="44" s="1"/>
  <c r="G174" i="44"/>
  <c r="H173" i="44"/>
  <c r="I173" i="44" s="1"/>
  <c r="G173" i="44"/>
  <c r="H172" i="44"/>
  <c r="I172" i="44" s="1"/>
  <c r="G172" i="44"/>
  <c r="H171" i="44"/>
  <c r="I171" i="44" s="1"/>
  <c r="G171" i="44"/>
  <c r="H170" i="44"/>
  <c r="I170" i="44" s="1"/>
  <c r="G170" i="44"/>
  <c r="H169" i="44"/>
  <c r="I169" i="44" s="1"/>
  <c r="G169" i="44"/>
  <c r="H168" i="44"/>
  <c r="I168" i="44" s="1"/>
  <c r="G168" i="44"/>
  <c r="H167" i="44"/>
  <c r="I167" i="44" s="1"/>
  <c r="G167" i="44"/>
  <c r="H166" i="44"/>
  <c r="I166" i="44" s="1"/>
  <c r="G166" i="44"/>
  <c r="H165" i="44"/>
  <c r="I165" i="44" s="1"/>
  <c r="G165" i="44"/>
  <c r="H164" i="44"/>
  <c r="I164" i="44" s="1"/>
  <c r="G164" i="44"/>
  <c r="H163" i="44"/>
  <c r="I163" i="44" s="1"/>
  <c r="G163" i="44"/>
  <c r="H162" i="44"/>
  <c r="I162" i="44" s="1"/>
  <c r="G162" i="44"/>
  <c r="H161" i="44"/>
  <c r="I161" i="44" s="1"/>
  <c r="G161" i="44"/>
  <c r="H160" i="44"/>
  <c r="I160" i="44" s="1"/>
  <c r="G160" i="44"/>
  <c r="H159" i="44"/>
  <c r="I159" i="44" s="1"/>
  <c r="G159" i="44"/>
  <c r="H158" i="44"/>
  <c r="I158" i="44" s="1"/>
  <c r="G158" i="44"/>
  <c r="H157" i="44"/>
  <c r="I157" i="44" s="1"/>
  <c r="G157" i="44"/>
  <c r="H156" i="44"/>
  <c r="I156" i="44" s="1"/>
  <c r="G156" i="44"/>
  <c r="H155" i="44"/>
  <c r="I155" i="44" s="1"/>
  <c r="G155" i="44"/>
  <c r="H154" i="44"/>
  <c r="I154" i="44" s="1"/>
  <c r="G154" i="44"/>
  <c r="H153" i="44"/>
  <c r="I153" i="44" s="1"/>
  <c r="G153" i="44"/>
  <c r="H152" i="44"/>
  <c r="I152" i="44" s="1"/>
  <c r="G152" i="44"/>
  <c r="H151" i="44"/>
  <c r="I151" i="44" s="1"/>
  <c r="G151" i="44"/>
  <c r="H150" i="44"/>
  <c r="I150" i="44" s="1"/>
  <c r="G150" i="44"/>
  <c r="H149" i="44"/>
  <c r="I149" i="44" s="1"/>
  <c r="G149" i="44"/>
  <c r="H148" i="44"/>
  <c r="I148" i="44" s="1"/>
  <c r="G148" i="44"/>
  <c r="H147" i="44"/>
  <c r="I147" i="44" s="1"/>
  <c r="G147" i="44"/>
  <c r="H146" i="44"/>
  <c r="I146" i="44" s="1"/>
  <c r="G146" i="44"/>
  <c r="H145" i="44"/>
  <c r="I145" i="44" s="1"/>
  <c r="G145" i="44"/>
  <c r="H144" i="44"/>
  <c r="I144" i="44" s="1"/>
  <c r="G144" i="44"/>
  <c r="H143" i="44"/>
  <c r="I143" i="44" s="1"/>
  <c r="G143" i="44"/>
  <c r="H142" i="44"/>
  <c r="I142" i="44" s="1"/>
  <c r="G142" i="44"/>
  <c r="H141" i="44"/>
  <c r="I141" i="44" s="1"/>
  <c r="G141" i="44"/>
  <c r="H140" i="44"/>
  <c r="I140" i="44" s="1"/>
  <c r="G140" i="44"/>
  <c r="H139" i="44"/>
  <c r="I139" i="44" s="1"/>
  <c r="G139" i="44"/>
  <c r="H138" i="44"/>
  <c r="I138" i="44" s="1"/>
  <c r="G138" i="44"/>
  <c r="H137" i="44"/>
  <c r="I137" i="44" s="1"/>
  <c r="G137" i="44"/>
  <c r="H136" i="44"/>
  <c r="I136" i="44" s="1"/>
  <c r="G136" i="44"/>
  <c r="H135" i="44"/>
  <c r="I135" i="44" s="1"/>
  <c r="G135" i="44"/>
  <c r="H134" i="44"/>
  <c r="I134" i="44" s="1"/>
  <c r="G134" i="44"/>
  <c r="H133" i="44"/>
  <c r="I133" i="44" s="1"/>
  <c r="G133" i="44"/>
  <c r="H132" i="44"/>
  <c r="I132" i="44" s="1"/>
  <c r="G132" i="44"/>
  <c r="H131" i="44"/>
  <c r="I131" i="44" s="1"/>
  <c r="G131" i="44"/>
  <c r="H130" i="44"/>
  <c r="I130" i="44" s="1"/>
  <c r="G130" i="44"/>
  <c r="H129" i="44"/>
  <c r="I129" i="44" s="1"/>
  <c r="G129" i="44"/>
  <c r="H128" i="44"/>
  <c r="I128" i="44" s="1"/>
  <c r="G128" i="44"/>
  <c r="H127" i="44"/>
  <c r="I127" i="44" s="1"/>
  <c r="G127" i="44"/>
  <c r="H126" i="44"/>
  <c r="I126" i="44" s="1"/>
  <c r="G126" i="44"/>
  <c r="H125" i="44"/>
  <c r="I125" i="44" s="1"/>
  <c r="G125" i="44"/>
  <c r="H124" i="44"/>
  <c r="I124" i="44" s="1"/>
  <c r="G124" i="44"/>
  <c r="H123" i="44"/>
  <c r="I123" i="44" s="1"/>
  <c r="G123" i="44"/>
  <c r="H122" i="44"/>
  <c r="I122" i="44" s="1"/>
  <c r="G122" i="44"/>
  <c r="H121" i="44"/>
  <c r="I121" i="44" s="1"/>
  <c r="G121" i="44"/>
  <c r="H120" i="44"/>
  <c r="I120" i="44" s="1"/>
  <c r="G120" i="44"/>
  <c r="H119" i="44"/>
  <c r="I119" i="44" s="1"/>
  <c r="G119" i="44"/>
  <c r="H118" i="44"/>
  <c r="I118" i="44" s="1"/>
  <c r="G118" i="44"/>
  <c r="H117" i="44"/>
  <c r="I117" i="44" s="1"/>
  <c r="G117" i="44"/>
  <c r="H116" i="44"/>
  <c r="I116" i="44" s="1"/>
  <c r="G116" i="44"/>
  <c r="H115" i="44"/>
  <c r="I115" i="44" s="1"/>
  <c r="G115" i="44"/>
  <c r="H114" i="44"/>
  <c r="I114" i="44" s="1"/>
  <c r="G114" i="44"/>
  <c r="H113" i="44"/>
  <c r="I113" i="44" s="1"/>
  <c r="G113" i="44"/>
  <c r="H112" i="44"/>
  <c r="I112" i="44" s="1"/>
  <c r="G112" i="44"/>
  <c r="H111" i="44"/>
  <c r="I111" i="44" s="1"/>
  <c r="G111" i="44"/>
  <c r="H110" i="44"/>
  <c r="I110" i="44" s="1"/>
  <c r="G110" i="44"/>
  <c r="H109" i="44"/>
  <c r="I109" i="44" s="1"/>
  <c r="G109" i="44"/>
  <c r="H108" i="44"/>
  <c r="I108" i="44" s="1"/>
  <c r="G108" i="44"/>
  <c r="H107" i="44"/>
  <c r="I107" i="44" s="1"/>
  <c r="G107" i="44"/>
  <c r="H106" i="44"/>
  <c r="I106" i="44" s="1"/>
  <c r="G106" i="44"/>
  <c r="H105" i="44"/>
  <c r="I105" i="44" s="1"/>
  <c r="G105" i="44"/>
  <c r="H104" i="44"/>
  <c r="I104" i="44" s="1"/>
  <c r="G104" i="44"/>
  <c r="H103" i="44"/>
  <c r="I103" i="44" s="1"/>
  <c r="G103" i="44"/>
  <c r="H102" i="44"/>
  <c r="I102" i="44" s="1"/>
  <c r="G102" i="44"/>
  <c r="H101" i="44"/>
  <c r="I101" i="44" s="1"/>
  <c r="G101" i="44"/>
  <c r="H100" i="44"/>
  <c r="I100" i="44" s="1"/>
  <c r="G100" i="44"/>
  <c r="H99" i="44"/>
  <c r="I99" i="44" s="1"/>
  <c r="G99" i="44"/>
  <c r="H98" i="44"/>
  <c r="I98" i="44" s="1"/>
  <c r="G98" i="44"/>
  <c r="H97" i="44"/>
  <c r="I97" i="44" s="1"/>
  <c r="G97" i="44"/>
  <c r="H96" i="44"/>
  <c r="I96" i="44" s="1"/>
  <c r="G96" i="44"/>
  <c r="H95" i="44"/>
  <c r="I95" i="44" s="1"/>
  <c r="G95" i="44"/>
  <c r="H94" i="44"/>
  <c r="I94" i="44" s="1"/>
  <c r="G94" i="44"/>
  <c r="H93" i="44"/>
  <c r="I93" i="44" s="1"/>
  <c r="G93" i="44"/>
  <c r="H92" i="44"/>
  <c r="I92" i="44" s="1"/>
  <c r="G92" i="44"/>
  <c r="H91" i="44"/>
  <c r="I91" i="44" s="1"/>
  <c r="G91" i="44"/>
  <c r="H90" i="44"/>
  <c r="I90" i="44" s="1"/>
  <c r="G90" i="44"/>
  <c r="H89" i="44"/>
  <c r="I89" i="44" s="1"/>
  <c r="G89" i="44"/>
  <c r="H88" i="44"/>
  <c r="I88" i="44" s="1"/>
  <c r="G88" i="44"/>
  <c r="H87" i="44"/>
  <c r="I87" i="44" s="1"/>
  <c r="G87" i="44"/>
  <c r="H86" i="44"/>
  <c r="I86" i="44" s="1"/>
  <c r="G86" i="44"/>
  <c r="H85" i="44"/>
  <c r="I85" i="44" s="1"/>
  <c r="G85" i="44"/>
  <c r="H84" i="44"/>
  <c r="I84" i="44" s="1"/>
  <c r="G84" i="44"/>
  <c r="H83" i="44"/>
  <c r="I83" i="44" s="1"/>
  <c r="G83" i="44"/>
  <c r="H82" i="44"/>
  <c r="I82" i="44" s="1"/>
  <c r="G82" i="44"/>
  <c r="H81" i="44"/>
  <c r="I81" i="44" s="1"/>
  <c r="G81" i="44"/>
  <c r="H80" i="44"/>
  <c r="I80" i="44" s="1"/>
  <c r="G80" i="44"/>
  <c r="H79" i="44"/>
  <c r="I79" i="44" s="1"/>
  <c r="G79" i="44"/>
  <c r="H78" i="44"/>
  <c r="I78" i="44" s="1"/>
  <c r="G78" i="44"/>
  <c r="H77" i="44"/>
  <c r="I77" i="44" s="1"/>
  <c r="G77" i="44"/>
  <c r="H76" i="44"/>
  <c r="I76" i="44" s="1"/>
  <c r="G76" i="44"/>
  <c r="H75" i="44"/>
  <c r="I75" i="44" s="1"/>
  <c r="G75" i="44"/>
  <c r="H74" i="44"/>
  <c r="I74" i="44" s="1"/>
  <c r="G74" i="44"/>
  <c r="H73" i="44"/>
  <c r="I73" i="44" s="1"/>
  <c r="G73" i="44"/>
  <c r="H72" i="44"/>
  <c r="I72" i="44" s="1"/>
  <c r="G72" i="44"/>
  <c r="H71" i="44"/>
  <c r="I71" i="44" s="1"/>
  <c r="G71" i="44"/>
  <c r="H70" i="44"/>
  <c r="I70" i="44" s="1"/>
  <c r="G70" i="44"/>
  <c r="H69" i="44"/>
  <c r="I69" i="44" s="1"/>
  <c r="G69" i="44"/>
  <c r="H68" i="44"/>
  <c r="I68" i="44" s="1"/>
  <c r="G68" i="44"/>
  <c r="H67" i="44"/>
  <c r="I67" i="44" s="1"/>
  <c r="G67" i="44"/>
  <c r="H66" i="44"/>
  <c r="I66" i="44" s="1"/>
  <c r="G66" i="44"/>
  <c r="H65" i="44"/>
  <c r="I65" i="44" s="1"/>
  <c r="G65" i="44"/>
  <c r="H64" i="44"/>
  <c r="I64" i="44" s="1"/>
  <c r="G64" i="44"/>
  <c r="H63" i="44"/>
  <c r="I63" i="44" s="1"/>
  <c r="G63" i="44"/>
  <c r="H62" i="44"/>
  <c r="I62" i="44" s="1"/>
  <c r="G62" i="44"/>
  <c r="H61" i="44"/>
  <c r="I61" i="44" s="1"/>
  <c r="G61" i="44"/>
  <c r="H60" i="44"/>
  <c r="I60" i="44" s="1"/>
  <c r="G60" i="44"/>
  <c r="H59" i="44"/>
  <c r="I59" i="44" s="1"/>
  <c r="G59" i="44"/>
  <c r="H58" i="44"/>
  <c r="I58" i="44" s="1"/>
  <c r="G58" i="44"/>
  <c r="H57" i="44"/>
  <c r="I57" i="44" s="1"/>
  <c r="G57" i="44"/>
  <c r="H56" i="44"/>
  <c r="I56" i="44" s="1"/>
  <c r="G56" i="44"/>
  <c r="H55" i="44"/>
  <c r="I55" i="44" s="1"/>
  <c r="G55" i="44"/>
  <c r="H54" i="44"/>
  <c r="I54" i="44" s="1"/>
  <c r="G54" i="44"/>
  <c r="H53" i="44"/>
  <c r="I53" i="44" s="1"/>
  <c r="G53" i="44"/>
  <c r="H52" i="44"/>
  <c r="I52" i="44" s="1"/>
  <c r="G52" i="44"/>
  <c r="H51" i="44"/>
  <c r="I51" i="44" s="1"/>
  <c r="G51" i="44"/>
  <c r="H50" i="44"/>
  <c r="I50" i="44" s="1"/>
  <c r="G50" i="44"/>
  <c r="H49" i="44"/>
  <c r="I49" i="44" s="1"/>
  <c r="G49" i="44"/>
  <c r="H48" i="44"/>
  <c r="I48" i="44" s="1"/>
  <c r="G48" i="44"/>
  <c r="H47" i="44"/>
  <c r="I47" i="44" s="1"/>
  <c r="G47" i="44"/>
  <c r="H46" i="44"/>
  <c r="I46" i="44" s="1"/>
  <c r="G46" i="44"/>
  <c r="H45" i="44"/>
  <c r="I45" i="44" s="1"/>
  <c r="G45" i="44"/>
  <c r="H44" i="44"/>
  <c r="I44" i="44" s="1"/>
  <c r="G44" i="44"/>
  <c r="H43" i="44"/>
  <c r="I43" i="44" s="1"/>
  <c r="G43" i="44"/>
  <c r="H42" i="44"/>
  <c r="I42" i="44" s="1"/>
  <c r="G42" i="44"/>
  <c r="H41" i="44"/>
  <c r="I41" i="44" s="1"/>
  <c r="G41" i="44"/>
  <c r="H40" i="44"/>
  <c r="I40" i="44" s="1"/>
  <c r="G40" i="44"/>
  <c r="H39" i="44"/>
  <c r="I39" i="44" s="1"/>
  <c r="G39" i="44"/>
  <c r="H38" i="44"/>
  <c r="I38" i="44" s="1"/>
  <c r="G38" i="44"/>
  <c r="H37" i="44"/>
  <c r="I37" i="44" s="1"/>
  <c r="G37" i="44"/>
  <c r="H36" i="44"/>
  <c r="I36" i="44" s="1"/>
  <c r="G36" i="44"/>
  <c r="H35" i="44"/>
  <c r="I35" i="44" s="1"/>
  <c r="G35" i="44"/>
  <c r="H34" i="44"/>
  <c r="I34" i="44" s="1"/>
  <c r="G34" i="44"/>
  <c r="H33" i="44"/>
  <c r="I33" i="44" s="1"/>
  <c r="G33" i="44"/>
  <c r="H32" i="44"/>
  <c r="I32" i="44" s="1"/>
  <c r="G32" i="44"/>
  <c r="H31" i="44"/>
  <c r="I31" i="44" s="1"/>
  <c r="G31" i="44"/>
  <c r="H30" i="44"/>
  <c r="I30" i="44" s="1"/>
  <c r="G30" i="44"/>
  <c r="H29" i="44"/>
  <c r="I29" i="44" s="1"/>
  <c r="G29" i="44"/>
  <c r="H28" i="44"/>
  <c r="I28" i="44" s="1"/>
  <c r="G28" i="44"/>
  <c r="H27" i="44"/>
  <c r="I27" i="44" s="1"/>
  <c r="G27" i="44"/>
  <c r="H26" i="44"/>
  <c r="I26" i="44" s="1"/>
  <c r="G26" i="44"/>
  <c r="H25" i="44"/>
  <c r="I25" i="44" s="1"/>
  <c r="G25" i="44"/>
  <c r="H24" i="44"/>
  <c r="I24" i="44" s="1"/>
  <c r="G24" i="44"/>
  <c r="H23" i="44"/>
  <c r="I23" i="44" s="1"/>
  <c r="G23" i="44"/>
  <c r="H22" i="44"/>
  <c r="I22" i="44" s="1"/>
  <c r="G22" i="44"/>
  <c r="H21" i="44"/>
  <c r="I21" i="44" s="1"/>
  <c r="G21" i="44"/>
  <c r="H20" i="44"/>
  <c r="I20" i="44" s="1"/>
  <c r="G20" i="44"/>
  <c r="H19" i="44"/>
  <c r="I19" i="44" s="1"/>
  <c r="G19" i="44"/>
  <c r="H18" i="44"/>
  <c r="I18" i="44" s="1"/>
  <c r="G18" i="44"/>
  <c r="H17" i="44"/>
  <c r="I17" i="44" s="1"/>
  <c r="G17" i="44"/>
  <c r="H16" i="44"/>
  <c r="I16" i="44" s="1"/>
  <c r="G16" i="44"/>
  <c r="H15" i="44"/>
  <c r="I15" i="44" s="1"/>
  <c r="G15" i="44"/>
  <c r="H14" i="44"/>
  <c r="I14" i="44" s="1"/>
  <c r="G14" i="44"/>
  <c r="H13" i="44"/>
  <c r="I13" i="44" s="1"/>
  <c r="G13" i="44"/>
  <c r="H12" i="44"/>
  <c r="I12" i="44" s="1"/>
  <c r="G12" i="44"/>
  <c r="H11" i="44"/>
  <c r="I11" i="44" s="1"/>
  <c r="G11" i="44"/>
  <c r="H10" i="44"/>
  <c r="I10" i="44" s="1"/>
  <c r="G10" i="44"/>
  <c r="H9" i="44"/>
  <c r="I9" i="44" s="1"/>
  <c r="G9" i="44"/>
  <c r="H8" i="44"/>
  <c r="I8" i="44" s="1"/>
  <c r="G8" i="44"/>
  <c r="H7" i="44"/>
  <c r="I7" i="44" s="1"/>
  <c r="G7" i="44"/>
  <c r="H6" i="44"/>
  <c r="I6" i="44" s="1"/>
  <c r="G6" i="44"/>
  <c r="F6" i="44"/>
  <c r="B6" i="44"/>
  <c r="A6" i="44"/>
  <c r="E6" i="44" s="1"/>
  <c r="A2" i="44"/>
  <c r="A1" i="44"/>
  <c r="AC81" i="37"/>
  <c r="AB81" i="37"/>
  <c r="AA81" i="37"/>
  <c r="Z81" i="37"/>
  <c r="Y81" i="37"/>
  <c r="X81" i="37"/>
  <c r="W81" i="37"/>
  <c r="V81" i="37"/>
  <c r="U81" i="37"/>
  <c r="T81" i="37"/>
  <c r="L40" i="37"/>
  <c r="I21" i="36" s="1"/>
  <c r="L39" i="37"/>
  <c r="I20" i="36" s="1"/>
  <c r="L38" i="37"/>
  <c r="I19" i="36" s="1"/>
  <c r="L37" i="37"/>
  <c r="I18" i="36" s="1"/>
  <c r="L36" i="37"/>
  <c r="I17" i="36" s="1"/>
  <c r="L35" i="37"/>
  <c r="I16" i="36" s="1"/>
  <c r="L34" i="37"/>
  <c r="I15" i="36" s="1"/>
  <c r="L33" i="37"/>
  <c r="I14" i="36" s="1"/>
  <c r="L32" i="37"/>
  <c r="I13" i="36" s="1"/>
  <c r="AC30" i="37"/>
  <c r="AB30" i="37"/>
  <c r="AA30" i="37"/>
  <c r="Z30" i="37"/>
  <c r="Y30" i="37"/>
  <c r="X30" i="37"/>
  <c r="H11" i="27" s="1"/>
  <c r="W30" i="37"/>
  <c r="G11" i="27" s="1"/>
  <c r="V30" i="37"/>
  <c r="F11" i="27" s="1"/>
  <c r="U30" i="37"/>
  <c r="E11" i="27" s="1"/>
  <c r="T30" i="37"/>
  <c r="D11" i="27" s="1"/>
  <c r="T11" i="37"/>
  <c r="O9" i="37"/>
  <c r="A3" i="37"/>
  <c r="A2" i="37"/>
  <c r="V177" i="36"/>
  <c r="U177" i="36"/>
  <c r="T177" i="36"/>
  <c r="S177" i="36"/>
  <c r="R177" i="36"/>
  <c r="Q177" i="36"/>
  <c r="P177" i="36"/>
  <c r="O177" i="36"/>
  <c r="N177" i="36"/>
  <c r="M177" i="36"/>
  <c r="V162" i="36"/>
  <c r="V163" i="36" s="1"/>
  <c r="V168" i="36" s="1"/>
  <c r="V172" i="36" s="1"/>
  <c r="U162" i="36"/>
  <c r="U163" i="36" s="1"/>
  <c r="U168" i="36" s="1"/>
  <c r="U172" i="36" s="1"/>
  <c r="T162" i="36"/>
  <c r="T163" i="36" s="1"/>
  <c r="T168" i="36" s="1"/>
  <c r="T172" i="36" s="1"/>
  <c r="S162" i="36"/>
  <c r="S163" i="36" s="1"/>
  <c r="S168" i="36" s="1"/>
  <c r="S172" i="36" s="1"/>
  <c r="R162" i="36"/>
  <c r="R163" i="36" s="1"/>
  <c r="R168" i="36" s="1"/>
  <c r="R172" i="36" s="1"/>
  <c r="Q162" i="36"/>
  <c r="Q163" i="36" s="1"/>
  <c r="Q168" i="36" s="1"/>
  <c r="Q172" i="36" s="1"/>
  <c r="P162" i="36"/>
  <c r="P163" i="36" s="1"/>
  <c r="P168" i="36" s="1"/>
  <c r="P172" i="36" s="1"/>
  <c r="O162" i="36"/>
  <c r="O163" i="36" s="1"/>
  <c r="O168" i="36" s="1"/>
  <c r="O172" i="36" s="1"/>
  <c r="N162" i="36"/>
  <c r="N163" i="36" s="1"/>
  <c r="N168" i="36" s="1"/>
  <c r="N172" i="36" s="1"/>
  <c r="M162" i="36"/>
  <c r="M163" i="36" s="1"/>
  <c r="M168" i="36" s="1"/>
  <c r="M172" i="36" s="1"/>
  <c r="V148" i="36"/>
  <c r="U148" i="36"/>
  <c r="T148" i="36"/>
  <c r="S148" i="36"/>
  <c r="R148" i="36"/>
  <c r="Q148" i="36"/>
  <c r="P148" i="36"/>
  <c r="O148" i="36"/>
  <c r="N148" i="36"/>
  <c r="M148" i="36"/>
  <c r="V147" i="36"/>
  <c r="U147" i="36"/>
  <c r="T147" i="36"/>
  <c r="S147" i="36"/>
  <c r="R147" i="36"/>
  <c r="Q147" i="36"/>
  <c r="P147" i="36"/>
  <c r="O147" i="36"/>
  <c r="N147" i="36"/>
  <c r="M147" i="36"/>
  <c r="V146" i="36"/>
  <c r="U146" i="36"/>
  <c r="T146" i="36"/>
  <c r="S146" i="36"/>
  <c r="R146" i="36"/>
  <c r="Q146" i="36"/>
  <c r="P146" i="36"/>
  <c r="O146" i="36"/>
  <c r="N146" i="36"/>
  <c r="M146" i="36"/>
  <c r="V145" i="36"/>
  <c r="U145" i="36"/>
  <c r="T145" i="36"/>
  <c r="S145" i="36"/>
  <c r="R145" i="36"/>
  <c r="Q145" i="36"/>
  <c r="P145" i="36"/>
  <c r="O145" i="36"/>
  <c r="N145" i="36"/>
  <c r="M145" i="36"/>
  <c r="V144" i="36"/>
  <c r="U144" i="36"/>
  <c r="T144" i="36"/>
  <c r="S144" i="36"/>
  <c r="R144" i="36"/>
  <c r="Q144" i="36"/>
  <c r="P144" i="36"/>
  <c r="O144" i="36"/>
  <c r="N144" i="36"/>
  <c r="M144" i="36"/>
  <c r="V143" i="36"/>
  <c r="U143" i="36"/>
  <c r="T143" i="36"/>
  <c r="S143" i="36"/>
  <c r="R143" i="36"/>
  <c r="Q143" i="36"/>
  <c r="P143" i="36"/>
  <c r="O143" i="36"/>
  <c r="N143" i="36"/>
  <c r="M143" i="36"/>
  <c r="V142" i="36"/>
  <c r="U142" i="36"/>
  <c r="T142" i="36"/>
  <c r="S142" i="36"/>
  <c r="R142" i="36"/>
  <c r="Q142" i="36"/>
  <c r="P142" i="36"/>
  <c r="O142" i="36"/>
  <c r="N142" i="36"/>
  <c r="M142" i="36"/>
  <c r="V130" i="36"/>
  <c r="U130" i="36"/>
  <c r="T130" i="36"/>
  <c r="S130" i="36"/>
  <c r="R130" i="36"/>
  <c r="Q130" i="36"/>
  <c r="P130" i="36"/>
  <c r="O130" i="36"/>
  <c r="N130" i="36"/>
  <c r="M130" i="36"/>
  <c r="V119" i="36"/>
  <c r="V126" i="36" s="1"/>
  <c r="U119" i="36"/>
  <c r="U126" i="36" s="1"/>
  <c r="T119" i="36"/>
  <c r="T126" i="36" s="1"/>
  <c r="S119" i="36"/>
  <c r="S126" i="36" s="1"/>
  <c r="R119" i="36"/>
  <c r="R126" i="36" s="1"/>
  <c r="Q119" i="36"/>
  <c r="Q126" i="36" s="1"/>
  <c r="P119" i="36"/>
  <c r="P126" i="36" s="1"/>
  <c r="O119" i="36"/>
  <c r="O126" i="36" s="1"/>
  <c r="N119" i="36"/>
  <c r="N126" i="36" s="1"/>
  <c r="M119" i="36"/>
  <c r="D47" i="17" s="1"/>
  <c r="V96" i="36"/>
  <c r="U96" i="36"/>
  <c r="T96" i="36"/>
  <c r="S96" i="36"/>
  <c r="R96" i="36"/>
  <c r="Q96" i="36"/>
  <c r="P96" i="36"/>
  <c r="O96" i="36"/>
  <c r="N96" i="36"/>
  <c r="M96" i="36"/>
  <c r="X82" i="36"/>
  <c r="X87" i="36" s="1"/>
  <c r="X91" i="36" s="1"/>
  <c r="X81" i="36"/>
  <c r="X44" i="36"/>
  <c r="X43" i="36"/>
  <c r="X42" i="36"/>
  <c r="C21" i="36"/>
  <c r="C34" i="36" s="1"/>
  <c r="C148" i="36" s="1"/>
  <c r="B21" i="36"/>
  <c r="B48" i="36" s="1"/>
  <c r="C20" i="36"/>
  <c r="C33" i="36" s="1"/>
  <c r="B20" i="36"/>
  <c r="B33" i="36" s="1"/>
  <c r="C19" i="36"/>
  <c r="C32" i="36" s="1"/>
  <c r="B19" i="36"/>
  <c r="B32" i="36" s="1"/>
  <c r="C18" i="36"/>
  <c r="C31" i="36" s="1"/>
  <c r="C146" i="36" s="1"/>
  <c r="B18" i="36"/>
  <c r="B31" i="36" s="1"/>
  <c r="B146" i="36" s="1"/>
  <c r="C17" i="36"/>
  <c r="C45" i="36" s="1"/>
  <c r="B17" i="36"/>
  <c r="B45" i="36" s="1"/>
  <c r="C16" i="36"/>
  <c r="C29" i="36" s="1"/>
  <c r="C162" i="36" s="1"/>
  <c r="B16" i="36"/>
  <c r="B81" i="36" s="1"/>
  <c r="C15" i="36"/>
  <c r="C44" i="36" s="1"/>
  <c r="B15" i="36"/>
  <c r="B44" i="36" s="1"/>
  <c r="C14" i="36"/>
  <c r="C27" i="36" s="1"/>
  <c r="C143" i="36" s="1"/>
  <c r="B14" i="36"/>
  <c r="B27" i="36" s="1"/>
  <c r="B143" i="36" s="1"/>
  <c r="C13" i="36"/>
  <c r="C42" i="36" s="1"/>
  <c r="B13" i="36"/>
  <c r="B42" i="36" s="1"/>
  <c r="N9" i="36"/>
  <c r="N8" i="36" s="1"/>
  <c r="H9" i="36"/>
  <c r="A3" i="36"/>
  <c r="A2" i="36"/>
  <c r="I270" i="44" l="1"/>
  <c r="I271" i="44" s="1"/>
  <c r="Q150" i="36"/>
  <c r="M126" i="36"/>
  <c r="H47" i="17"/>
  <c r="N150" i="36"/>
  <c r="V150" i="36"/>
  <c r="I272" i="44"/>
  <c r="I273" i="44" s="1"/>
  <c r="I274" i="44" s="1"/>
  <c r="I275" i="44" s="1"/>
  <c r="I276" i="44" s="1"/>
  <c r="I277" i="44" s="1"/>
  <c r="I278" i="44" s="1"/>
  <c r="R150" i="36"/>
  <c r="G47" i="17"/>
  <c r="S150" i="36"/>
  <c r="F47" i="17"/>
  <c r="T150" i="36"/>
  <c r="E47" i="17"/>
  <c r="X59" i="36"/>
  <c r="X75" i="36" s="1"/>
  <c r="X90" i="36" s="1"/>
  <c r="M150" i="36"/>
  <c r="U150" i="36"/>
  <c r="O150" i="36"/>
  <c r="P150" i="36"/>
  <c r="A7" i="44"/>
  <c r="C43" i="36"/>
  <c r="C46" i="36"/>
  <c r="C81" i="36"/>
  <c r="B34" i="36"/>
  <c r="B148" i="36" s="1"/>
  <c r="B26" i="36"/>
  <c r="B142" i="36" s="1"/>
  <c r="U9" i="37"/>
  <c r="U8" i="37" s="1"/>
  <c r="C48" i="36"/>
  <c r="T10" i="37"/>
  <c r="B29" i="36"/>
  <c r="B162" i="36" s="1"/>
  <c r="B28" i="36"/>
  <c r="B144" i="36" s="1"/>
  <c r="B30" i="36"/>
  <c r="B145" i="36" s="1"/>
  <c r="X92" i="36"/>
  <c r="C28" i="36"/>
  <c r="C144" i="36" s="1"/>
  <c r="B46" i="36"/>
  <c r="O9" i="36"/>
  <c r="O8" i="36" s="1"/>
  <c r="B43" i="36"/>
  <c r="C26" i="36"/>
  <c r="C142" i="36" s="1"/>
  <c r="C30" i="36"/>
  <c r="C145" i="36" s="1"/>
  <c r="B7" i="44"/>
  <c r="A8" i="44"/>
  <c r="E7" i="44"/>
  <c r="F7" i="44"/>
  <c r="V9" i="37" l="1"/>
  <c r="V8" i="37" s="1"/>
  <c r="U11" i="37"/>
  <c r="U10" i="37"/>
  <c r="E8" i="44"/>
  <c r="F8" i="44"/>
  <c r="B8" i="44"/>
  <c r="A9" i="44"/>
  <c r="P9" i="36"/>
  <c r="P8" i="36" s="1"/>
  <c r="W9" i="37" l="1"/>
  <c r="W8" i="37" s="1"/>
  <c r="V10" i="37"/>
  <c r="V11" i="37"/>
  <c r="F9" i="44"/>
  <c r="B9" i="44"/>
  <c r="A10" i="44"/>
  <c r="E9" i="44"/>
  <c r="Q9" i="36"/>
  <c r="Q8" i="36" s="1"/>
  <c r="X9" i="37"/>
  <c r="X8" i="37" s="1"/>
  <c r="W10" i="37" l="1"/>
  <c r="W11" i="37"/>
  <c r="E10" i="44"/>
  <c r="F10" i="44"/>
  <c r="B10" i="44"/>
  <c r="A11" i="44"/>
  <c r="R9" i="36"/>
  <c r="R8" i="36" s="1"/>
  <c r="X11" i="37"/>
  <c r="X10" i="37"/>
  <c r="Y9" i="37"/>
  <c r="Y8" i="37" s="1"/>
  <c r="F11" i="44" l="1"/>
  <c r="E11" i="44"/>
  <c r="B11" i="44"/>
  <c r="A12" i="44"/>
  <c r="Y10" i="37"/>
  <c r="Z9" i="37"/>
  <c r="Z8" i="37" s="1"/>
  <c r="Y11" i="37"/>
  <c r="S9" i="36"/>
  <c r="S8" i="36" s="1"/>
  <c r="T9" i="36" l="1"/>
  <c r="T8" i="36" s="1"/>
  <c r="A13" i="44"/>
  <c r="F12" i="44"/>
  <c r="E12" i="44"/>
  <c r="B12" i="44"/>
  <c r="Z10" i="37"/>
  <c r="AA9" i="37"/>
  <c r="AA8" i="37" s="1"/>
  <c r="Z11" i="37"/>
  <c r="U9" i="36" l="1"/>
  <c r="U8" i="36" s="1"/>
  <c r="A14" i="44"/>
  <c r="F13" i="44"/>
  <c r="E13" i="44"/>
  <c r="B13" i="44"/>
  <c r="AB9" i="37"/>
  <c r="AB8" i="37" s="1"/>
  <c r="AA11" i="37"/>
  <c r="AA10" i="37"/>
  <c r="AB11" i="37" l="1"/>
  <c r="AB10" i="37"/>
  <c r="AC9" i="37"/>
  <c r="AC8" i="37" s="1"/>
  <c r="V9" i="36"/>
  <c r="V8" i="36" s="1"/>
  <c r="E14" i="44"/>
  <c r="B14" i="44"/>
  <c r="A15" i="44"/>
  <c r="F14" i="44"/>
  <c r="AC11" i="37" l="1"/>
  <c r="AC10" i="37"/>
  <c r="B15" i="44"/>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N206" i="36" l="1"/>
  <c r="T206" i="36"/>
  <c r="Q206" i="36"/>
  <c r="O206" i="36"/>
  <c r="P206" i="36"/>
  <c r="U206" i="36"/>
  <c r="V206" i="36"/>
  <c r="M206" i="36"/>
  <c r="R206" i="36"/>
  <c r="F208" i="44"/>
  <c r="B208" i="44"/>
  <c r="A209" i="44"/>
  <c r="E208" i="44"/>
  <c r="S206" i="36"/>
  <c r="Q205" i="36" l="1"/>
  <c r="S205" i="36"/>
  <c r="U205" i="36"/>
  <c r="V205" i="36"/>
  <c r="A210" i="44"/>
  <c r="F209" i="44"/>
  <c r="E209" i="44"/>
  <c r="B209" i="44"/>
  <c r="N205" i="36"/>
  <c r="O205" i="36"/>
  <c r="M205" i="36"/>
  <c r="R205" i="36"/>
  <c r="P205" i="36"/>
  <c r="T205" i="36"/>
  <c r="E210" i="44" l="1"/>
  <c r="B210" i="44"/>
  <c r="A211" i="44"/>
  <c r="F210" i="44"/>
  <c r="F211" i="44" l="1"/>
  <c r="B211" i="44"/>
  <c r="E211" i="44"/>
  <c r="A212" i="44"/>
  <c r="E212" i="44" l="1"/>
  <c r="A213" i="44"/>
  <c r="B212" i="44"/>
  <c r="F212" i="44"/>
  <c r="D19" i="27" l="1"/>
  <c r="D18" i="27"/>
  <c r="F213" i="44"/>
  <c r="A214" i="44"/>
  <c r="E213" i="44"/>
  <c r="B213" i="44"/>
  <c r="T133" i="37" l="1"/>
  <c r="E214" i="44"/>
  <c r="F214" i="44"/>
  <c r="A215" i="44"/>
  <c r="B214" i="44"/>
  <c r="T136" i="37"/>
  <c r="T137" i="37"/>
  <c r="E19" i="27"/>
  <c r="E18" i="27"/>
  <c r="U133" i="37" l="1"/>
  <c r="F19" i="27"/>
  <c r="F18" i="27"/>
  <c r="U137" i="37"/>
  <c r="A216" i="44"/>
  <c r="E215" i="44"/>
  <c r="F215" i="44"/>
  <c r="B215" i="44"/>
  <c r="U136" i="37"/>
  <c r="V133" i="37" l="1"/>
  <c r="G18" i="27"/>
  <c r="G19" i="27"/>
  <c r="V137" i="37"/>
  <c r="A217" i="44"/>
  <c r="B216" i="44"/>
  <c r="F216" i="44"/>
  <c r="E216" i="44"/>
  <c r="V136" i="37"/>
  <c r="H19" i="27" l="1"/>
  <c r="H18" i="27"/>
  <c r="W137" i="37"/>
  <c r="W136" i="37"/>
  <c r="W133" i="37"/>
  <c r="B217" i="44"/>
  <c r="A218" i="44"/>
  <c r="F217" i="44"/>
  <c r="E217" i="44"/>
  <c r="X137" i="37" l="1"/>
  <c r="X133" i="37"/>
  <c r="X136" i="37"/>
  <c r="E218" i="44"/>
  <c r="B218" i="44"/>
  <c r="F218" i="44"/>
  <c r="A219" i="44"/>
  <c r="F219" i="44" l="1"/>
  <c r="B219" i="44"/>
  <c r="A220" i="44"/>
  <c r="E219" i="44"/>
  <c r="Y136" i="37"/>
  <c r="Y133" i="37"/>
  <c r="Y137" i="37"/>
  <c r="Z137" i="37" l="1"/>
  <c r="Z133" i="37"/>
  <c r="Z136" i="37"/>
  <c r="E220" i="44"/>
  <c r="A221" i="44"/>
  <c r="F220" i="44"/>
  <c r="B220" i="44"/>
  <c r="AA133" i="37" l="1"/>
  <c r="AA137" i="37"/>
  <c r="AA136" i="37"/>
  <c r="F221" i="44"/>
  <c r="E221" i="44"/>
  <c r="B221" i="44"/>
  <c r="A222" i="44"/>
  <c r="AB133" i="37" l="1"/>
  <c r="AB136" i="37"/>
  <c r="E222" i="44"/>
  <c r="A223" i="44"/>
  <c r="F222" i="44"/>
  <c r="B222" i="44"/>
  <c r="AB137" i="37"/>
  <c r="AC136" i="37" l="1"/>
  <c r="A224" i="44"/>
  <c r="F223" i="44"/>
  <c r="E223" i="44"/>
  <c r="B223" i="44"/>
  <c r="AC133" i="37"/>
  <c r="AC137" i="37"/>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B273" i="44" l="1"/>
  <c r="A274" i="44"/>
  <c r="A275" i="44" l="1"/>
  <c r="B274" i="44"/>
  <c r="B275" i="44" l="1"/>
  <c r="A276" i="44"/>
  <c r="B276" i="44" l="1"/>
  <c r="A277" i="44"/>
  <c r="A278" i="44" l="1"/>
  <c r="B277" i="44"/>
  <c r="B278" i="44" l="1"/>
  <c r="A279" i="44"/>
  <c r="A280" i="44" l="1"/>
  <c r="B279" i="44"/>
  <c r="H279" i="44"/>
  <c r="G279" i="44"/>
  <c r="I279" i="44" s="1"/>
  <c r="G280" i="44" l="1"/>
  <c r="I280" i="44" s="1"/>
  <c r="A281" i="44"/>
  <c r="H280" i="44"/>
  <c r="B280" i="44"/>
  <c r="B281" i="44" l="1"/>
  <c r="A282" i="44"/>
  <c r="G281" i="44"/>
  <c r="I281" i="44" s="1"/>
  <c r="H281" i="44"/>
  <c r="G282" i="44" l="1"/>
  <c r="I282" i="44" s="1"/>
  <c r="B282" i="44"/>
  <c r="H282" i="44"/>
  <c r="A283" i="44"/>
  <c r="H283" i="44" l="1"/>
  <c r="B283" i="44"/>
  <c r="G283" i="44"/>
  <c r="I283" i="44" s="1"/>
  <c r="A284" i="44"/>
  <c r="G284" i="44" l="1"/>
  <c r="I284" i="44" s="1"/>
  <c r="B284" i="44"/>
  <c r="A285" i="44"/>
  <c r="H284" i="44"/>
  <c r="H285" i="44" l="1"/>
  <c r="B285" i="44"/>
  <c r="G285" i="44"/>
  <c r="I285" i="44" s="1"/>
  <c r="A286" i="44"/>
  <c r="G286" i="44" l="1"/>
  <c r="I286" i="44" s="1"/>
  <c r="A287" i="44"/>
  <c r="H286" i="44"/>
  <c r="B286" i="44"/>
  <c r="A288" i="44" l="1"/>
  <c r="G287" i="44"/>
  <c r="I287" i="44" s="1"/>
  <c r="B287" i="44"/>
  <c r="H287" i="44"/>
  <c r="G288" i="44" l="1"/>
  <c r="I288" i="44" s="1"/>
  <c r="H288" i="44"/>
  <c r="A289" i="44"/>
  <c r="B288" i="44"/>
  <c r="B289" i="44" l="1"/>
  <c r="A290" i="44"/>
  <c r="H289" i="44"/>
  <c r="G289" i="44"/>
  <c r="I289" i="44" s="1"/>
  <c r="G290" i="44" l="1"/>
  <c r="I290" i="44" s="1"/>
  <c r="H290" i="44"/>
  <c r="B290" i="44"/>
  <c r="A291" i="44"/>
  <c r="H291" i="44" l="1"/>
  <c r="B291" i="44"/>
  <c r="G291" i="44"/>
  <c r="I291" i="44" s="1"/>
  <c r="A292" i="44"/>
  <c r="G292" i="44" l="1"/>
  <c r="I292" i="44" s="1"/>
  <c r="A293" i="44"/>
  <c r="H292" i="44"/>
  <c r="B292" i="44"/>
  <c r="B293" i="44" l="1"/>
  <c r="H293" i="44"/>
  <c r="G293" i="44"/>
  <c r="I293" i="44" s="1"/>
  <c r="A294" i="44"/>
  <c r="G294" i="44" l="1"/>
  <c r="I294" i="44" s="1"/>
  <c r="B294" i="44"/>
  <c r="A295" i="44"/>
  <c r="H294" i="44"/>
  <c r="H295" i="44" l="1"/>
  <c r="A296" i="44"/>
  <c r="G295" i="44"/>
  <c r="I295" i="44" s="1"/>
  <c r="B295" i="44"/>
  <c r="A297" i="44" l="1"/>
  <c r="H296" i="44"/>
  <c r="G296" i="44"/>
  <c r="I296" i="44" s="1"/>
  <c r="B296" i="44"/>
  <c r="B297" i="44" l="1"/>
  <c r="G297" i="44"/>
  <c r="I297" i="44" s="1"/>
  <c r="H297" i="44"/>
  <c r="A298" i="44"/>
  <c r="G298" i="44" l="1"/>
  <c r="I298" i="44" s="1"/>
  <c r="H298" i="44"/>
  <c r="A299" i="44"/>
  <c r="B298" i="44"/>
  <c r="A300" i="44" l="1"/>
  <c r="H299" i="44"/>
  <c r="B299" i="44"/>
  <c r="G299" i="44"/>
  <c r="I299" i="44" s="1"/>
  <c r="G300" i="44" l="1"/>
  <c r="I300" i="44" s="1"/>
  <c r="A301" i="44"/>
  <c r="H300" i="44"/>
  <c r="B300" i="44"/>
  <c r="B301" i="44" l="1"/>
  <c r="H301" i="44"/>
  <c r="A302" i="44"/>
  <c r="G301" i="44"/>
  <c r="I301" i="44" s="1"/>
  <c r="G302" i="44" l="1"/>
  <c r="I302" i="44" s="1"/>
  <c r="A303" i="44"/>
  <c r="B302" i="44"/>
  <c r="H302" i="44"/>
  <c r="H303" i="44" l="1"/>
  <c r="A304" i="44"/>
  <c r="G303" i="44"/>
  <c r="I303" i="44" s="1"/>
  <c r="B303" i="44"/>
  <c r="G304" i="44" l="1"/>
  <c r="I304" i="44" s="1"/>
  <c r="A305" i="44"/>
  <c r="B304" i="44"/>
  <c r="H304" i="44"/>
  <c r="H305" i="44" l="1"/>
  <c r="B305" i="44"/>
  <c r="A306" i="44"/>
  <c r="G305" i="44"/>
  <c r="I305" i="44" s="1"/>
  <c r="G306" i="44" l="1"/>
  <c r="I306" i="44" s="1"/>
  <c r="B306" i="44"/>
  <c r="A307" i="44"/>
  <c r="H306" i="44"/>
  <c r="A308" i="44" l="1"/>
  <c r="H307" i="44"/>
  <c r="B307" i="44"/>
  <c r="G307" i="44"/>
  <c r="I307" i="44" s="1"/>
  <c r="G308" i="44" l="1"/>
  <c r="I308" i="44" s="1"/>
  <c r="A309" i="44"/>
  <c r="H308" i="44"/>
  <c r="B308" i="44"/>
  <c r="B309" i="44" l="1"/>
  <c r="A310" i="44"/>
  <c r="H309" i="44"/>
  <c r="G309" i="44"/>
  <c r="I309" i="44" s="1"/>
  <c r="G310" i="44" l="1"/>
  <c r="I310" i="44" s="1"/>
  <c r="B310" i="44"/>
  <c r="H310" i="44"/>
  <c r="A311" i="44"/>
  <c r="H311" i="44" l="1"/>
  <c r="B311" i="44"/>
  <c r="A312" i="44"/>
  <c r="G311" i="44"/>
  <c r="I311" i="44" s="1"/>
  <c r="G312" i="44" l="1"/>
  <c r="I312" i="44" s="1"/>
  <c r="H312" i="44"/>
  <c r="B312" i="44"/>
  <c r="A313" i="44"/>
  <c r="N210" i="36" l="1"/>
  <c r="M211" i="36"/>
  <c r="M212" i="36"/>
  <c r="M210" i="36"/>
  <c r="O212" i="36"/>
  <c r="O210" i="36"/>
  <c r="N212" i="36"/>
  <c r="N43" i="36"/>
  <c r="N42" i="36"/>
  <c r="N44" i="36"/>
  <c r="N46" i="36"/>
  <c r="N45" i="36"/>
  <c r="N81" i="36"/>
  <c r="N82" i="36" s="1"/>
  <c r="N87" i="36" s="1"/>
  <c r="N91" i="36" s="1"/>
  <c r="N48" i="36"/>
  <c r="O211" i="36"/>
  <c r="O46" i="36"/>
  <c r="O44" i="36"/>
  <c r="O45" i="36"/>
  <c r="O43" i="36"/>
  <c r="O81" i="36"/>
  <c r="O82" i="36" s="1"/>
  <c r="O87" i="36" s="1"/>
  <c r="O91" i="36" s="1"/>
  <c r="O48" i="36"/>
  <c r="O42" i="36"/>
  <c r="M81" i="36"/>
  <c r="M82" i="36" s="1"/>
  <c r="M87" i="36" s="1"/>
  <c r="M91" i="36" s="1"/>
  <c r="M48" i="36"/>
  <c r="M42" i="36"/>
  <c r="M46" i="36"/>
  <c r="M45" i="36"/>
  <c r="M44" i="36"/>
  <c r="M43" i="36"/>
  <c r="N211" i="36"/>
  <c r="H313" i="44"/>
  <c r="B313" i="44"/>
  <c r="A314" i="44"/>
  <c r="G313" i="44"/>
  <c r="I313" i="44" s="1"/>
  <c r="N47" i="36" l="1"/>
  <c r="M208" i="36"/>
  <c r="O208" i="36"/>
  <c r="O209" i="36"/>
  <c r="M202" i="36"/>
  <c r="M47" i="36"/>
  <c r="M59" i="36" s="1"/>
  <c r="N208" i="36"/>
  <c r="N209" i="36"/>
  <c r="O202" i="36"/>
  <c r="N202" i="36"/>
  <c r="M209" i="36"/>
  <c r="O207" i="36"/>
  <c r="O191" i="36"/>
  <c r="N207" i="36"/>
  <c r="N191" i="36"/>
  <c r="G314" i="44"/>
  <c r="I314" i="44" s="1"/>
  <c r="B314" i="44"/>
  <c r="H314" i="44"/>
  <c r="A315" i="44"/>
  <c r="M207" i="36"/>
  <c r="M191" i="36"/>
  <c r="O47" i="36"/>
  <c r="N59" i="36" l="1"/>
  <c r="N75" i="36" s="1"/>
  <c r="N90" i="36" s="1"/>
  <c r="N92" i="36" s="1"/>
  <c r="M75" i="36"/>
  <c r="M90" i="36" s="1"/>
  <c r="M92" i="36" s="1"/>
  <c r="O59" i="36"/>
  <c r="O75" i="36" s="1"/>
  <c r="O90" i="36" s="1"/>
  <c r="O92" i="36" s="1"/>
  <c r="N213" i="36"/>
  <c r="N22" i="36" s="1"/>
  <c r="O213" i="36"/>
  <c r="O22" i="36" s="1"/>
  <c r="M213" i="36"/>
  <c r="M22" i="36" s="1"/>
  <c r="A316" i="44"/>
  <c r="H315" i="44"/>
  <c r="B315" i="44"/>
  <c r="G315" i="44"/>
  <c r="I315" i="44" s="1"/>
  <c r="F9" i="17" l="1"/>
  <c r="O99" i="36"/>
  <c r="E9" i="17"/>
  <c r="N99" i="36"/>
  <c r="D9" i="17"/>
  <c r="M99" i="36"/>
  <c r="A317" i="44"/>
  <c r="G316" i="44"/>
  <c r="I316" i="44" s="1"/>
  <c r="H316" i="44"/>
  <c r="B316" i="44"/>
  <c r="A318" i="44" l="1"/>
  <c r="H317" i="44"/>
  <c r="B317" i="44"/>
  <c r="G317" i="44"/>
  <c r="I317" i="44" s="1"/>
  <c r="B318" i="44" l="1"/>
  <c r="G318" i="44"/>
  <c r="I318" i="44" s="1"/>
  <c r="A319" i="44"/>
  <c r="H318" i="44"/>
  <c r="G319" i="44" l="1"/>
  <c r="I319" i="44" s="1"/>
  <c r="B319" i="44"/>
  <c r="A320" i="44"/>
  <c r="H319" i="44"/>
  <c r="H320" i="44" l="1"/>
  <c r="G320" i="44"/>
  <c r="I320" i="44" s="1"/>
  <c r="B320" i="44"/>
  <c r="A321" i="44"/>
  <c r="H321" i="44" l="1"/>
  <c r="A322" i="44"/>
  <c r="B321" i="44"/>
  <c r="G321" i="44"/>
  <c r="I321" i="44" s="1"/>
  <c r="G322" i="44" l="1"/>
  <c r="I322" i="44" s="1"/>
  <c r="H322" i="44"/>
  <c r="A323" i="44"/>
  <c r="B322" i="44"/>
  <c r="H323" i="44" l="1"/>
  <c r="B323" i="44"/>
  <c r="A324" i="44"/>
  <c r="G323" i="44"/>
  <c r="I323" i="44" s="1"/>
  <c r="A325" i="44" l="1"/>
  <c r="G324" i="44"/>
  <c r="I324" i="44" s="1"/>
  <c r="H324" i="44"/>
  <c r="B324" i="44"/>
  <c r="A326" i="44" l="1"/>
  <c r="B325" i="44"/>
  <c r="H325" i="44"/>
  <c r="G325" i="44"/>
  <c r="I325" i="44" s="1"/>
  <c r="B326" i="44" l="1"/>
  <c r="G326" i="44"/>
  <c r="I326" i="44" s="1"/>
  <c r="H326" i="44"/>
  <c r="A327" i="44"/>
  <c r="G327" i="44" l="1"/>
  <c r="I327" i="44" s="1"/>
  <c r="B327" i="44"/>
  <c r="A328" i="44"/>
  <c r="H327" i="44"/>
  <c r="H328" i="44" l="1"/>
  <c r="G328" i="44"/>
  <c r="I328" i="44" s="1"/>
  <c r="A329" i="44"/>
  <c r="B328" i="44"/>
  <c r="H329" i="44" l="1"/>
  <c r="B329" i="44"/>
  <c r="A330" i="44"/>
  <c r="G329" i="44"/>
  <c r="I329" i="44" s="1"/>
  <c r="H330" i="44" l="1"/>
  <c r="G330" i="44"/>
  <c r="I330" i="44" s="1"/>
  <c r="B330" i="44"/>
  <c r="A331" i="44"/>
  <c r="G331" i="44" l="1"/>
  <c r="I331" i="44" s="1"/>
  <c r="B331" i="44"/>
  <c r="A332" i="44"/>
  <c r="H331" i="44"/>
  <c r="A333" i="44" l="1"/>
  <c r="G332" i="44"/>
  <c r="I332" i="44" s="1"/>
  <c r="B332" i="44"/>
  <c r="H332" i="44"/>
  <c r="A334" i="44" l="1"/>
  <c r="H333" i="44"/>
  <c r="B333" i="44"/>
  <c r="G333" i="44"/>
  <c r="I333" i="44" s="1"/>
  <c r="B334" i="44" l="1"/>
  <c r="H334" i="44"/>
  <c r="G334" i="44"/>
  <c r="I334" i="44" s="1"/>
  <c r="A335" i="44"/>
  <c r="G335" i="44" l="1"/>
  <c r="I335" i="44" s="1"/>
  <c r="B335" i="44"/>
  <c r="H335" i="44"/>
  <c r="A336" i="44"/>
  <c r="H336" i="44" l="1"/>
  <c r="G336" i="44"/>
  <c r="I336" i="44" s="1"/>
  <c r="B336" i="44"/>
  <c r="A337" i="44"/>
  <c r="H337" i="44" l="1"/>
  <c r="G337" i="44"/>
  <c r="I337" i="44" s="1"/>
  <c r="B337" i="44"/>
  <c r="A338" i="44"/>
  <c r="A339" i="44" l="1"/>
  <c r="G338" i="44"/>
  <c r="I338" i="44" s="1"/>
  <c r="B338" i="44"/>
  <c r="H338" i="44"/>
  <c r="A340" i="44" l="1"/>
  <c r="H339" i="44"/>
  <c r="B339" i="44"/>
  <c r="G339" i="44"/>
  <c r="I339" i="44" s="1"/>
  <c r="A341" i="44" l="1"/>
  <c r="H340" i="44"/>
  <c r="G340" i="44"/>
  <c r="I340" i="44" s="1"/>
  <c r="B340" i="44"/>
  <c r="A342" i="44" l="1"/>
  <c r="H341" i="44"/>
  <c r="G341" i="44"/>
  <c r="I341" i="44" s="1"/>
  <c r="B341" i="44"/>
  <c r="B342" i="44" l="1"/>
  <c r="G342" i="44"/>
  <c r="I342" i="44" s="1"/>
  <c r="H342" i="44"/>
  <c r="A343" i="44"/>
  <c r="G343" i="44" l="1"/>
  <c r="I343" i="44" s="1"/>
  <c r="B343" i="44"/>
  <c r="H343" i="44"/>
  <c r="A344" i="44"/>
  <c r="H344" i="44" l="1"/>
  <c r="G344" i="44"/>
  <c r="I344" i="44" s="1"/>
  <c r="A345" i="44"/>
  <c r="B344" i="44"/>
  <c r="H345" i="44" l="1"/>
  <c r="A346" i="44"/>
  <c r="B345" i="44"/>
  <c r="G345" i="44"/>
  <c r="I345" i="44" s="1"/>
  <c r="H346" i="44" l="1"/>
  <c r="G346" i="44"/>
  <c r="I346" i="44" s="1"/>
  <c r="B346" i="44"/>
  <c r="A347" i="44"/>
  <c r="A348" i="44" l="1"/>
  <c r="H347" i="44"/>
  <c r="G347" i="44"/>
  <c r="I347" i="44" s="1"/>
  <c r="B347" i="44"/>
  <c r="A349" i="44" l="1"/>
  <c r="B348" i="44"/>
  <c r="G348" i="44"/>
  <c r="I348" i="44" s="1"/>
  <c r="H348" i="44"/>
  <c r="A350" i="44" l="1"/>
  <c r="H349" i="44"/>
  <c r="B349" i="44"/>
  <c r="G349" i="44"/>
  <c r="I349" i="44" s="1"/>
  <c r="B350" i="44" l="1"/>
  <c r="A351" i="44"/>
  <c r="H350" i="44"/>
  <c r="G350" i="44"/>
  <c r="I350" i="44" s="1"/>
  <c r="G351" i="44" l="1"/>
  <c r="I351" i="44" s="1"/>
  <c r="B351" i="44"/>
  <c r="A352" i="44"/>
  <c r="H351" i="44"/>
  <c r="H352" i="44" l="1"/>
  <c r="G352" i="44"/>
  <c r="I352" i="44" s="1"/>
  <c r="B352" i="44"/>
  <c r="A353" i="44"/>
  <c r="H353" i="44" l="1"/>
  <c r="A354" i="44"/>
  <c r="G353" i="44"/>
  <c r="I353" i="44" s="1"/>
  <c r="B353" i="44"/>
  <c r="B354" i="44" l="1"/>
  <c r="A355" i="44"/>
  <c r="G354" i="44"/>
  <c r="I354" i="44" s="1"/>
  <c r="H354" i="44"/>
  <c r="H355" i="44" l="1"/>
  <c r="B355" i="44"/>
  <c r="A356" i="44"/>
  <c r="G355" i="44"/>
  <c r="I355" i="44" s="1"/>
  <c r="A357" i="44" l="1"/>
  <c r="H356" i="44"/>
  <c r="G356" i="44"/>
  <c r="I356" i="44" s="1"/>
  <c r="B356" i="44"/>
  <c r="A358" i="44" l="1"/>
  <c r="G357" i="44"/>
  <c r="I357" i="44" s="1"/>
  <c r="B357" i="44"/>
  <c r="H357" i="44"/>
  <c r="B358" i="44" l="1"/>
  <c r="G358" i="44"/>
  <c r="I358" i="44" s="1"/>
  <c r="H358" i="44"/>
  <c r="A359" i="44"/>
  <c r="G359" i="44" l="1"/>
  <c r="I359" i="44" s="1"/>
  <c r="B359" i="44"/>
  <c r="A360" i="44"/>
  <c r="H359" i="44"/>
  <c r="H360" i="44" l="1"/>
  <c r="G360" i="44"/>
  <c r="I360" i="44" s="1"/>
  <c r="B360" i="44"/>
  <c r="A361" i="44"/>
  <c r="H361" i="44" l="1"/>
  <c r="B361" i="44"/>
  <c r="A362" i="44"/>
  <c r="G361" i="44"/>
  <c r="I361" i="44" s="1"/>
  <c r="H362" i="44" l="1"/>
  <c r="G362" i="44"/>
  <c r="I362" i="44" s="1"/>
  <c r="B362" i="44"/>
  <c r="A363" i="44"/>
  <c r="G363" i="44" l="1"/>
  <c r="I363" i="44" s="1"/>
  <c r="B363" i="44"/>
  <c r="A364" i="44"/>
  <c r="H363" i="44"/>
  <c r="Q211" i="36" l="1"/>
  <c r="P210" i="36"/>
  <c r="S212" i="36"/>
  <c r="Q212" i="36"/>
  <c r="R210" i="36"/>
  <c r="S211" i="36"/>
  <c r="P212" i="36"/>
  <c r="S210" i="36"/>
  <c r="R211" i="36"/>
  <c r="P211" i="36"/>
  <c r="R212" i="36"/>
  <c r="Q43" i="36"/>
  <c r="Q46" i="36"/>
  <c r="Q45" i="36"/>
  <c r="Q48" i="36"/>
  <c r="Q42" i="36"/>
  <c r="Q81" i="36"/>
  <c r="Q82" i="36" s="1"/>
  <c r="Q87" i="36" s="1"/>
  <c r="Q91" i="36" s="1"/>
  <c r="Q44" i="36"/>
  <c r="Q210" i="36"/>
  <c r="A365" i="44"/>
  <c r="G364" i="44"/>
  <c r="I364" i="44" s="1"/>
  <c r="B364" i="44"/>
  <c r="H364" i="44"/>
  <c r="S46" i="36"/>
  <c r="S42" i="36"/>
  <c r="S44" i="36"/>
  <c r="S43" i="36"/>
  <c r="S81" i="36"/>
  <c r="S82" i="36" s="1"/>
  <c r="S87" i="36" s="1"/>
  <c r="S91" i="36" s="1"/>
  <c r="S45" i="36"/>
  <c r="S48" i="36"/>
  <c r="P45" i="36"/>
  <c r="P48" i="36"/>
  <c r="P81" i="36"/>
  <c r="P82" i="36" s="1"/>
  <c r="P87" i="36" s="1"/>
  <c r="P91" i="36" s="1"/>
  <c r="P46" i="36"/>
  <c r="P44" i="36"/>
  <c r="P42" i="36"/>
  <c r="P43" i="36"/>
  <c r="R45" i="36"/>
  <c r="R81" i="36"/>
  <c r="R82" i="36" s="1"/>
  <c r="R87" i="36" s="1"/>
  <c r="R91" i="36" s="1"/>
  <c r="R46" i="36"/>
  <c r="R48" i="36"/>
  <c r="R44" i="36"/>
  <c r="R43" i="36"/>
  <c r="R42" i="36"/>
  <c r="P209" i="36" l="1"/>
  <c r="Q47" i="36"/>
  <c r="Q208" i="36"/>
  <c r="R209" i="36"/>
  <c r="S209" i="36"/>
  <c r="P208" i="36"/>
  <c r="S47" i="36"/>
  <c r="S202" i="36"/>
  <c r="P202" i="36"/>
  <c r="Q209" i="36"/>
  <c r="R208" i="36"/>
  <c r="S207" i="36"/>
  <c r="S191" i="36"/>
  <c r="P47" i="36"/>
  <c r="Q202" i="36"/>
  <c r="R202" i="36"/>
  <c r="R207" i="36"/>
  <c r="R191" i="36"/>
  <c r="P207" i="36"/>
  <c r="P191" i="36"/>
  <c r="S208" i="36"/>
  <c r="R47" i="36"/>
  <c r="R59" i="36" s="1"/>
  <c r="A366" i="44"/>
  <c r="H365" i="44"/>
  <c r="B365" i="44"/>
  <c r="G365" i="44"/>
  <c r="I365" i="44" s="1"/>
  <c r="Q207" i="36"/>
  <c r="Q191" i="36"/>
  <c r="Q59" i="36" l="1"/>
  <c r="Q75" i="36" s="1"/>
  <c r="Q90" i="36" s="1"/>
  <c r="Q92" i="36" s="1"/>
  <c r="S59" i="36"/>
  <c r="S75" i="36" s="1"/>
  <c r="S90" i="36" s="1"/>
  <c r="S92" i="36" s="1"/>
  <c r="S99" i="36" s="1"/>
  <c r="R75" i="36"/>
  <c r="R90" i="36" s="1"/>
  <c r="R92" i="36" s="1"/>
  <c r="R99" i="36" s="1"/>
  <c r="P59" i="36"/>
  <c r="P75" i="36" s="1"/>
  <c r="P90" i="36" s="1"/>
  <c r="P92" i="36" s="1"/>
  <c r="Q213" i="36"/>
  <c r="Q22" i="36" s="1"/>
  <c r="R213" i="36"/>
  <c r="R22" i="36" s="1"/>
  <c r="S213" i="36"/>
  <c r="S22" i="36" s="1"/>
  <c r="P213" i="36"/>
  <c r="P22" i="36" s="1"/>
  <c r="B366" i="44"/>
  <c r="H366" i="44"/>
  <c r="G366" i="44"/>
  <c r="I366" i="44" s="1"/>
  <c r="A367" i="44"/>
  <c r="H9" i="17" l="1"/>
  <c r="Q99" i="36"/>
  <c r="G9" i="17"/>
  <c r="P99" i="36"/>
  <c r="G367" i="44"/>
  <c r="I367" i="44" s="1"/>
  <c r="B367" i="44"/>
  <c r="H367" i="44"/>
  <c r="A368" i="44"/>
  <c r="H368" i="44" l="1"/>
  <c r="G368" i="44"/>
  <c r="I368" i="44" s="1"/>
  <c r="A369" i="44"/>
  <c r="B368" i="44"/>
  <c r="H369" i="44" l="1"/>
  <c r="G369" i="44"/>
  <c r="I369" i="44" s="1"/>
  <c r="B369" i="44"/>
  <c r="A370" i="44"/>
  <c r="A371" i="44" l="1"/>
  <c r="G370" i="44"/>
  <c r="I370" i="44" s="1"/>
  <c r="B370" i="44"/>
  <c r="H370" i="44"/>
  <c r="A372" i="44" l="1"/>
  <c r="H371" i="44"/>
  <c r="B371" i="44"/>
  <c r="G371" i="44"/>
  <c r="I371" i="44" s="1"/>
  <c r="A373" i="44" l="1"/>
  <c r="H372" i="44"/>
  <c r="G372" i="44"/>
  <c r="I372" i="44" s="1"/>
  <c r="B372" i="44"/>
  <c r="A374" i="44" l="1"/>
  <c r="H373" i="44"/>
  <c r="G373" i="44"/>
  <c r="I373" i="44" s="1"/>
  <c r="B373" i="44"/>
  <c r="B374" i="44" l="1"/>
  <c r="G374" i="44"/>
  <c r="I374" i="44" s="1"/>
  <c r="H374" i="44"/>
  <c r="A375" i="44"/>
  <c r="G375" i="44" l="1"/>
  <c r="I375" i="44" s="1"/>
  <c r="B375" i="44"/>
  <c r="H375" i="44"/>
  <c r="A376" i="44"/>
  <c r="H376" i="44" l="1"/>
  <c r="G376" i="44"/>
  <c r="I376" i="44" s="1"/>
  <c r="A377" i="44"/>
  <c r="B376" i="44"/>
  <c r="H377" i="44" l="1"/>
  <c r="A378" i="44"/>
  <c r="B377" i="44"/>
  <c r="G377" i="44"/>
  <c r="I377" i="44" s="1"/>
  <c r="H378" i="44" l="1"/>
  <c r="G378" i="44"/>
  <c r="I378" i="44" s="1"/>
  <c r="A379" i="44"/>
  <c r="B378" i="44"/>
  <c r="A380" i="44" l="1"/>
  <c r="H379" i="44"/>
  <c r="G379" i="44"/>
  <c r="I379" i="44" s="1"/>
  <c r="B379" i="44"/>
  <c r="A381" i="44" l="1"/>
  <c r="B380" i="44"/>
  <c r="G380" i="44"/>
  <c r="I380" i="44" s="1"/>
  <c r="H380" i="44"/>
  <c r="A382" i="44" l="1"/>
  <c r="H381" i="44"/>
  <c r="B381" i="44"/>
  <c r="G381" i="44"/>
  <c r="I381" i="44" s="1"/>
  <c r="B382" i="44" l="1"/>
  <c r="A383" i="44"/>
  <c r="H382" i="44"/>
  <c r="G382" i="44"/>
  <c r="I382" i="44" s="1"/>
  <c r="G383" i="44" l="1"/>
  <c r="I383" i="44" s="1"/>
  <c r="B383" i="44"/>
  <c r="A384" i="44"/>
  <c r="H383" i="44"/>
  <c r="H384" i="44" l="1"/>
  <c r="G384" i="44"/>
  <c r="I384" i="44" s="1"/>
  <c r="A385" i="44"/>
  <c r="B384" i="44"/>
  <c r="H385" i="44" l="1"/>
  <c r="A386" i="44"/>
  <c r="G385" i="44"/>
  <c r="I385" i="44" s="1"/>
  <c r="B385" i="44"/>
  <c r="B386" i="44" l="1"/>
  <c r="A387" i="44"/>
  <c r="G386" i="44"/>
  <c r="I386" i="44" s="1"/>
  <c r="H386" i="44"/>
  <c r="H387" i="44" l="1"/>
  <c r="B387" i="44"/>
  <c r="A388" i="44"/>
  <c r="G387" i="44"/>
  <c r="I387" i="44" s="1"/>
  <c r="A389" i="44" l="1"/>
  <c r="H388" i="44"/>
  <c r="G388" i="44"/>
  <c r="I388" i="44" s="1"/>
  <c r="B388" i="44"/>
  <c r="A390" i="44" l="1"/>
  <c r="G389" i="44"/>
  <c r="I389" i="44" s="1"/>
  <c r="B389" i="44"/>
  <c r="H389" i="44"/>
  <c r="T212" i="36" l="1"/>
  <c r="T210" i="36"/>
  <c r="B390" i="44"/>
  <c r="G390" i="44"/>
  <c r="I390" i="44" s="1"/>
  <c r="A391" i="44"/>
  <c r="H390" i="44"/>
  <c r="T211" i="36"/>
  <c r="V208" i="36" l="1"/>
  <c r="V209" i="36"/>
  <c r="G391" i="44"/>
  <c r="I391" i="44" s="1"/>
  <c r="B391" i="44"/>
  <c r="A392" i="44"/>
  <c r="H391" i="44"/>
  <c r="V207" i="36"/>
  <c r="H392" i="44" l="1"/>
  <c r="G392" i="44"/>
  <c r="I392" i="44" s="1"/>
  <c r="B392" i="44"/>
  <c r="A393" i="44"/>
  <c r="H393" i="44" l="1"/>
  <c r="B393" i="44"/>
  <c r="A394" i="44"/>
  <c r="G393" i="44"/>
  <c r="I393" i="44" s="1"/>
  <c r="H394" i="44" l="1"/>
  <c r="G394" i="44"/>
  <c r="I394" i="44" s="1"/>
  <c r="A395" i="44"/>
  <c r="B394" i="44"/>
  <c r="G395" i="44" l="1"/>
  <c r="I395" i="44" s="1"/>
  <c r="B395" i="44"/>
  <c r="A396" i="44"/>
  <c r="H395" i="44"/>
  <c r="A397" i="44" l="1"/>
  <c r="G396" i="44"/>
  <c r="I396" i="44" s="1"/>
  <c r="B396" i="44"/>
  <c r="H396" i="44"/>
  <c r="A398" i="44" l="1"/>
  <c r="H397" i="44"/>
  <c r="B397" i="44"/>
  <c r="G397" i="44"/>
  <c r="I397" i="44" s="1"/>
  <c r="B398" i="44" l="1"/>
  <c r="H398" i="44"/>
  <c r="G398" i="44"/>
  <c r="I398" i="44" s="1"/>
  <c r="A399" i="44"/>
  <c r="G399" i="44" l="1"/>
  <c r="I399" i="44" s="1"/>
  <c r="B399" i="44"/>
  <c r="H399" i="44"/>
  <c r="A400" i="44"/>
  <c r="H400" i="44" l="1"/>
  <c r="G400" i="44"/>
  <c r="I400" i="44" s="1"/>
  <c r="A401" i="44"/>
  <c r="B400" i="44"/>
  <c r="H401" i="44" l="1"/>
  <c r="G401" i="44"/>
  <c r="I401" i="44" s="1"/>
  <c r="B401" i="44"/>
  <c r="A402" i="44"/>
  <c r="A403" i="44" l="1"/>
  <c r="G402" i="44"/>
  <c r="I402" i="44" s="1"/>
  <c r="B402" i="44"/>
  <c r="H402" i="44"/>
  <c r="A404" i="44" l="1"/>
  <c r="H403" i="44"/>
  <c r="B403" i="44"/>
  <c r="G403" i="44"/>
  <c r="I403" i="44" s="1"/>
  <c r="A405" i="44" l="1"/>
  <c r="H404" i="44"/>
  <c r="G404" i="44"/>
  <c r="I404" i="44" s="1"/>
  <c r="B404" i="44"/>
  <c r="A406" i="44" l="1"/>
  <c r="H405" i="44"/>
  <c r="G405" i="44"/>
  <c r="I405" i="44" s="1"/>
  <c r="B405" i="44"/>
  <c r="B406" i="44" l="1"/>
  <c r="G406" i="44"/>
  <c r="I406" i="44" s="1"/>
  <c r="A407" i="44"/>
  <c r="H406" i="44"/>
  <c r="G407" i="44" l="1"/>
  <c r="I407" i="44" s="1"/>
  <c r="B407" i="44"/>
  <c r="H407" i="44"/>
  <c r="A408" i="44"/>
  <c r="H408" i="44" l="1"/>
  <c r="G408" i="44"/>
  <c r="I408" i="44" s="1"/>
  <c r="A409" i="44"/>
  <c r="B408" i="44"/>
  <c r="H409" i="44" l="1"/>
  <c r="A410" i="44"/>
  <c r="B409" i="44"/>
  <c r="G409" i="44"/>
  <c r="I409" i="44" s="1"/>
  <c r="H410" i="44" l="1"/>
  <c r="G410" i="44"/>
  <c r="I410" i="44" s="1"/>
  <c r="A411" i="44"/>
  <c r="B410" i="44"/>
  <c r="A412" i="44" l="1"/>
  <c r="H411" i="44"/>
  <c r="G411" i="44"/>
  <c r="I411" i="44" s="1"/>
  <c r="B411" i="44"/>
  <c r="A413" i="44" l="1"/>
  <c r="B412" i="44"/>
  <c r="G412" i="44"/>
  <c r="I412" i="44" s="1"/>
  <c r="H412" i="44"/>
  <c r="G413" i="44" l="1"/>
  <c r="I413" i="44" s="1"/>
  <c r="B413" i="44"/>
  <c r="H413" i="44"/>
  <c r="V46" i="36" l="1"/>
  <c r="V81" i="36"/>
  <c r="V82" i="36" s="1"/>
  <c r="V87" i="36" s="1"/>
  <c r="V91" i="36" s="1"/>
  <c r="V45" i="36"/>
  <c r="V48" i="36"/>
  <c r="V42" i="36"/>
  <c r="V44" i="36"/>
  <c r="V43" i="36"/>
  <c r="V211" i="36" l="1"/>
  <c r="U212" i="36"/>
  <c r="U210" i="36"/>
  <c r="V202" i="36"/>
  <c r="V212" i="36"/>
  <c r="U211" i="36"/>
  <c r="V47" i="36"/>
  <c r="U45" i="36"/>
  <c r="U48" i="36"/>
  <c r="U81" i="36"/>
  <c r="U82" i="36" s="1"/>
  <c r="U87" i="36" s="1"/>
  <c r="U91" i="36" s="1"/>
  <c r="U43" i="36"/>
  <c r="U46" i="36"/>
  <c r="U42" i="36"/>
  <c r="U44" i="36"/>
  <c r="V210" i="36"/>
  <c r="V191" i="36"/>
  <c r="T44" i="36"/>
  <c r="T46" i="36"/>
  <c r="T43" i="36"/>
  <c r="T45" i="36"/>
  <c r="T42" i="36"/>
  <c r="T48" i="36"/>
  <c r="T81" i="36"/>
  <c r="T82" i="36" s="1"/>
  <c r="T87" i="36" s="1"/>
  <c r="T91" i="36" s="1"/>
  <c r="V59" i="36" l="1"/>
  <c r="V75" i="36" s="1"/>
  <c r="V90" i="36" s="1"/>
  <c r="V92" i="36" s="1"/>
  <c r="V99" i="36" s="1"/>
  <c r="V213" i="36"/>
  <c r="V22" i="36" s="1"/>
  <c r="T47" i="36"/>
  <c r="U209" i="36"/>
  <c r="U208" i="36"/>
  <c r="T209" i="36"/>
  <c r="T202" i="36"/>
  <c r="U47" i="36"/>
  <c r="U202" i="36"/>
  <c r="T207" i="36"/>
  <c r="T191" i="36"/>
  <c r="T208" i="36"/>
  <c r="U207" i="36"/>
  <c r="U191" i="36"/>
  <c r="U59" i="36" l="1"/>
  <c r="U75" i="36" s="1"/>
  <c r="U90" i="36" s="1"/>
  <c r="U92" i="36" s="1"/>
  <c r="U99" i="36" s="1"/>
  <c r="T59" i="36"/>
  <c r="T75" i="36" s="1"/>
  <c r="T90" i="36" s="1"/>
  <c r="T92" i="36" s="1"/>
  <c r="T99" i="36" s="1"/>
  <c r="U213" i="36"/>
  <c r="U22" i="36" s="1"/>
  <c r="T213" i="36"/>
  <c r="T22" i="36" s="1"/>
  <c r="D15" i="27" l="1"/>
  <c r="D13" i="27" l="1"/>
  <c r="D16" i="27"/>
  <c r="D17" i="27"/>
  <c r="D12" i="27"/>
  <c r="D20" i="27"/>
  <c r="D14" i="27"/>
  <c r="T139" i="37"/>
  <c r="E16" i="27"/>
  <c r="T140" i="37"/>
  <c r="T91" i="37" l="1" a="1"/>
  <c r="T91" i="37" s="1"/>
  <c r="T97" i="37"/>
  <c r="T87" i="37" a="1"/>
  <c r="T87" i="37" s="1"/>
  <c r="T89" i="37" a="1"/>
  <c r="T89" i="37" s="1"/>
  <c r="T88" i="37" a="1"/>
  <c r="T88" i="37" s="1"/>
  <c r="T99" i="37"/>
  <c r="T100" i="37"/>
  <c r="T96" i="37"/>
  <c r="T43" i="37"/>
  <c r="T60" i="37" s="1"/>
  <c r="T138" i="37"/>
  <c r="T98" i="37" s="1"/>
  <c r="T125" i="37"/>
  <c r="E15" i="27"/>
  <c r="T90" i="37" a="1"/>
  <c r="T90" i="37" s="1"/>
  <c r="E14" i="27"/>
  <c r="E20" i="27"/>
  <c r="U140" i="37"/>
  <c r="E13" i="27"/>
  <c r="F14" i="27" l="1"/>
  <c r="T107" i="37"/>
  <c r="T108" i="37" s="1"/>
  <c r="T113" i="37"/>
  <c r="T114" i="37" s="1"/>
  <c r="T101" i="37"/>
  <c r="T102" i="37" s="1"/>
  <c r="T92" i="37"/>
  <c r="T93" i="37" s="1"/>
  <c r="T141" i="37"/>
  <c r="T41" i="37" s="1"/>
  <c r="F15" i="27"/>
  <c r="E12" i="27"/>
  <c r="F20" i="27"/>
  <c r="F16" i="27"/>
  <c r="E17" i="27"/>
  <c r="U43" i="37"/>
  <c r="U60" i="37" s="1"/>
  <c r="U96" i="37"/>
  <c r="U88" i="37" a="1"/>
  <c r="U88" i="37" s="1"/>
  <c r="U91" i="37" a="1"/>
  <c r="U91" i="37" s="1"/>
  <c r="U100" i="37"/>
  <c r="U87" i="37" a="1"/>
  <c r="U87" i="37" s="1"/>
  <c r="U139" i="37"/>
  <c r="U99" i="37" s="1"/>
  <c r="U90" i="37" a="1"/>
  <c r="U90" i="37" s="1"/>
  <c r="U138" i="37"/>
  <c r="U89" i="37" a="1"/>
  <c r="U89" i="37" s="1"/>
  <c r="U125" i="37"/>
  <c r="U97" i="37"/>
  <c r="F13" i="27"/>
  <c r="G16" i="27" l="1"/>
  <c r="F12" i="27"/>
  <c r="U107" i="37"/>
  <c r="U108" i="37" s="1"/>
  <c r="F17" i="27"/>
  <c r="U92" i="37"/>
  <c r="U93" i="37" s="1"/>
  <c r="G20" i="27"/>
  <c r="G15" i="27"/>
  <c r="U113" i="37"/>
  <c r="U114" i="37" s="1"/>
  <c r="G14" i="27"/>
  <c r="V90" i="37" a="1"/>
  <c r="V90" i="37" s="1"/>
  <c r="V139" i="37"/>
  <c r="V99" i="37" s="1"/>
  <c r="U98" i="37"/>
  <c r="U101" i="37" s="1"/>
  <c r="U102" i="37" s="1"/>
  <c r="U141" i="37"/>
  <c r="U41" i="37" s="1"/>
  <c r="G17" i="27"/>
  <c r="V138" i="37"/>
  <c r="V89" i="37" a="1"/>
  <c r="V89" i="37" s="1"/>
  <c r="V125" i="37"/>
  <c r="V140" i="37"/>
  <c r="V100" i="37" s="1"/>
  <c r="V91" i="37" a="1"/>
  <c r="V91" i="37" s="1"/>
  <c r="V43" i="37"/>
  <c r="V60" i="37" s="1"/>
  <c r="V87" i="37" a="1"/>
  <c r="V87" i="37" s="1"/>
  <c r="V88" i="37" a="1"/>
  <c r="V88" i="37" s="1"/>
  <c r="V96" i="37"/>
  <c r="V97" i="37"/>
  <c r="G13" i="27"/>
  <c r="H14" i="27" l="1"/>
  <c r="H16" i="27"/>
  <c r="X138" i="37"/>
  <c r="G12" i="27"/>
  <c r="H20" i="27"/>
  <c r="H15" i="27"/>
  <c r="H17" i="27"/>
  <c r="X139" i="37"/>
  <c r="H13" i="27"/>
  <c r="X140" i="37"/>
  <c r="V107" i="37"/>
  <c r="V108" i="37" s="1"/>
  <c r="V113" i="37"/>
  <c r="V114" i="37" s="1"/>
  <c r="W91" i="37" a="1"/>
  <c r="W91" i="37" s="1"/>
  <c r="W140" i="37"/>
  <c r="W100" i="37" s="1"/>
  <c r="W139" i="37"/>
  <c r="W99" i="37" s="1"/>
  <c r="W90" i="37" a="1"/>
  <c r="W90" i="37" s="1"/>
  <c r="V92" i="37"/>
  <c r="V93" i="37" s="1"/>
  <c r="V98" i="37"/>
  <c r="V101" i="37" s="1"/>
  <c r="V102" i="37" s="1"/>
  <c r="V141" i="37"/>
  <c r="V41" i="37" s="1"/>
  <c r="W43" i="37"/>
  <c r="W60" i="37" s="1"/>
  <c r="W87" i="37" a="1"/>
  <c r="W87" i="37" s="1"/>
  <c r="W88" i="37" a="1"/>
  <c r="W88" i="37" s="1"/>
  <c r="W97" i="37"/>
  <c r="W96" i="37"/>
  <c r="W138" i="37"/>
  <c r="W89" i="37" a="1"/>
  <c r="W89" i="37" s="1"/>
  <c r="W125" i="37"/>
  <c r="H12" i="27" l="1"/>
  <c r="X99" i="37"/>
  <c r="X100" i="37"/>
  <c r="X91" i="37" a="1"/>
  <c r="X91" i="37" s="1"/>
  <c r="X97" i="37"/>
  <c r="X125" i="37"/>
  <c r="X43" i="37"/>
  <c r="X60" i="37" s="1"/>
  <c r="X96" i="37"/>
  <c r="X89" i="37" a="1"/>
  <c r="X89" i="37" s="1"/>
  <c r="X87" i="37" a="1"/>
  <c r="X87" i="37" s="1"/>
  <c r="X88" i="37" a="1"/>
  <c r="X88" i="37" s="1"/>
  <c r="X90" i="37" a="1"/>
  <c r="X90" i="37" s="1"/>
  <c r="W113" i="37"/>
  <c r="W114" i="37" s="1"/>
  <c r="W107" i="37"/>
  <c r="W108" i="37" s="1"/>
  <c r="W98" i="37"/>
  <c r="W101" i="37" s="1"/>
  <c r="W102" i="37" s="1"/>
  <c r="W141" i="37"/>
  <c r="W41" i="37" s="1"/>
  <c r="W92" i="37"/>
  <c r="W93" i="37" s="1"/>
  <c r="X98" i="37"/>
  <c r="X141" i="37"/>
  <c r="X41" i="37" s="1"/>
  <c r="Z139" i="37" l="1"/>
  <c r="X113" i="37"/>
  <c r="X114" i="37" s="1"/>
  <c r="X101" i="37"/>
  <c r="X102" i="37" s="1"/>
  <c r="X107" i="37"/>
  <c r="X108" i="37" s="1"/>
  <c r="Z138" i="37"/>
  <c r="Z140" i="37"/>
  <c r="X92" i="37"/>
  <c r="X93" i="37" s="1"/>
  <c r="Y138" i="37"/>
  <c r="Y89" i="37" a="1"/>
  <c r="Y89" i="37" s="1"/>
  <c r="Y125" i="37"/>
  <c r="Y90" i="37" a="1"/>
  <c r="Y90" i="37" s="1"/>
  <c r="Y139" i="37"/>
  <c r="Y99" i="37" s="1"/>
  <c r="Y43" i="37"/>
  <c r="Y60" i="37" s="1"/>
  <c r="Y87" i="37" a="1"/>
  <c r="Y87" i="37" s="1"/>
  <c r="Y88" i="37" a="1"/>
  <c r="Y88" i="37" s="1"/>
  <c r="Y97" i="37"/>
  <c r="Y96" i="37"/>
  <c r="Y140" i="37"/>
  <c r="Y100" i="37" s="1"/>
  <c r="Y91" i="37" a="1"/>
  <c r="Y91" i="37" s="1"/>
  <c r="AA139" i="37" l="1"/>
  <c r="Y113" i="37"/>
  <c r="Y114" i="37" s="1"/>
  <c r="Z90" i="37" a="1"/>
  <c r="Z90" i="37" s="1"/>
  <c r="Z91" i="37" a="1"/>
  <c r="Z91" i="37" s="1"/>
  <c r="Z43" i="37"/>
  <c r="Z60" i="37" s="1"/>
  <c r="Z125" i="37"/>
  <c r="Z100" i="37"/>
  <c r="Z97" i="37"/>
  <c r="Z96" i="37"/>
  <c r="Z99" i="37"/>
  <c r="Z87" i="37" a="1"/>
  <c r="Z87" i="37" s="1"/>
  <c r="Z88" i="37" a="1"/>
  <c r="Z88" i="37" s="1"/>
  <c r="Z89" i="37" a="1"/>
  <c r="Z89" i="37" s="1"/>
  <c r="Y107" i="37"/>
  <c r="Y108" i="37" s="1"/>
  <c r="Z98" i="37"/>
  <c r="Z141" i="37"/>
  <c r="Z41" i="37" s="1"/>
  <c r="Y98" i="37"/>
  <c r="Y101" i="37" s="1"/>
  <c r="Y102" i="37" s="1"/>
  <c r="Y141" i="37"/>
  <c r="Y41" i="37" s="1"/>
  <c r="Y92" i="37"/>
  <c r="Y93" i="37" s="1"/>
  <c r="Z113" i="37" l="1"/>
  <c r="Z114" i="37" s="1"/>
  <c r="Z107" i="37"/>
  <c r="Z108" i="37" s="1"/>
  <c r="Z92" i="37"/>
  <c r="Z93" i="37" s="1"/>
  <c r="Z101" i="37"/>
  <c r="Z102" i="37" s="1"/>
  <c r="AB140" i="37"/>
  <c r="AA97" i="37"/>
  <c r="AA96" i="37"/>
  <c r="AA87" i="37" a="1"/>
  <c r="AA87" i="37" s="1"/>
  <c r="AA88" i="37" a="1"/>
  <c r="AA88" i="37" s="1"/>
  <c r="AA43" i="37"/>
  <c r="AA60" i="37" s="1"/>
  <c r="AA89" i="37" a="1"/>
  <c r="AA89" i="37" s="1"/>
  <c r="AA138" i="37"/>
  <c r="AA125" i="37"/>
  <c r="AA90" i="37" a="1"/>
  <c r="AA90" i="37" s="1"/>
  <c r="AA140" i="37"/>
  <c r="AA100" i="37" s="1"/>
  <c r="AA91" i="37" a="1"/>
  <c r="AA91" i="37" s="1"/>
  <c r="AA99" i="37"/>
  <c r="AA107" i="37" l="1"/>
  <c r="AA108" i="37" s="1"/>
  <c r="AA113" i="37"/>
  <c r="AA114" i="37" s="1"/>
  <c r="AB43" i="37"/>
  <c r="AB60" i="37" s="1"/>
  <c r="AB88" i="37" a="1"/>
  <c r="AB88" i="37" s="1"/>
  <c r="AB87" i="37" a="1"/>
  <c r="AB87" i="37" s="1"/>
  <c r="AB96" i="37"/>
  <c r="AB97" i="37"/>
  <c r="AB89" i="37" a="1"/>
  <c r="AB89" i="37" s="1"/>
  <c r="AB138" i="37"/>
  <c r="AB125" i="37"/>
  <c r="AA98" i="37"/>
  <c r="AA101" i="37" s="1"/>
  <c r="AA102" i="37" s="1"/>
  <c r="AA141" i="37"/>
  <c r="AA41" i="37" s="1"/>
  <c r="AB139" i="37"/>
  <c r="AB99" i="37" s="1"/>
  <c r="AB90" i="37" a="1"/>
  <c r="AB90" i="37" s="1"/>
  <c r="AA92" i="37"/>
  <c r="AA93" i="37" s="1"/>
  <c r="AB100" i="37"/>
  <c r="AB91" i="37" a="1"/>
  <c r="AB91" i="37" s="1"/>
  <c r="AB107" i="37" l="1"/>
  <c r="AB108" i="37" s="1"/>
  <c r="AB113" i="37"/>
  <c r="AB114" i="37" s="1"/>
  <c r="AB92" i="37"/>
  <c r="AB93" i="37" s="1"/>
  <c r="AB98" i="37"/>
  <c r="AB101" i="37" s="1"/>
  <c r="AB102" i="37" s="1"/>
  <c r="AB141" i="37"/>
  <c r="AB41" i="37" s="1"/>
  <c r="AC140" i="37"/>
  <c r="AC100" i="37" s="1"/>
  <c r="AC91" i="37" a="1"/>
  <c r="AC91" i="37" s="1"/>
  <c r="AC43" i="37"/>
  <c r="AC60" i="37" s="1"/>
  <c r="AC87" i="37" a="1"/>
  <c r="AC87" i="37" s="1"/>
  <c r="AC88" i="37" a="1"/>
  <c r="AC88" i="37" s="1"/>
  <c r="AC97" i="37"/>
  <c r="AC96" i="37"/>
  <c r="AC139" i="37"/>
  <c r="AC99" i="37" s="1"/>
  <c r="AC90" i="37" a="1"/>
  <c r="AC90" i="37" s="1"/>
  <c r="AC138" i="37"/>
  <c r="AC89" i="37" a="1"/>
  <c r="AC89" i="37" s="1"/>
  <c r="AC125" i="37"/>
  <c r="AC113" i="37" l="1"/>
  <c r="AC114" i="37" s="1"/>
  <c r="AC107" i="37"/>
  <c r="AC108" i="37" s="1"/>
  <c r="AC92" i="37"/>
  <c r="AC93" i="37" s="1"/>
  <c r="AC98" i="37"/>
  <c r="AC101" i="37" s="1"/>
  <c r="AC102" i="37" s="1"/>
  <c r="AC141" i="37"/>
  <c r="AC41" i="37" s="1"/>
  <c r="J24" i="2" l="1"/>
  <c r="J25" i="2"/>
  <c r="J26" i="2"/>
  <c r="J27" i="2"/>
  <c r="J28" i="2"/>
  <c r="E197" i="2" l="1"/>
  <c r="F197" i="2"/>
  <c r="G197" i="2"/>
  <c r="H197" i="2"/>
  <c r="D197" i="2"/>
  <c r="B6" i="35" l="1"/>
  <c r="D16" i="35" s="1"/>
  <c r="E22" i="35" l="1"/>
  <c r="B11" i="35"/>
  <c r="J90" i="35" l="1"/>
  <c r="K90" i="35" s="1"/>
  <c r="J89" i="35"/>
  <c r="K89" i="35" s="1"/>
  <c r="J64" i="35"/>
  <c r="J71" i="35"/>
  <c r="J63" i="35"/>
  <c r="J61" i="35"/>
  <c r="J62" i="35"/>
  <c r="J98" i="35"/>
  <c r="J102" i="35"/>
  <c r="J97" i="35"/>
  <c r="J99" i="35"/>
  <c r="J100" i="35"/>
  <c r="J87" i="35"/>
  <c r="J80" i="35"/>
  <c r="J57" i="35"/>
  <c r="J88" i="35"/>
  <c r="J58" i="35"/>
  <c r="J59" i="35"/>
  <c r="J52" i="35"/>
  <c r="J53" i="35"/>
  <c r="J77" i="35"/>
  <c r="J79" i="35"/>
  <c r="J85" i="35"/>
  <c r="J54" i="35"/>
  <c r="J78" i="35"/>
  <c r="J56" i="35"/>
  <c r="J84" i="35"/>
  <c r="J86" i="35"/>
  <c r="J83" i="35"/>
  <c r="J49" i="35"/>
  <c r="E31" i="35"/>
  <c r="E44" i="35" l="1"/>
  <c r="E92" i="35" l="1"/>
  <c r="E104" i="35" l="1"/>
  <c r="E106" i="35" l="1"/>
  <c r="D54" i="5" l="1"/>
  <c r="B3" i="35" l="1"/>
  <c r="E6" i="29" l="1"/>
  <c r="E5" i="29" s="1"/>
  <c r="E7" i="29"/>
  <c r="G26" i="10"/>
  <c r="J26" i="10"/>
  <c r="I26" i="10"/>
  <c r="H26" i="10"/>
  <c r="F26" i="10"/>
  <c r="F192" i="28"/>
  <c r="F191" i="28"/>
  <c r="F80" i="28"/>
  <c r="H64" i="2"/>
  <c r="G64" i="2"/>
  <c r="F64" i="2"/>
  <c r="E64" i="2"/>
  <c r="D64" i="2"/>
  <c r="J63" i="2"/>
  <c r="J62" i="2"/>
  <c r="H35" i="2"/>
  <c r="G35" i="2"/>
  <c r="F35" i="2"/>
  <c r="E35" i="2"/>
  <c r="D35" i="2"/>
  <c r="J34" i="2"/>
  <c r="J33" i="2"/>
  <c r="D55" i="5"/>
  <c r="F101" i="4"/>
  <c r="G101" i="4"/>
  <c r="H101" i="4"/>
  <c r="I101" i="4"/>
  <c r="E101" i="4"/>
  <c r="D7" i="2"/>
  <c r="J64" i="2" l="1"/>
  <c r="J35" i="2"/>
  <c r="B5" i="35"/>
  <c r="E58" i="11" l="1"/>
  <c r="F58" i="11"/>
  <c r="G58" i="11"/>
  <c r="H58" i="11"/>
  <c r="D58" i="11"/>
  <c r="F26" i="28" l="1"/>
  <c r="E28" i="28"/>
  <c r="E55" i="5"/>
  <c r="F55" i="5"/>
  <c r="G55" i="5"/>
  <c r="H55" i="5"/>
  <c r="D48" i="5"/>
  <c r="E41" i="5"/>
  <c r="F41" i="5"/>
  <c r="G41" i="5"/>
  <c r="H41" i="5"/>
  <c r="D41" i="5"/>
  <c r="J55" i="5" l="1"/>
  <c r="I55" i="5"/>
  <c r="J41" i="5"/>
  <c r="I41" i="5"/>
  <c r="F28" i="28"/>
  <c r="E25" i="28"/>
  <c r="B76" i="1" l="1"/>
  <c r="B49" i="1" s="1"/>
  <c r="H54" i="5"/>
  <c r="G54" i="5"/>
  <c r="F54" i="5"/>
  <c r="E54" i="5"/>
  <c r="I54" i="5" l="1"/>
  <c r="J54" i="5"/>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E67" i="1" l="1"/>
  <c r="F67" i="1"/>
  <c r="G67" i="1"/>
  <c r="H67" i="1"/>
  <c r="D67" i="1"/>
  <c r="D69" i="1" l="1"/>
  <c r="E69" i="1"/>
  <c r="F69" i="1"/>
  <c r="G69" i="1"/>
  <c r="H69" i="1"/>
  <c r="D70" i="1"/>
  <c r="E70" i="1"/>
  <c r="F70" i="1"/>
  <c r="G70" i="1"/>
  <c r="H70" i="1"/>
  <c r="D71" i="1"/>
  <c r="E71" i="1"/>
  <c r="F71" i="1"/>
  <c r="G71" i="1"/>
  <c r="H71" i="1"/>
  <c r="D72" i="1"/>
  <c r="E72" i="1"/>
  <c r="F72" i="1"/>
  <c r="G72" i="1"/>
  <c r="H72" i="1"/>
  <c r="D73" i="1"/>
  <c r="E73" i="1"/>
  <c r="F73" i="1"/>
  <c r="G73" i="1"/>
  <c r="H73" i="1"/>
  <c r="E68" i="1"/>
  <c r="F68" i="1"/>
  <c r="G68" i="1"/>
  <c r="H68" i="1"/>
  <c r="D68" i="1"/>
  <c r="K73" i="1" l="1"/>
  <c r="E30" i="2"/>
  <c r="F30" i="2"/>
  <c r="G30" i="2"/>
  <c r="H30" i="2"/>
  <c r="G23" i="10" l="1"/>
  <c r="H23" i="10"/>
  <c r="I23" i="10"/>
  <c r="J23" i="10"/>
  <c r="F23" i="10"/>
  <c r="G20" i="10"/>
  <c r="H20" i="10"/>
  <c r="I20" i="10"/>
  <c r="J20" i="10"/>
  <c r="F20" i="10"/>
  <c r="E162" i="2" l="1"/>
  <c r="E163" i="2" s="1"/>
  <c r="F162" i="2"/>
  <c r="F163" i="2" s="1"/>
  <c r="G162" i="2"/>
  <c r="G163" i="2" s="1"/>
  <c r="H162" i="2"/>
  <c r="H163" i="2" s="1"/>
  <c r="F74" i="4"/>
  <c r="G74" i="4"/>
  <c r="E74" i="4"/>
  <c r="D162" i="2"/>
  <c r="D163" i="2" s="1"/>
  <c r="I74" i="4" l="1"/>
  <c r="H74" i="4"/>
  <c r="F95" i="4" l="1"/>
  <c r="G95" i="4"/>
  <c r="H95" i="4"/>
  <c r="I95" i="4"/>
  <c r="F88" i="4"/>
  <c r="F90" i="4" s="1"/>
  <c r="G88" i="4"/>
  <c r="G90" i="4" s="1"/>
  <c r="H88" i="4"/>
  <c r="H90" i="4" s="1"/>
  <c r="I88" i="4"/>
  <c r="I90" i="4" s="1"/>
  <c r="C43" i="19" l="1"/>
  <c r="C42" i="19"/>
  <c r="C40" i="19"/>
  <c r="C39" i="19"/>
  <c r="C37" i="19"/>
  <c r="C36" i="19"/>
  <c r="C34" i="19"/>
  <c r="C33" i="19"/>
  <c r="C13" i="4" l="1"/>
  <c r="C14" i="4"/>
  <c r="C15" i="4"/>
  <c r="C16" i="4"/>
  <c r="C17" i="4"/>
  <c r="C18" i="4"/>
  <c r="D30" i="2" l="1"/>
  <c r="H88" i="2" l="1"/>
  <c r="G88" i="2"/>
  <c r="F88" i="2"/>
  <c r="E88" i="2"/>
  <c r="D88" i="2"/>
  <c r="J87" i="2"/>
  <c r="J86" i="2"/>
  <c r="H59" i="2"/>
  <c r="G59" i="2"/>
  <c r="F59" i="2"/>
  <c r="E59" i="2"/>
  <c r="D59" i="2"/>
  <c r="J58" i="2"/>
  <c r="J57" i="2"/>
  <c r="J88" i="2" l="1"/>
  <c r="J59" i="2"/>
  <c r="J30" i="2"/>
  <c r="J29" i="2" l="1"/>
  <c r="J23" i="2"/>
  <c r="B3" i="1" l="1"/>
  <c r="G68" i="4" l="1"/>
  <c r="H68" i="4"/>
  <c r="I68" i="4"/>
  <c r="E88" i="4"/>
  <c r="E90" i="4" s="1"/>
  <c r="D62" i="11" l="1"/>
  <c r="F67" i="4" l="1"/>
  <c r="G67" i="4"/>
  <c r="H67" i="4"/>
  <c r="I67" i="4"/>
  <c r="B3" i="17" l="1"/>
  <c r="B3" i="27" l="1"/>
  <c r="C8" i="28"/>
  <c r="H36" i="10" s="1"/>
  <c r="E17" i="2"/>
  <c r="E38" i="2" s="1"/>
  <c r="E51" i="2"/>
  <c r="E67" i="2" s="1"/>
  <c r="E80" i="2"/>
  <c r="D6" i="5"/>
  <c r="C8" i="13"/>
  <c r="F17" i="2"/>
  <c r="F38" i="2" s="1"/>
  <c r="F51" i="2"/>
  <c r="F67" i="2" s="1"/>
  <c r="F80" i="2"/>
  <c r="G17" i="2"/>
  <c r="G38" i="2" s="1"/>
  <c r="G51" i="2"/>
  <c r="G67" i="2" s="1"/>
  <c r="G80" i="2"/>
  <c r="H17" i="2"/>
  <c r="H38" i="2" s="1"/>
  <c r="H51" i="2"/>
  <c r="H67" i="2" s="1"/>
  <c r="H80" i="2"/>
  <c r="D17" i="2"/>
  <c r="D51" i="2"/>
  <c r="D67" i="2" s="1"/>
  <c r="D80" i="2"/>
  <c r="C47" i="28"/>
  <c r="D47" i="28" s="1"/>
  <c r="E47" i="28" s="1"/>
  <c r="F47" i="28" s="1"/>
  <c r="O80" i="28" s="1"/>
  <c r="P55" i="28"/>
  <c r="H67" i="5"/>
  <c r="G67" i="5"/>
  <c r="F67" i="5"/>
  <c r="E67" i="5"/>
  <c r="D67" i="5"/>
  <c r="H20" i="5"/>
  <c r="G20" i="5"/>
  <c r="F20" i="5"/>
  <c r="E20" i="5"/>
  <c r="D20" i="5"/>
  <c r="C36" i="28"/>
  <c r="D36" i="28" s="1"/>
  <c r="E36" i="28" s="1"/>
  <c r="F36" i="28" s="1"/>
  <c r="H80" i="28" s="1"/>
  <c r="F57" i="28"/>
  <c r="F58" i="28"/>
  <c r="F59" i="28"/>
  <c r="F60" i="28"/>
  <c r="F61" i="28"/>
  <c r="F62" i="28"/>
  <c r="F63" i="28"/>
  <c r="F64" i="28"/>
  <c r="F65" i="28"/>
  <c r="F66" i="28"/>
  <c r="F67" i="28"/>
  <c r="F68" i="28"/>
  <c r="F69" i="28"/>
  <c r="F70" i="28"/>
  <c r="F71" i="28"/>
  <c r="F72" i="28"/>
  <c r="F73" i="28"/>
  <c r="F74" i="28"/>
  <c r="F75" i="28"/>
  <c r="F76" i="28"/>
  <c r="F77" i="28"/>
  <c r="F78" i="28"/>
  <c r="F79" i="28"/>
  <c r="F81" i="28"/>
  <c r="F82" i="28"/>
  <c r="F83" i="28"/>
  <c r="F84" i="28"/>
  <c r="F56" i="28"/>
  <c r="K18" i="28"/>
  <c r="K17" i="28"/>
  <c r="L17" i="28" s="1"/>
  <c r="M17" i="28" s="1"/>
  <c r="N17" i="28" s="1"/>
  <c r="K20" i="28"/>
  <c r="L20" i="28" s="1"/>
  <c r="M20" i="28" s="1"/>
  <c r="N20"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27"/>
  <c r="G7" i="27"/>
  <c r="F7" i="27"/>
  <c r="E7" i="27"/>
  <c r="D7" i="27"/>
  <c r="H7" i="17"/>
  <c r="G7" i="17"/>
  <c r="F7" i="17"/>
  <c r="E7" i="17"/>
  <c r="D7" i="17"/>
  <c r="H7" i="5"/>
  <c r="G7" i="5"/>
  <c r="F7" i="5"/>
  <c r="E7" i="5"/>
  <c r="D7" i="5"/>
  <c r="H7" i="2"/>
  <c r="G7" i="2"/>
  <c r="F7" i="2"/>
  <c r="E7" i="2"/>
  <c r="I7" i="4"/>
  <c r="H7" i="4"/>
  <c r="F7" i="4"/>
  <c r="E7" i="4"/>
  <c r="E6" i="4"/>
  <c r="D6" i="1"/>
  <c r="G7" i="4"/>
  <c r="E62" i="11"/>
  <c r="F62" i="11"/>
  <c r="G62" i="11"/>
  <c r="H62" i="11"/>
  <c r="A3" i="21"/>
  <c r="A3" i="1"/>
  <c r="A3" i="14"/>
  <c r="A3" i="2"/>
  <c r="A3" i="5"/>
  <c r="A3" i="17"/>
  <c r="A3" i="27"/>
  <c r="A3" i="10"/>
  <c r="A3" i="11"/>
  <c r="A3" i="19"/>
  <c r="A3" i="28"/>
  <c r="D47" i="5"/>
  <c r="D40" i="5"/>
  <c r="D90" i="28"/>
  <c r="E90" i="28" s="1"/>
  <c r="F90" i="28" s="1"/>
  <c r="G90" i="28" s="1"/>
  <c r="H90" i="28" s="1"/>
  <c r="I90" i="28" s="1"/>
  <c r="I55" i="28"/>
  <c r="A2" i="14"/>
  <c r="A2" i="1"/>
  <c r="A2" i="4"/>
  <c r="A2" i="2"/>
  <c r="A2" i="5"/>
  <c r="A2" i="17"/>
  <c r="A2" i="27"/>
  <c r="A2" i="10"/>
  <c r="A2" i="29"/>
  <c r="A2" i="11"/>
  <c r="A2" i="19"/>
  <c r="A2" i="21"/>
  <c r="A2" i="28"/>
  <c r="F71" i="4"/>
  <c r="G71" i="4"/>
  <c r="H71" i="4"/>
  <c r="I71" i="4"/>
  <c r="E71" i="4"/>
  <c r="E80" i="4" s="1"/>
  <c r="E92" i="4" s="1"/>
  <c r="F185" i="28"/>
  <c r="F184" i="28"/>
  <c r="A3" i="13"/>
  <c r="D60" i="19"/>
  <c r="D62" i="19" s="1"/>
  <c r="E60" i="19"/>
  <c r="E62" i="19" s="1"/>
  <c r="F60" i="19"/>
  <c r="F62" i="19" s="1"/>
  <c r="G60" i="19"/>
  <c r="G62" i="19" s="1"/>
  <c r="H60" i="19"/>
  <c r="H62" i="19" s="1"/>
  <c r="D67" i="19"/>
  <c r="E67" i="19"/>
  <c r="F67" i="19"/>
  <c r="G67" i="19"/>
  <c r="H67" i="19"/>
  <c r="E34" i="11"/>
  <c r="F34" i="11"/>
  <c r="G34" i="11"/>
  <c r="H34" i="11"/>
  <c r="D34" i="11"/>
  <c r="E43" i="11"/>
  <c r="E44" i="11" s="1"/>
  <c r="E47" i="11" s="1"/>
  <c r="E66" i="11" s="1"/>
  <c r="F43" i="11"/>
  <c r="F44" i="11" s="1"/>
  <c r="F47" i="11" s="1"/>
  <c r="F66" i="11" s="1"/>
  <c r="G43" i="11"/>
  <c r="G44" i="11" s="1"/>
  <c r="G47" i="11" s="1"/>
  <c r="G66" i="11" s="1"/>
  <c r="H43" i="11"/>
  <c r="H44" i="11" s="1"/>
  <c r="H47" i="11" s="1"/>
  <c r="H66" i="11" s="1"/>
  <c r="D43" i="11"/>
  <c r="D44" i="11" s="1"/>
  <c r="D47" i="11" s="1"/>
  <c r="D66" i="11" s="1"/>
  <c r="E40" i="5"/>
  <c r="F40" i="5"/>
  <c r="G40" i="5"/>
  <c r="H40" i="5"/>
  <c r="D122" i="2"/>
  <c r="D131" i="2" s="1"/>
  <c r="E122" i="2"/>
  <c r="E131" i="2" s="1"/>
  <c r="F122" i="2"/>
  <c r="F131" i="2" s="1"/>
  <c r="G122" i="2"/>
  <c r="G131" i="2" s="1"/>
  <c r="H122" i="2"/>
  <c r="H131" i="2" s="1"/>
  <c r="H78" i="2"/>
  <c r="G78" i="2"/>
  <c r="F78" i="2"/>
  <c r="E78" i="2"/>
  <c r="D78" i="2"/>
  <c r="J77" i="2"/>
  <c r="J76" i="2"/>
  <c r="B47" i="1"/>
  <c r="D14" i="28"/>
  <c r="E14" i="28"/>
  <c r="F14" i="28"/>
  <c r="G14" i="28"/>
  <c r="H14" i="28"/>
  <c r="I14" i="28"/>
  <c r="J14" i="28"/>
  <c r="K14" i="28"/>
  <c r="L14" i="28"/>
  <c r="M14" i="28"/>
  <c r="N14" i="28"/>
  <c r="C14" i="28"/>
  <c r="C7" i="28"/>
  <c r="D52" i="19"/>
  <c r="E52" i="19" s="1"/>
  <c r="F52" i="19" s="1"/>
  <c r="F51" i="19" s="1"/>
  <c r="D109" i="2"/>
  <c r="D108" i="2" s="1"/>
  <c r="F190" i="28"/>
  <c r="F189" i="28"/>
  <c r="F188" i="28"/>
  <c r="E217" i="28"/>
  <c r="F187" i="28" s="1"/>
  <c r="B217" i="28"/>
  <c r="F186" i="28" s="1"/>
  <c r="G129" i="28"/>
  <c r="D15" i="2"/>
  <c r="B30" i="1"/>
  <c r="D40" i="19"/>
  <c r="D39" i="19"/>
  <c r="H23" i="19"/>
  <c r="G23" i="19"/>
  <c r="F23" i="19"/>
  <c r="E23" i="19"/>
  <c r="D23" i="19"/>
  <c r="H16" i="11"/>
  <c r="G16" i="11"/>
  <c r="F16" i="11"/>
  <c r="E16" i="11"/>
  <c r="D16" i="11"/>
  <c r="I20" i="29"/>
  <c r="H20" i="29"/>
  <c r="G20" i="29"/>
  <c r="F20" i="29"/>
  <c r="F17" i="10"/>
  <c r="E21" i="27"/>
  <c r="H21" i="27"/>
  <c r="G21" i="27"/>
  <c r="F21" i="27"/>
  <c r="H9" i="27"/>
  <c r="G9" i="27"/>
  <c r="H63" i="27"/>
  <c r="G63" i="27"/>
  <c r="F63" i="27"/>
  <c r="E63" i="27"/>
  <c r="D63" i="27"/>
  <c r="E9" i="27"/>
  <c r="J54" i="17"/>
  <c r="J53" i="17"/>
  <c r="J52" i="17"/>
  <c r="J51" i="17"/>
  <c r="J50" i="17"/>
  <c r="J49" i="17"/>
  <c r="I6" i="17"/>
  <c r="I5" i="17" s="1"/>
  <c r="I6" i="5"/>
  <c r="I5" i="5" s="1"/>
  <c r="H49" i="2"/>
  <c r="G49" i="2"/>
  <c r="F49" i="2"/>
  <c r="E49" i="2"/>
  <c r="D49" i="2"/>
  <c r="J48" i="2"/>
  <c r="J47" i="2"/>
  <c r="H15" i="2"/>
  <c r="G15" i="2"/>
  <c r="F15" i="2"/>
  <c r="E15" i="2"/>
  <c r="J14" i="2"/>
  <c r="J13" i="2"/>
  <c r="I6" i="2"/>
  <c r="I5" i="2" s="1"/>
  <c r="I55" i="4"/>
  <c r="H55" i="4"/>
  <c r="G55" i="4"/>
  <c r="F55" i="4"/>
  <c r="E55" i="4"/>
  <c r="I36" i="4"/>
  <c r="H36" i="4"/>
  <c r="G36" i="4"/>
  <c r="F36" i="4"/>
  <c r="E36" i="4"/>
  <c r="B59" i="1"/>
  <c r="B56" i="1"/>
  <c r="B55" i="1"/>
  <c r="B40" i="1"/>
  <c r="B39" i="1"/>
  <c r="B32" i="1"/>
  <c r="B31" i="1"/>
  <c r="B29" i="1"/>
  <c r="B28" i="1"/>
  <c r="B13" i="1"/>
  <c r="B12" i="1"/>
  <c r="J6" i="1"/>
  <c r="G127" i="28"/>
  <c r="G126" i="28"/>
  <c r="G125" i="28"/>
  <c r="G124" i="28"/>
  <c r="F9" i="27"/>
  <c r="J47" i="17"/>
  <c r="D21" i="27"/>
  <c r="D6" i="17"/>
  <c r="D5" i="17" s="1"/>
  <c r="D6" i="19"/>
  <c r="D5" i="19" s="1"/>
  <c r="D6" i="2"/>
  <c r="D6" i="11"/>
  <c r="D5" i="11" s="1"/>
  <c r="D6" i="27"/>
  <c r="D5" i="27" s="1"/>
  <c r="F6" i="10"/>
  <c r="E6" i="27"/>
  <c r="F6" i="27" s="1"/>
  <c r="B21" i="1"/>
  <c r="G20" i="4"/>
  <c r="H20" i="4"/>
  <c r="I20" i="4"/>
  <c r="E57" i="4" l="1"/>
  <c r="J67" i="5"/>
  <c r="I67" i="5"/>
  <c r="I20" i="5"/>
  <c r="J20" i="5"/>
  <c r="B4" i="35"/>
  <c r="F29" i="28"/>
  <c r="J29" i="28"/>
  <c r="H29" i="28"/>
  <c r="I29" i="28"/>
  <c r="G29" i="28"/>
  <c r="D38" i="2"/>
  <c r="D19" i="2"/>
  <c r="J40" i="5"/>
  <c r="I40" i="5"/>
  <c r="L18" i="28"/>
  <c r="K29" i="28"/>
  <c r="F24" i="10"/>
  <c r="B45" i="2"/>
  <c r="B11" i="2"/>
  <c r="E6" i="19"/>
  <c r="E5" i="19" s="1"/>
  <c r="D51" i="19"/>
  <c r="F5" i="10"/>
  <c r="F6" i="19"/>
  <c r="F5" i="19" s="1"/>
  <c r="D5" i="1"/>
  <c r="E27" i="28"/>
  <c r="K27" i="28"/>
  <c r="L27" i="28"/>
  <c r="A3" i="44"/>
  <c r="F27" i="28"/>
  <c r="G27" i="28"/>
  <c r="H27" i="28"/>
  <c r="I27" i="28"/>
  <c r="J27" i="28"/>
  <c r="D5" i="2"/>
  <c r="E77" i="4"/>
  <c r="E78" i="4" s="1"/>
  <c r="E192" i="28"/>
  <c r="J55" i="28"/>
  <c r="J74" i="28" s="1"/>
  <c r="I80" i="28"/>
  <c r="Q55" i="28"/>
  <c r="Q69" i="28" s="1"/>
  <c r="P80" i="28"/>
  <c r="E19" i="2"/>
  <c r="C9" i="28"/>
  <c r="H77" i="4"/>
  <c r="H78" i="4" s="1"/>
  <c r="I80" i="4"/>
  <c r="I92" i="4" s="1"/>
  <c r="I77" i="4"/>
  <c r="I78" i="4" s="1"/>
  <c r="G80" i="4"/>
  <c r="G92" i="4" s="1"/>
  <c r="G77" i="4"/>
  <c r="G78" i="4" s="1"/>
  <c r="F77" i="4"/>
  <c r="F78" i="4" s="1"/>
  <c r="E5" i="27"/>
  <c r="F30" i="10"/>
  <c r="E29" i="28"/>
  <c r="E6" i="5"/>
  <c r="D5" i="5"/>
  <c r="D90" i="2"/>
  <c r="D91" i="2"/>
  <c r="G90" i="2"/>
  <c r="G91" i="2"/>
  <c r="E91" i="2"/>
  <c r="E90" i="2"/>
  <c r="H91" i="2"/>
  <c r="H90" i="2"/>
  <c r="F90" i="2"/>
  <c r="F91" i="2"/>
  <c r="D66" i="2"/>
  <c r="G66" i="2"/>
  <c r="E66" i="2"/>
  <c r="H66" i="2"/>
  <c r="F66" i="2"/>
  <c r="F37" i="2"/>
  <c r="H37" i="2"/>
  <c r="D37" i="2"/>
  <c r="G37" i="2"/>
  <c r="E37" i="2"/>
  <c r="F6" i="4"/>
  <c r="F65" i="4" s="1"/>
  <c r="H165" i="2"/>
  <c r="H199" i="2" s="1"/>
  <c r="F82" i="2"/>
  <c r="D56" i="17"/>
  <c r="E95" i="4"/>
  <c r="G46" i="11"/>
  <c r="G65" i="11" s="1"/>
  <c r="D46" i="11"/>
  <c r="D65" i="11" s="1"/>
  <c r="F46" i="11"/>
  <c r="F65" i="11" s="1"/>
  <c r="E46" i="11"/>
  <c r="E65" i="11" s="1"/>
  <c r="H46" i="11"/>
  <c r="H65" i="11" s="1"/>
  <c r="B20" i="1"/>
  <c r="H20" i="2"/>
  <c r="H42" i="2" s="1"/>
  <c r="J49" i="2"/>
  <c r="F19" i="2"/>
  <c r="H83" i="2"/>
  <c r="G83" i="2"/>
  <c r="E83" i="2"/>
  <c r="J15" i="2"/>
  <c r="J78" i="2"/>
  <c r="D165" i="2"/>
  <c r="D199" i="2" s="1"/>
  <c r="G20" i="2"/>
  <c r="G42" i="2" s="1"/>
  <c r="E20" i="2"/>
  <c r="E42" i="2" s="1"/>
  <c r="F83" i="2"/>
  <c r="H54" i="2"/>
  <c r="H71" i="2" s="1"/>
  <c r="F54" i="2"/>
  <c r="F6" i="29"/>
  <c r="F5" i="29" s="1"/>
  <c r="D54" i="2"/>
  <c r="D53" i="2"/>
  <c r="D82" i="2"/>
  <c r="G6" i="10"/>
  <c r="F5" i="27"/>
  <c r="G6" i="27"/>
  <c r="E6" i="17"/>
  <c r="E6" i="2"/>
  <c r="I62" i="2" s="1"/>
  <c r="E6" i="11"/>
  <c r="E51" i="19"/>
  <c r="F25" i="28"/>
  <c r="E65" i="4"/>
  <c r="E5" i="4"/>
  <c r="G52" i="19"/>
  <c r="G26" i="28"/>
  <c r="G28" i="28" s="1"/>
  <c r="F6" i="5"/>
  <c r="E109" i="2"/>
  <c r="E108" i="2" s="1"/>
  <c r="H45" i="29"/>
  <c r="G82" i="2"/>
  <c r="D69" i="27"/>
  <c r="F69" i="27"/>
  <c r="F45" i="29"/>
  <c r="E6" i="1"/>
  <c r="F6" i="1" s="1"/>
  <c r="F5" i="1" s="1"/>
  <c r="G47" i="28"/>
  <c r="H47" i="28" s="1"/>
  <c r="O72" i="28"/>
  <c r="P84" i="28"/>
  <c r="O78" i="28"/>
  <c r="P70" i="28"/>
  <c r="O70" i="28"/>
  <c r="O82" i="28"/>
  <c r="O81" i="28"/>
  <c r="O75" i="28"/>
  <c r="O79" i="28"/>
  <c r="P71" i="28"/>
  <c r="P77" i="28"/>
  <c r="P83" i="28"/>
  <c r="O74" i="28"/>
  <c r="O84" i="28"/>
  <c r="P81" i="28"/>
  <c r="O77" i="28"/>
  <c r="O76" i="28"/>
  <c r="P82" i="28"/>
  <c r="P78" i="28"/>
  <c r="O73" i="28"/>
  <c r="O71" i="28"/>
  <c r="P76" i="28"/>
  <c r="P79" i="28"/>
  <c r="P75" i="28"/>
  <c r="P74" i="28"/>
  <c r="P73" i="28"/>
  <c r="O83" i="28"/>
  <c r="P72" i="28"/>
  <c r="H70" i="28"/>
  <c r="H79" i="28"/>
  <c r="H71" i="28"/>
  <c r="I81" i="28"/>
  <c r="I72" i="28"/>
  <c r="H78" i="28"/>
  <c r="I79" i="28"/>
  <c r="I71" i="28"/>
  <c r="G36" i="28"/>
  <c r="H36" i="28" s="1"/>
  <c r="I36" i="28" s="1"/>
  <c r="J36" i="28" s="1"/>
  <c r="H77" i="28"/>
  <c r="I78" i="28"/>
  <c r="H76" i="28"/>
  <c r="I77" i="28"/>
  <c r="H74" i="28"/>
  <c r="H84" i="28"/>
  <c r="H75" i="28"/>
  <c r="I70" i="28"/>
  <c r="I76" i="28"/>
  <c r="H83" i="28"/>
  <c r="I84" i="28"/>
  <c r="H82" i="28"/>
  <c r="H73" i="28"/>
  <c r="I83" i="28"/>
  <c r="I74" i="28"/>
  <c r="J70" i="28"/>
  <c r="H81" i="28"/>
  <c r="H72" i="28"/>
  <c r="I82" i="28"/>
  <c r="I73" i="28"/>
  <c r="I75" i="28"/>
  <c r="H63" i="17"/>
  <c r="H57" i="4"/>
  <c r="H59" i="4" s="1"/>
  <c r="F57" i="4"/>
  <c r="F59" i="4" s="1"/>
  <c r="I57" i="4"/>
  <c r="I59" i="4" s="1"/>
  <c r="G57" i="4"/>
  <c r="G59" i="4" s="1"/>
  <c r="E59" i="4"/>
  <c r="B48" i="1"/>
  <c r="G19" i="2"/>
  <c r="H82" i="2"/>
  <c r="E124" i="28"/>
  <c r="F124" i="28" s="1"/>
  <c r="E128" i="28"/>
  <c r="F128" i="28" s="1"/>
  <c r="D20" i="2"/>
  <c r="H19" i="2"/>
  <c r="E82" i="2"/>
  <c r="D83" i="2"/>
  <c r="H53" i="2"/>
  <c r="D63" i="17"/>
  <c r="G63" i="17"/>
  <c r="J36" i="10"/>
  <c r="I36" i="10"/>
  <c r="F53" i="2"/>
  <c r="E127" i="28"/>
  <c r="F127" i="28" s="1"/>
  <c r="E191" i="28"/>
  <c r="E188" i="28"/>
  <c r="E63" i="17"/>
  <c r="G36" i="10"/>
  <c r="F20" i="2"/>
  <c r="F42" i="2" s="1"/>
  <c r="G54" i="2"/>
  <c r="G71" i="2" s="1"/>
  <c r="G53" i="2"/>
  <c r="E185" i="28"/>
  <c r="B121" i="28"/>
  <c r="E184" i="28"/>
  <c r="E190" i="28"/>
  <c r="E130" i="28"/>
  <c r="F130" i="28" s="1"/>
  <c r="E129" i="28"/>
  <c r="F129" i="28" s="1"/>
  <c r="E187" i="28"/>
  <c r="E189" i="28"/>
  <c r="E125" i="28"/>
  <c r="F125" i="28" s="1"/>
  <c r="E126" i="28"/>
  <c r="F126" i="28" s="1"/>
  <c r="E186" i="28"/>
  <c r="E54" i="2"/>
  <c r="E53" i="2"/>
  <c r="G45" i="29"/>
  <c r="D76" i="27"/>
  <c r="F36" i="10"/>
  <c r="G69" i="27"/>
  <c r="E69" i="27"/>
  <c r="G76" i="27"/>
  <c r="E76" i="27"/>
  <c r="F76" i="27"/>
  <c r="H69" i="27"/>
  <c r="I45" i="29"/>
  <c r="H76" i="27"/>
  <c r="E45" i="29"/>
  <c r="F63" i="17"/>
  <c r="F32" i="10" l="1"/>
  <c r="O319" i="28"/>
  <c r="O323" i="28"/>
  <c r="O327" i="28"/>
  <c r="O331" i="28"/>
  <c r="O307" i="28"/>
  <c r="O311" i="28"/>
  <c r="O315" i="28"/>
  <c r="O318" i="28"/>
  <c r="O322" i="28"/>
  <c r="O326" i="28"/>
  <c r="O330" i="28"/>
  <c r="O308" i="28"/>
  <c r="O312" i="28"/>
  <c r="O316" i="28"/>
  <c r="O321" i="28"/>
  <c r="O325" i="28"/>
  <c r="O329" i="28"/>
  <c r="O305" i="28"/>
  <c r="O309" i="28"/>
  <c r="O313" i="28"/>
  <c r="O317" i="28"/>
  <c r="O320" i="28"/>
  <c r="O328" i="28"/>
  <c r="O332" i="28"/>
  <c r="O306" i="28"/>
  <c r="O304" i="28"/>
  <c r="O310" i="28"/>
  <c r="O314" i="28"/>
  <c r="O324" i="28"/>
  <c r="R308" i="28"/>
  <c r="R312" i="28"/>
  <c r="R316" i="28"/>
  <c r="R305" i="28"/>
  <c r="R309" i="28"/>
  <c r="R313" i="28"/>
  <c r="R317" i="28"/>
  <c r="R304" i="28"/>
  <c r="R306" i="28"/>
  <c r="R310" i="28"/>
  <c r="R314" i="28"/>
  <c r="R307" i="28"/>
  <c r="R311" i="28"/>
  <c r="R315" i="28"/>
  <c r="N319" i="28"/>
  <c r="N323" i="28"/>
  <c r="N327" i="28"/>
  <c r="N331" i="28"/>
  <c r="N320" i="28"/>
  <c r="N324" i="28"/>
  <c r="N328" i="28"/>
  <c r="N332" i="28"/>
  <c r="N321" i="28"/>
  <c r="N325" i="28"/>
  <c r="N329" i="28"/>
  <c r="N318" i="28"/>
  <c r="N330" i="28"/>
  <c r="N322" i="28"/>
  <c r="N326" i="28"/>
  <c r="P320" i="28"/>
  <c r="P324" i="28"/>
  <c r="P328" i="28"/>
  <c r="P332" i="28"/>
  <c r="P306" i="28"/>
  <c r="P310" i="28"/>
  <c r="P314" i="28"/>
  <c r="P316" i="28"/>
  <c r="P319" i="28"/>
  <c r="P323" i="28"/>
  <c r="P327" i="28"/>
  <c r="P331" i="28"/>
  <c r="P307" i="28"/>
  <c r="P311" i="28"/>
  <c r="P315" i="28"/>
  <c r="P318" i="28"/>
  <c r="P322" i="28"/>
  <c r="P326" i="28"/>
  <c r="P330" i="28"/>
  <c r="P308" i="28"/>
  <c r="P312" i="28"/>
  <c r="P321" i="28"/>
  <c r="P325" i="28"/>
  <c r="P329" i="28"/>
  <c r="P305" i="28"/>
  <c r="P309" i="28"/>
  <c r="P304" i="28"/>
  <c r="P313" i="28"/>
  <c r="P317" i="28"/>
  <c r="Q321" i="28"/>
  <c r="Q325" i="28"/>
  <c r="Q329" i="28"/>
  <c r="Q305" i="28"/>
  <c r="Q309" i="28"/>
  <c r="Q313" i="28"/>
  <c r="Q317" i="28"/>
  <c r="Q304" i="28"/>
  <c r="Q319" i="28"/>
  <c r="Q307" i="28"/>
  <c r="Q320" i="28"/>
  <c r="Q324" i="28"/>
  <c r="Q328" i="28"/>
  <c r="Q332" i="28"/>
  <c r="Q306" i="28"/>
  <c r="Q310" i="28"/>
  <c r="Q314" i="28"/>
  <c r="Q323" i="28"/>
  <c r="Q327" i="28"/>
  <c r="Q331" i="28"/>
  <c r="Q311" i="28"/>
  <c r="Q315" i="28"/>
  <c r="Q318" i="28"/>
  <c r="Q322" i="28"/>
  <c r="Q326" i="28"/>
  <c r="Q330" i="28"/>
  <c r="Q308" i="28"/>
  <c r="Q312" i="28"/>
  <c r="Q316" i="28"/>
  <c r="M320" i="28"/>
  <c r="M324" i="28"/>
  <c r="M328" i="28"/>
  <c r="M332" i="28"/>
  <c r="M322" i="28"/>
  <c r="M321" i="28"/>
  <c r="M325" i="28"/>
  <c r="M329" i="28"/>
  <c r="M318" i="28"/>
  <c r="M326" i="28"/>
  <c r="M330" i="28"/>
  <c r="M331" i="28"/>
  <c r="M319" i="28"/>
  <c r="M323" i="28"/>
  <c r="M327" i="28"/>
  <c r="S307" i="28"/>
  <c r="S311" i="28"/>
  <c r="S315" i="28"/>
  <c r="S308" i="28"/>
  <c r="S312" i="28"/>
  <c r="S316" i="28"/>
  <c r="S305" i="28"/>
  <c r="S309" i="28"/>
  <c r="S313" i="28"/>
  <c r="S317" i="28"/>
  <c r="S304" i="28"/>
  <c r="S306" i="28"/>
  <c r="S314" i="28"/>
  <c r="S310" i="28"/>
  <c r="G16" i="35"/>
  <c r="G17" i="35"/>
  <c r="F27" i="10"/>
  <c r="M18" i="28"/>
  <c r="N18" i="28" s="1"/>
  <c r="L29" i="28"/>
  <c r="G15" i="10"/>
  <c r="G17" i="10" s="1"/>
  <c r="G24" i="10" s="1"/>
  <c r="M360" i="28"/>
  <c r="M361" i="28"/>
  <c r="M362" i="28"/>
  <c r="M355" i="28"/>
  <c r="M364" i="28"/>
  <c r="M357" i="28"/>
  <c r="M365" i="28"/>
  <c r="M358" i="28"/>
  <c r="M366" i="28"/>
  <c r="M354" i="28"/>
  <c r="M356" i="28"/>
  <c r="M359" i="28"/>
  <c r="M367" i="28"/>
  <c r="M353" i="28"/>
  <c r="M363" i="28"/>
  <c r="C11" i="28" s="1"/>
  <c r="Q344" i="28"/>
  <c r="Q360" i="28"/>
  <c r="Q343" i="28"/>
  <c r="Q347" i="28"/>
  <c r="Q351" i="28"/>
  <c r="Q355" i="28"/>
  <c r="Q359" i="28"/>
  <c r="Q367" i="28"/>
  <c r="Q352" i="28"/>
  <c r="Q364" i="28"/>
  <c r="Q341" i="28"/>
  <c r="Q345" i="28"/>
  <c r="Q349" i="28"/>
  <c r="Q353" i="28"/>
  <c r="Q357" i="28"/>
  <c r="Q361" i="28"/>
  <c r="Q365" i="28"/>
  <c r="Q356" i="28"/>
  <c r="Q340" i="28"/>
  <c r="Q348" i="28"/>
  <c r="Q339" i="28"/>
  <c r="Q342" i="28"/>
  <c r="Q346" i="28"/>
  <c r="Q350" i="28"/>
  <c r="Q354" i="28"/>
  <c r="Q358" i="28"/>
  <c r="Q362" i="28"/>
  <c r="Q366" i="28"/>
  <c r="Q363" i="28"/>
  <c r="P349" i="28"/>
  <c r="P340" i="28"/>
  <c r="P344" i="28"/>
  <c r="P348" i="28"/>
  <c r="P352" i="28"/>
  <c r="P356" i="28"/>
  <c r="P360" i="28"/>
  <c r="P339" i="28"/>
  <c r="P353" i="28"/>
  <c r="P361" i="28"/>
  <c r="P345" i="28"/>
  <c r="P342" i="28"/>
  <c r="P346" i="28"/>
  <c r="P350" i="28"/>
  <c r="P354" i="28"/>
  <c r="P358" i="28"/>
  <c r="P362" i="28"/>
  <c r="P366" i="28"/>
  <c r="P364" i="28"/>
  <c r="P365" i="28"/>
  <c r="P343" i="28"/>
  <c r="P347" i="28"/>
  <c r="P351" i="28"/>
  <c r="P355" i="28"/>
  <c r="P359" i="28"/>
  <c r="P367" i="28"/>
  <c r="P341" i="28"/>
  <c r="P357" i="28"/>
  <c r="P363" i="28"/>
  <c r="S340" i="28"/>
  <c r="S344" i="28"/>
  <c r="S348" i="28"/>
  <c r="S352" i="28"/>
  <c r="S349" i="28"/>
  <c r="S341" i="28"/>
  <c r="S342" i="28"/>
  <c r="S346" i="28"/>
  <c r="S350" i="28"/>
  <c r="S339" i="28"/>
  <c r="S345" i="28"/>
  <c r="S343" i="28"/>
  <c r="S347" i="28"/>
  <c r="S351" i="28"/>
  <c r="O345" i="28"/>
  <c r="O346" i="28"/>
  <c r="O343" i="28"/>
  <c r="O351" i="28"/>
  <c r="O359" i="28"/>
  <c r="O367" i="28"/>
  <c r="O352" i="28"/>
  <c r="O339" i="28"/>
  <c r="O353" i="28"/>
  <c r="O354" i="28"/>
  <c r="O347" i="28"/>
  <c r="O355" i="28"/>
  <c r="O361" i="28"/>
  <c r="O340" i="28"/>
  <c r="O348" i="28"/>
  <c r="O356" i="28"/>
  <c r="O364" i="28"/>
  <c r="O366" i="28"/>
  <c r="O341" i="28"/>
  <c r="O349" i="28"/>
  <c r="O357" i="28"/>
  <c r="O365" i="28"/>
  <c r="O342" i="28"/>
  <c r="O350" i="28"/>
  <c r="O358" i="28"/>
  <c r="O344" i="28"/>
  <c r="O360" i="28"/>
  <c r="O362" i="28"/>
  <c r="O363" i="28"/>
  <c r="N362" i="28"/>
  <c r="N360" i="28"/>
  <c r="N353" i="28"/>
  <c r="N356" i="28"/>
  <c r="N364" i="28"/>
  <c r="N355" i="28"/>
  <c r="N357" i="28"/>
  <c r="N365" i="28"/>
  <c r="N367" i="28"/>
  <c r="N354" i="28"/>
  <c r="N358" i="28"/>
  <c r="N366" i="28"/>
  <c r="N359" i="28"/>
  <c r="N361" i="28"/>
  <c r="N363" i="28"/>
  <c r="R340" i="28"/>
  <c r="R345" i="28"/>
  <c r="R349" i="28"/>
  <c r="R341" i="28"/>
  <c r="R350" i="28"/>
  <c r="R342" i="28"/>
  <c r="R339" i="28"/>
  <c r="R343" i="28"/>
  <c r="R347" i="28"/>
  <c r="R351" i="28"/>
  <c r="R346" i="28"/>
  <c r="R344" i="28"/>
  <c r="R348" i="28"/>
  <c r="R352" i="28"/>
  <c r="C10" i="28"/>
  <c r="J76" i="35"/>
  <c r="J75" i="35"/>
  <c r="J55" i="35"/>
  <c r="J74" i="35"/>
  <c r="Q83" i="28"/>
  <c r="Q65" i="28"/>
  <c r="Q63" i="28"/>
  <c r="Q61" i="28"/>
  <c r="Q81" i="28"/>
  <c r="Q75" i="28"/>
  <c r="Q73" i="28"/>
  <c r="G6" i="19"/>
  <c r="H6" i="10"/>
  <c r="G5" i="10"/>
  <c r="J73" i="1"/>
  <c r="Q71" i="28"/>
  <c r="Q68" i="28"/>
  <c r="Q57" i="28"/>
  <c r="Q74" i="28"/>
  <c r="Q60" i="28"/>
  <c r="Q70" i="28"/>
  <c r="Q72" i="28"/>
  <c r="Q66" i="28"/>
  <c r="Q76" i="28"/>
  <c r="Q59" i="28"/>
  <c r="Q67" i="28"/>
  <c r="Q56" i="28"/>
  <c r="Q64" i="28"/>
  <c r="Q58" i="28"/>
  <c r="Q79" i="28"/>
  <c r="Q84" i="28"/>
  <c r="Q62" i="28"/>
  <c r="Q78" i="28"/>
  <c r="Q77" i="28"/>
  <c r="Q82" i="28"/>
  <c r="J62" i="28"/>
  <c r="J56" i="28"/>
  <c r="J78" i="28"/>
  <c r="G25" i="35"/>
  <c r="G75" i="35"/>
  <c r="G18" i="35"/>
  <c r="D168" i="2"/>
  <c r="D169" i="2" s="1"/>
  <c r="H41" i="2"/>
  <c r="I88" i="2"/>
  <c r="E81" i="4"/>
  <c r="E93" i="4" s="1"/>
  <c r="G74" i="35"/>
  <c r="G24" i="35"/>
  <c r="C109" i="35"/>
  <c r="G97" i="35"/>
  <c r="G76" i="35"/>
  <c r="G98" i="35"/>
  <c r="G19" i="35"/>
  <c r="G99" i="35"/>
  <c r="G55" i="35"/>
  <c r="G101" i="35"/>
  <c r="G100" i="35"/>
  <c r="D200" i="2"/>
  <c r="D201" i="2"/>
  <c r="I38" i="2"/>
  <c r="I67" i="2"/>
  <c r="G41" i="2"/>
  <c r="C35" i="2"/>
  <c r="J72" i="28"/>
  <c r="J75" i="28"/>
  <c r="J67" i="28"/>
  <c r="J83" i="28"/>
  <c r="J77" i="28"/>
  <c r="J79" i="28"/>
  <c r="J82" i="28"/>
  <c r="I57" i="2"/>
  <c r="I37" i="2"/>
  <c r="I66" i="2"/>
  <c r="H81" i="4"/>
  <c r="I28" i="2"/>
  <c r="I58" i="2"/>
  <c r="I35" i="2"/>
  <c r="I27" i="2"/>
  <c r="I59" i="2"/>
  <c r="I90" i="2"/>
  <c r="I34" i="2"/>
  <c r="I26" i="2"/>
  <c r="I30" i="2"/>
  <c r="F81" i="4"/>
  <c r="I33" i="2"/>
  <c r="I25" i="2"/>
  <c r="G81" i="4"/>
  <c r="I63" i="2"/>
  <c r="I24" i="2"/>
  <c r="I23" i="2"/>
  <c r="I87" i="2"/>
  <c r="I64" i="2"/>
  <c r="I29" i="2"/>
  <c r="I86" i="2"/>
  <c r="I81" i="4"/>
  <c r="F41" i="2"/>
  <c r="E41" i="2"/>
  <c r="E43" i="2" s="1"/>
  <c r="H108" i="35"/>
  <c r="B187" i="28"/>
  <c r="B188" i="28"/>
  <c r="B189" i="28"/>
  <c r="B190" i="28"/>
  <c r="B191" i="28"/>
  <c r="B185" i="28"/>
  <c r="B186" i="28"/>
  <c r="B192" i="28"/>
  <c r="B66" i="5" s="1"/>
  <c r="J76" i="28"/>
  <c r="J61" i="28"/>
  <c r="J84" i="28"/>
  <c r="J63" i="28"/>
  <c r="J65" i="28"/>
  <c r="J58" i="28"/>
  <c r="J73" i="28"/>
  <c r="C83" i="1"/>
  <c r="C102" i="2"/>
  <c r="C81" i="1"/>
  <c r="J81" i="28"/>
  <c r="J60" i="28"/>
  <c r="J69" i="28"/>
  <c r="J57" i="28"/>
  <c r="J71" i="28"/>
  <c r="J59" i="28"/>
  <c r="J68" i="28"/>
  <c r="J66" i="28"/>
  <c r="J64" i="28"/>
  <c r="C72" i="27"/>
  <c r="D67" i="29"/>
  <c r="D69" i="29"/>
  <c r="C23" i="19"/>
  <c r="C71" i="17"/>
  <c r="C94" i="2"/>
  <c r="C62" i="5"/>
  <c r="C12" i="5"/>
  <c r="C15" i="2"/>
  <c r="E20" i="10"/>
  <c r="C103" i="2"/>
  <c r="C44" i="17"/>
  <c r="C19" i="2"/>
  <c r="C20" i="5"/>
  <c r="C82" i="2"/>
  <c r="C87" i="17"/>
  <c r="C14" i="5"/>
  <c r="C96" i="2"/>
  <c r="C87" i="1"/>
  <c r="C83" i="17"/>
  <c r="E43" i="10"/>
  <c r="C48" i="2"/>
  <c r="C16" i="5"/>
  <c r="C67" i="5"/>
  <c r="C72" i="2"/>
  <c r="C73" i="27"/>
  <c r="D64" i="29"/>
  <c r="E12" i="10"/>
  <c r="D70" i="29"/>
  <c r="C64" i="5"/>
  <c r="C80" i="1"/>
  <c r="C70" i="17"/>
  <c r="C82" i="1"/>
  <c r="C14" i="2"/>
  <c r="C85" i="1"/>
  <c r="E19" i="10"/>
  <c r="C43" i="2"/>
  <c r="E40" i="10"/>
  <c r="E41" i="10"/>
  <c r="D62" i="29"/>
  <c r="E39" i="10"/>
  <c r="E44" i="10"/>
  <c r="C52" i="5"/>
  <c r="C70" i="1"/>
  <c r="D40" i="29"/>
  <c r="C79" i="1"/>
  <c r="C75" i="1"/>
  <c r="C54" i="2"/>
  <c r="C78" i="2"/>
  <c r="C66" i="1"/>
  <c r="C21" i="19"/>
  <c r="E21" i="10"/>
  <c r="C84" i="1"/>
  <c r="C88" i="2"/>
  <c r="C49" i="2"/>
  <c r="C65" i="5"/>
  <c r="E45" i="10"/>
  <c r="C76" i="2"/>
  <c r="E18" i="10"/>
  <c r="C77" i="2"/>
  <c r="C74" i="27"/>
  <c r="C91" i="1"/>
  <c r="C20" i="2"/>
  <c r="C18" i="19"/>
  <c r="E23" i="10"/>
  <c r="C85" i="17"/>
  <c r="C57" i="2"/>
  <c r="C15" i="5"/>
  <c r="C66" i="5"/>
  <c r="C77" i="1"/>
  <c r="C69" i="1"/>
  <c r="C90" i="1"/>
  <c r="C59" i="2"/>
  <c r="C17" i="5"/>
  <c r="C77" i="17"/>
  <c r="C74" i="1"/>
  <c r="C57" i="17"/>
  <c r="C41" i="5"/>
  <c r="D60" i="29"/>
  <c r="C67" i="1"/>
  <c r="E22" i="10"/>
  <c r="C88" i="1"/>
  <c r="E24" i="10"/>
  <c r="C68" i="1"/>
  <c r="C83" i="2"/>
  <c r="C53" i="2"/>
  <c r="C47" i="2"/>
  <c r="C87" i="2"/>
  <c r="B63" i="1"/>
  <c r="C73" i="1"/>
  <c r="C65" i="1"/>
  <c r="C18" i="5"/>
  <c r="E17" i="10"/>
  <c r="E15" i="10"/>
  <c r="D56" i="29"/>
  <c r="C86" i="1"/>
  <c r="D52" i="29"/>
  <c r="C72" i="1"/>
  <c r="E16" i="10"/>
  <c r="C101" i="2"/>
  <c r="C63" i="5"/>
  <c r="C13" i="2"/>
  <c r="C78" i="1"/>
  <c r="C22" i="19"/>
  <c r="C71" i="1"/>
  <c r="C54" i="19"/>
  <c r="R55" i="28"/>
  <c r="Q80" i="28"/>
  <c r="K55" i="28"/>
  <c r="K78" i="28" s="1"/>
  <c r="J80" i="28"/>
  <c r="H34" i="10" s="1"/>
  <c r="C58" i="2"/>
  <c r="C53" i="5"/>
  <c r="C42" i="2"/>
  <c r="C37" i="5"/>
  <c r="C70" i="2"/>
  <c r="C45" i="5"/>
  <c r="C30" i="2"/>
  <c r="C19" i="5"/>
  <c r="C38" i="5"/>
  <c r="C23" i="2"/>
  <c r="C86" i="2"/>
  <c r="C48" i="5"/>
  <c r="C71" i="2"/>
  <c r="C29" i="2"/>
  <c r="C39" i="5"/>
  <c r="C95" i="2"/>
  <c r="C41" i="2"/>
  <c r="C76" i="1"/>
  <c r="C54" i="5"/>
  <c r="C40" i="5"/>
  <c r="C63" i="2"/>
  <c r="C33" i="2"/>
  <c r="C34" i="2"/>
  <c r="C51" i="5"/>
  <c r="C46" i="5"/>
  <c r="C55" i="5"/>
  <c r="C64" i="2"/>
  <c r="C62" i="2"/>
  <c r="C44" i="5"/>
  <c r="C47" i="5"/>
  <c r="E168" i="2"/>
  <c r="H95" i="2"/>
  <c r="H102" i="2" s="1"/>
  <c r="H66" i="1" s="1"/>
  <c r="H80" i="4"/>
  <c r="H92" i="4" s="1"/>
  <c r="F80" i="4"/>
  <c r="F92" i="4" s="1"/>
  <c r="F105" i="4" s="1"/>
  <c r="C6" i="28"/>
  <c r="E95" i="2"/>
  <c r="E108" i="35"/>
  <c r="E109" i="35" s="1"/>
  <c r="D108" i="35"/>
  <c r="F5" i="4"/>
  <c r="G6" i="4"/>
  <c r="E71" i="2"/>
  <c r="D41" i="2"/>
  <c r="F95" i="2"/>
  <c r="G95" i="2"/>
  <c r="G102" i="2" s="1"/>
  <c r="G66" i="1" s="1"/>
  <c r="D42" i="2"/>
  <c r="I42" i="2" s="1"/>
  <c r="E76" i="1"/>
  <c r="D76" i="1"/>
  <c r="G6" i="1"/>
  <c r="G5" i="1" s="1"/>
  <c r="E5" i="1"/>
  <c r="E5" i="5"/>
  <c r="E74" i="1"/>
  <c r="D95" i="2"/>
  <c r="I95" i="2" s="1"/>
  <c r="D94" i="2"/>
  <c r="E94" i="2"/>
  <c r="F94" i="2"/>
  <c r="G94" i="2"/>
  <c r="H94" i="2"/>
  <c r="J91" i="2"/>
  <c r="F71" i="2"/>
  <c r="J90" i="2"/>
  <c r="J38" i="2"/>
  <c r="F70" i="2"/>
  <c r="E70" i="2"/>
  <c r="H70" i="2"/>
  <c r="G70" i="2"/>
  <c r="G72" i="2" s="1"/>
  <c r="D71" i="2"/>
  <c r="J67" i="2"/>
  <c r="D70" i="2"/>
  <c r="J66" i="2"/>
  <c r="J37" i="2"/>
  <c r="G105" i="4"/>
  <c r="G165" i="2"/>
  <c r="G199" i="2" s="1"/>
  <c r="F165" i="2"/>
  <c r="F199" i="2" s="1"/>
  <c r="E165" i="2"/>
  <c r="E199" i="2" s="1"/>
  <c r="E201" i="2" s="1"/>
  <c r="G6" i="29"/>
  <c r="G5" i="29" s="1"/>
  <c r="G27" i="10"/>
  <c r="E5" i="2"/>
  <c r="F6" i="2"/>
  <c r="E5" i="17"/>
  <c r="F6" i="17"/>
  <c r="G5" i="27"/>
  <c r="H6" i="27"/>
  <c r="H5" i="27" s="1"/>
  <c r="E5" i="11"/>
  <c r="F6" i="11"/>
  <c r="G6" i="5"/>
  <c r="G5" i="19"/>
  <c r="H6" i="19"/>
  <c r="H5" i="19" s="1"/>
  <c r="F109" i="2"/>
  <c r="G25" i="28"/>
  <c r="H26" i="28"/>
  <c r="F5" i="5"/>
  <c r="H52" i="19"/>
  <c r="H51" i="19" s="1"/>
  <c r="G51" i="19"/>
  <c r="F34" i="10"/>
  <c r="F35" i="10"/>
  <c r="J82" i="2"/>
  <c r="J19" i="2"/>
  <c r="G35" i="10"/>
  <c r="I47" i="28"/>
  <c r="J47" i="28" s="1"/>
  <c r="H6" i="1"/>
  <c r="H5" i="1" s="1"/>
  <c r="B126" i="28"/>
  <c r="B15" i="5" s="1"/>
  <c r="B69" i="1" s="1"/>
  <c r="B129" i="28"/>
  <c r="B18" i="5" s="1"/>
  <c r="B72" i="1" s="1"/>
  <c r="B127" i="28"/>
  <c r="B16" i="5" s="1"/>
  <c r="B70" i="1" s="1"/>
  <c r="B128" i="28"/>
  <c r="B17" i="5" s="1"/>
  <c r="B71" i="1" s="1"/>
  <c r="B130" i="28"/>
  <c r="B19" i="5" s="1"/>
  <c r="B73" i="1" s="1"/>
  <c r="B125" i="28"/>
  <c r="B14" i="5" s="1"/>
  <c r="B68" i="1" s="1"/>
  <c r="J83" i="2"/>
  <c r="J20" i="2"/>
  <c r="H15" i="4"/>
  <c r="H18" i="4" s="1"/>
  <c r="D75" i="1"/>
  <c r="D74" i="1"/>
  <c r="E15" i="4"/>
  <c r="E18" i="4" s="1"/>
  <c r="B131" i="28"/>
  <c r="J54" i="2"/>
  <c r="G15" i="4"/>
  <c r="G18" i="4" s="1"/>
  <c r="F38" i="29"/>
  <c r="F23" i="29" s="1"/>
  <c r="F15" i="4"/>
  <c r="F18" i="4" s="1"/>
  <c r="E18" i="19"/>
  <c r="E200" i="2"/>
  <c r="E42" i="17"/>
  <c r="E54" i="19"/>
  <c r="E82" i="1" s="1"/>
  <c r="J53" i="2"/>
  <c r="I15" i="4"/>
  <c r="I18" i="4" s="1"/>
  <c r="E20" i="4" l="1"/>
  <c r="F20" i="4"/>
  <c r="K63" i="35"/>
  <c r="K71" i="35"/>
  <c r="K62" i="35"/>
  <c r="K61" i="35"/>
  <c r="K64" i="35"/>
  <c r="H15" i="10"/>
  <c r="H17" i="10" s="1"/>
  <c r="H24" i="10" s="1"/>
  <c r="G32" i="10"/>
  <c r="K74" i="35"/>
  <c r="K55" i="35"/>
  <c r="K75" i="35"/>
  <c r="K76" i="35"/>
  <c r="K85" i="35"/>
  <c r="K53" i="35"/>
  <c r="K54" i="35"/>
  <c r="K99" i="35"/>
  <c r="K52" i="35"/>
  <c r="K86" i="35"/>
  <c r="K77" i="35"/>
  <c r="K84" i="35"/>
  <c r="K57" i="35"/>
  <c r="K80" i="35"/>
  <c r="K58" i="35"/>
  <c r="K102" i="35"/>
  <c r="K79" i="35"/>
  <c r="K100" i="35"/>
  <c r="K78" i="35"/>
  <c r="K56" i="35"/>
  <c r="K83" i="35"/>
  <c r="K59" i="35"/>
  <c r="K98" i="35"/>
  <c r="K88" i="35"/>
  <c r="K49" i="35"/>
  <c r="K97" i="35"/>
  <c r="K87" i="35"/>
  <c r="I6" i="10"/>
  <c r="H5" i="10"/>
  <c r="H27" i="10" s="1"/>
  <c r="J76" i="1"/>
  <c r="J75" i="1"/>
  <c r="K75" i="1"/>
  <c r="J74" i="1"/>
  <c r="H28" i="28"/>
  <c r="I94" i="2"/>
  <c r="G5" i="4"/>
  <c r="E169" i="2"/>
  <c r="K57" i="28"/>
  <c r="H6" i="4"/>
  <c r="H5" i="4" s="1"/>
  <c r="G65" i="4"/>
  <c r="K66" i="28"/>
  <c r="G34" i="10" s="1"/>
  <c r="G37" i="10" s="1"/>
  <c r="K60" i="28"/>
  <c r="K83" i="28"/>
  <c r="K63" i="28"/>
  <c r="K59" i="28"/>
  <c r="K81" i="28"/>
  <c r="K56" i="28"/>
  <c r="K73" i="28"/>
  <c r="K64" i="28"/>
  <c r="K58" i="28"/>
  <c r="K68" i="28"/>
  <c r="K77" i="28"/>
  <c r="K75" i="28"/>
  <c r="K67" i="28"/>
  <c r="K71" i="28"/>
  <c r="K84" i="28"/>
  <c r="K62" i="28"/>
  <c r="K72" i="28"/>
  <c r="K74" i="28"/>
  <c r="K65" i="28"/>
  <c r="K76" i="28"/>
  <c r="K61" i="28"/>
  <c r="K82" i="28"/>
  <c r="K69" i="28"/>
  <c r="L55" i="28"/>
  <c r="K80" i="28"/>
  <c r="K79" i="28"/>
  <c r="K70" i="28"/>
  <c r="S55" i="28"/>
  <c r="R80" i="28"/>
  <c r="R62" i="28"/>
  <c r="R82" i="28"/>
  <c r="R60" i="28"/>
  <c r="R74" i="28"/>
  <c r="R73" i="28"/>
  <c r="R75" i="28"/>
  <c r="R57" i="28"/>
  <c r="R72" i="28"/>
  <c r="R61" i="28"/>
  <c r="R64" i="28"/>
  <c r="R70" i="28"/>
  <c r="R83" i="28"/>
  <c r="R59" i="28"/>
  <c r="R58" i="28"/>
  <c r="R63" i="28"/>
  <c r="R76" i="28"/>
  <c r="R79" i="28"/>
  <c r="R77" i="28"/>
  <c r="R84" i="28"/>
  <c r="R68" i="28"/>
  <c r="R67" i="28"/>
  <c r="R56" i="28"/>
  <c r="R81" i="28"/>
  <c r="R71" i="28"/>
  <c r="R69" i="28"/>
  <c r="R65" i="28"/>
  <c r="R78" i="28"/>
  <c r="R66" i="28"/>
  <c r="F168" i="2"/>
  <c r="H96" i="2"/>
  <c r="E102" i="2"/>
  <c r="E66" i="1" s="1"/>
  <c r="J41" i="2"/>
  <c r="I41" i="2"/>
  <c r="E96" i="2"/>
  <c r="F101" i="2"/>
  <c r="F102" i="2"/>
  <c r="F66" i="1" s="1"/>
  <c r="H101" i="2"/>
  <c r="H103" i="2" s="1"/>
  <c r="D43" i="2"/>
  <c r="I43" i="2" s="1"/>
  <c r="F96" i="2"/>
  <c r="D102" i="2"/>
  <c r="G96" i="2"/>
  <c r="B63" i="5"/>
  <c r="B78" i="1" s="1"/>
  <c r="B62" i="5"/>
  <c r="B77" i="1" s="1"/>
  <c r="B81" i="1"/>
  <c r="B65" i="5"/>
  <c r="B80" i="1" s="1"/>
  <c r="J42" i="2"/>
  <c r="B64" i="5"/>
  <c r="B79" i="1" s="1"/>
  <c r="J95" i="2"/>
  <c r="D96" i="2"/>
  <c r="D101" i="2"/>
  <c r="F76" i="1"/>
  <c r="I70" i="2"/>
  <c r="I6" i="4"/>
  <c r="I5" i="4" s="1"/>
  <c r="H65" i="4"/>
  <c r="B19" i="1"/>
  <c r="B46" i="1"/>
  <c r="J71" i="2"/>
  <c r="I71" i="2"/>
  <c r="D72" i="2"/>
  <c r="H105" i="4"/>
  <c r="F93" i="4"/>
  <c r="I105" i="4"/>
  <c r="J70" i="2"/>
  <c r="F72" i="2"/>
  <c r="E101" i="2"/>
  <c r="G101" i="2"/>
  <c r="E72" i="2"/>
  <c r="H72" i="2"/>
  <c r="E105" i="4"/>
  <c r="G5" i="5"/>
  <c r="H43" i="2"/>
  <c r="F37" i="10"/>
  <c r="J94" i="2"/>
  <c r="G43" i="2"/>
  <c r="F43" i="2"/>
  <c r="H6" i="29"/>
  <c r="H5" i="29" s="1"/>
  <c r="G38" i="29"/>
  <c r="G23" i="29" s="1"/>
  <c r="F5" i="2"/>
  <c r="G6" i="2"/>
  <c r="F5" i="17"/>
  <c r="G6" i="17"/>
  <c r="J71" i="1"/>
  <c r="F5" i="11"/>
  <c r="G6" i="11"/>
  <c r="J72" i="1"/>
  <c r="H6" i="5"/>
  <c r="F200" i="2"/>
  <c r="G109" i="2"/>
  <c r="F108" i="2"/>
  <c r="F74" i="1"/>
  <c r="H25" i="28"/>
  <c r="I26" i="28"/>
  <c r="F18" i="19"/>
  <c r="F42" i="17"/>
  <c r="F54" i="19"/>
  <c r="F82" i="1" s="1"/>
  <c r="B42" i="1"/>
  <c r="B16" i="1"/>
  <c r="E67" i="27"/>
  <c r="D67" i="27"/>
  <c r="I15" i="10" l="1"/>
  <c r="I17" i="10" s="1"/>
  <c r="I24" i="10" s="1"/>
  <c r="D22" i="35"/>
  <c r="I5" i="10"/>
  <c r="I27" i="10" s="1"/>
  <c r="J6" i="10"/>
  <c r="J5" i="10" s="1"/>
  <c r="J27" i="10" s="1"/>
  <c r="F41" i="10"/>
  <c r="G41" i="10"/>
  <c r="G40" i="10" s="1"/>
  <c r="I28" i="28"/>
  <c r="I32" i="10"/>
  <c r="I101" i="2"/>
  <c r="I96" i="2"/>
  <c r="F169" i="2"/>
  <c r="F201" i="2"/>
  <c r="H32" i="10"/>
  <c r="F67" i="27" s="1"/>
  <c r="I34" i="10"/>
  <c r="T55" i="28"/>
  <c r="S80" i="28"/>
  <c r="S76" i="28"/>
  <c r="S72" i="28"/>
  <c r="S63" i="28"/>
  <c r="S68" i="28"/>
  <c r="S79" i="28"/>
  <c r="S70" i="28"/>
  <c r="S56" i="28"/>
  <c r="S81" i="28"/>
  <c r="S58" i="28"/>
  <c r="S84" i="28"/>
  <c r="S65" i="28"/>
  <c r="S73" i="28"/>
  <c r="S77" i="28"/>
  <c r="S78" i="28"/>
  <c r="S71" i="28"/>
  <c r="S62" i="28"/>
  <c r="S67" i="28"/>
  <c r="S60" i="28"/>
  <c r="S69" i="28"/>
  <c r="S83" i="28"/>
  <c r="S64" i="28"/>
  <c r="S59" i="28"/>
  <c r="S82" i="28"/>
  <c r="S75" i="28"/>
  <c r="S66" i="28"/>
  <c r="H35" i="10" s="1"/>
  <c r="H37" i="10" s="1"/>
  <c r="S74" i="28"/>
  <c r="S61" i="28"/>
  <c r="S57" i="28"/>
  <c r="M55" i="28"/>
  <c r="L80" i="28"/>
  <c r="L74" i="28"/>
  <c r="L60" i="28"/>
  <c r="L78" i="28"/>
  <c r="L62" i="28"/>
  <c r="L76" i="28"/>
  <c r="L58" i="28"/>
  <c r="L81" i="28"/>
  <c r="L59" i="28"/>
  <c r="L72" i="28"/>
  <c r="L73" i="28"/>
  <c r="L67" i="28"/>
  <c r="L64" i="28"/>
  <c r="L71" i="28"/>
  <c r="L84" i="28"/>
  <c r="L63" i="28"/>
  <c r="L77" i="28"/>
  <c r="L70" i="28"/>
  <c r="L79" i="28"/>
  <c r="L68" i="28"/>
  <c r="L57" i="28"/>
  <c r="L83" i="28"/>
  <c r="L66" i="28"/>
  <c r="L56" i="28"/>
  <c r="L61" i="28"/>
  <c r="L69" i="28"/>
  <c r="L82" i="28"/>
  <c r="L75" i="28"/>
  <c r="L65" i="28"/>
  <c r="E103" i="2"/>
  <c r="G168" i="2"/>
  <c r="B26" i="1"/>
  <c r="B53" i="1"/>
  <c r="B23" i="1"/>
  <c r="B50" i="1"/>
  <c r="B24" i="1"/>
  <c r="B51" i="1"/>
  <c r="B27" i="1"/>
  <c r="B54" i="1"/>
  <c r="B52" i="1"/>
  <c r="B25" i="1"/>
  <c r="F103" i="2"/>
  <c r="J102" i="2"/>
  <c r="I65" i="4"/>
  <c r="D66" i="1"/>
  <c r="J66" i="1" s="1"/>
  <c r="I102" i="2"/>
  <c r="J96" i="2"/>
  <c r="D103" i="2"/>
  <c r="G76" i="1"/>
  <c r="J72" i="2"/>
  <c r="I72" i="2"/>
  <c r="G93" i="4"/>
  <c r="J101" i="2"/>
  <c r="G103" i="2"/>
  <c r="J43" i="2"/>
  <c r="I6" i="29"/>
  <c r="I5" i="29" s="1"/>
  <c r="H5" i="5"/>
  <c r="G18" i="19"/>
  <c r="H6" i="17"/>
  <c r="G5" i="17"/>
  <c r="I54" i="17"/>
  <c r="G74" i="1"/>
  <c r="G5" i="2"/>
  <c r="H6" i="2"/>
  <c r="I77" i="2" s="1"/>
  <c r="H6" i="11"/>
  <c r="H5" i="11" s="1"/>
  <c r="G5" i="11"/>
  <c r="G108" i="2"/>
  <c r="H109" i="2"/>
  <c r="G200" i="2"/>
  <c r="H38" i="29"/>
  <c r="H23" i="29" s="1"/>
  <c r="J26" i="28"/>
  <c r="G42" i="17"/>
  <c r="I25" i="28"/>
  <c r="G54" i="19"/>
  <c r="G82" i="1" s="1"/>
  <c r="B43" i="1"/>
  <c r="B15" i="1"/>
  <c r="J69" i="1"/>
  <c r="J81" i="1"/>
  <c r="J78" i="1"/>
  <c r="F33" i="29"/>
  <c r="B44" i="1"/>
  <c r="B17" i="1"/>
  <c r="B45" i="1"/>
  <c r="B18" i="1"/>
  <c r="B41" i="1"/>
  <c r="B14" i="1"/>
  <c r="J70" i="1"/>
  <c r="J15" i="10" l="1"/>
  <c r="J17" i="10" s="1"/>
  <c r="J24" i="10" s="1"/>
  <c r="G39" i="10"/>
  <c r="G43" i="10" s="1"/>
  <c r="E77" i="17" s="1"/>
  <c r="E74" i="27"/>
  <c r="E90" i="1"/>
  <c r="E23" i="1" s="1"/>
  <c r="G44" i="10"/>
  <c r="H41" i="10"/>
  <c r="H39" i="10" s="1"/>
  <c r="H43" i="10" s="1"/>
  <c r="F77" i="17" s="1"/>
  <c r="F40" i="10"/>
  <c r="F39" i="10"/>
  <c r="F43" i="10" s="1"/>
  <c r="D77" i="17" s="1"/>
  <c r="D74" i="27"/>
  <c r="F36" i="29"/>
  <c r="F40" i="29" s="1"/>
  <c r="J28" i="28"/>
  <c r="J32" i="10"/>
  <c r="H67" i="27" s="1"/>
  <c r="G67" i="27"/>
  <c r="I103" i="2"/>
  <c r="G169" i="2"/>
  <c r="G201" i="2"/>
  <c r="J34" i="10"/>
  <c r="N55" i="28"/>
  <c r="M64" i="28"/>
  <c r="M65" i="28"/>
  <c r="M57" i="28"/>
  <c r="M69" i="28"/>
  <c r="M56" i="28"/>
  <c r="M63" i="28"/>
  <c r="M58" i="28"/>
  <c r="M68" i="28"/>
  <c r="M59" i="28"/>
  <c r="M62" i="28"/>
  <c r="M66" i="28"/>
  <c r="M61" i="28"/>
  <c r="M60" i="28"/>
  <c r="M67" i="28"/>
  <c r="U55" i="28"/>
  <c r="T56" i="28"/>
  <c r="T64" i="28"/>
  <c r="T67" i="28"/>
  <c r="T60" i="28"/>
  <c r="T59" i="28"/>
  <c r="T61" i="28"/>
  <c r="T69" i="28"/>
  <c r="T57" i="28"/>
  <c r="T63" i="28"/>
  <c r="T66" i="28"/>
  <c r="I35" i="10" s="1"/>
  <c r="I37" i="10" s="1"/>
  <c r="T62" i="28"/>
  <c r="T58" i="28"/>
  <c r="T65" i="28"/>
  <c r="T68" i="28"/>
  <c r="K66" i="1"/>
  <c r="J103" i="2"/>
  <c r="H76" i="1"/>
  <c r="K76" i="1" s="1"/>
  <c r="H93" i="4"/>
  <c r="H42" i="17"/>
  <c r="K78" i="1"/>
  <c r="I38" i="29"/>
  <c r="I23" i="29" s="1"/>
  <c r="I54" i="2"/>
  <c r="H5" i="2"/>
  <c r="I48" i="2"/>
  <c r="I82" i="2"/>
  <c r="I14" i="2"/>
  <c r="I20" i="2"/>
  <c r="I13" i="2"/>
  <c r="I47" i="2"/>
  <c r="I76" i="2"/>
  <c r="I78" i="2" s="1"/>
  <c r="I19" i="2"/>
  <c r="H5" i="17"/>
  <c r="I50" i="17"/>
  <c r="I49" i="17"/>
  <c r="I47" i="17"/>
  <c r="I51" i="17"/>
  <c r="I52" i="17"/>
  <c r="I53" i="17"/>
  <c r="I53" i="2"/>
  <c r="I83" i="2"/>
  <c r="H108" i="2"/>
  <c r="H200" i="2"/>
  <c r="J25" i="28"/>
  <c r="K26" i="28"/>
  <c r="H18" i="19"/>
  <c r="H54" i="19"/>
  <c r="H82" i="1" s="1"/>
  <c r="H74" i="1"/>
  <c r="K74" i="1" s="1"/>
  <c r="E65" i="1"/>
  <c r="J79" i="1"/>
  <c r="J80" i="1"/>
  <c r="E16" i="1" l="1"/>
  <c r="G45" i="10"/>
  <c r="E11" i="1"/>
  <c r="E21" i="1"/>
  <c r="E20" i="1"/>
  <c r="E27" i="1"/>
  <c r="E18" i="1"/>
  <c r="E24" i="1"/>
  <c r="E14" i="1"/>
  <c r="E25" i="1"/>
  <c r="E28" i="1"/>
  <c r="E13" i="1"/>
  <c r="E22" i="1"/>
  <c r="E17" i="1"/>
  <c r="E12" i="1"/>
  <c r="E26" i="1"/>
  <c r="E19" i="1"/>
  <c r="H40" i="10"/>
  <c r="H44" i="10" s="1"/>
  <c r="F65" i="1" s="1"/>
  <c r="F74" i="27"/>
  <c r="I41" i="10"/>
  <c r="I39" i="10" s="1"/>
  <c r="I43" i="10" s="1"/>
  <c r="G77" i="17" s="1"/>
  <c r="F44" i="10"/>
  <c r="D65" i="1" s="1"/>
  <c r="D90" i="1"/>
  <c r="D14" i="1" s="1"/>
  <c r="F102" i="4"/>
  <c r="F103" i="4" s="1"/>
  <c r="K28" i="28"/>
  <c r="H169" i="2"/>
  <c r="H201" i="2"/>
  <c r="U64" i="28"/>
  <c r="U58" i="28"/>
  <c r="U67" i="28"/>
  <c r="U68" i="28"/>
  <c r="U69" i="28"/>
  <c r="U65" i="28"/>
  <c r="U62" i="28"/>
  <c r="U60" i="28"/>
  <c r="U56" i="28"/>
  <c r="U63" i="28"/>
  <c r="U57" i="28"/>
  <c r="U66" i="28"/>
  <c r="J35" i="10" s="1"/>
  <c r="U61" i="28"/>
  <c r="U59" i="28"/>
  <c r="N57" i="28"/>
  <c r="N66" i="28"/>
  <c r="N67" i="28"/>
  <c r="N68" i="28"/>
  <c r="N69" i="28"/>
  <c r="N58" i="28"/>
  <c r="N65" i="28"/>
  <c r="N56" i="28"/>
  <c r="N61" i="28"/>
  <c r="N63" i="28"/>
  <c r="N64" i="28"/>
  <c r="N60" i="28"/>
  <c r="N62" i="28"/>
  <c r="N59" i="28"/>
  <c r="D54" i="19"/>
  <c r="D82" i="1" s="1"/>
  <c r="F60" i="29"/>
  <c r="F48" i="29"/>
  <c r="I93" i="4"/>
  <c r="H33" i="29"/>
  <c r="I15" i="2"/>
  <c r="I49" i="2"/>
  <c r="K25" i="28"/>
  <c r="L26" i="28"/>
  <c r="G33" i="29"/>
  <c r="J77" i="1"/>
  <c r="J67" i="1"/>
  <c r="J68" i="1"/>
  <c r="E15" i="1"/>
  <c r="E83" i="1"/>
  <c r="K69" i="1"/>
  <c r="J14" i="1" l="1"/>
  <c r="F90" i="1"/>
  <c r="F28" i="1" s="1"/>
  <c r="E29" i="1"/>
  <c r="G74" i="27"/>
  <c r="H45" i="10"/>
  <c r="J13" i="1"/>
  <c r="D13" i="1"/>
  <c r="D11" i="1"/>
  <c r="I40" i="10"/>
  <c r="G90" i="1" s="1"/>
  <c r="G21" i="1" s="1"/>
  <c r="J65" i="1"/>
  <c r="J11" i="1"/>
  <c r="F45" i="10"/>
  <c r="J23" i="1"/>
  <c r="J18" i="1"/>
  <c r="J15" i="1"/>
  <c r="D21" i="1"/>
  <c r="D18" i="1"/>
  <c r="D25" i="1"/>
  <c r="D24" i="1"/>
  <c r="D27" i="1"/>
  <c r="D12" i="1"/>
  <c r="D20" i="1"/>
  <c r="J24" i="1"/>
  <c r="D22" i="1"/>
  <c r="D23" i="1"/>
  <c r="J12" i="1"/>
  <c r="J25" i="1"/>
  <c r="D26" i="1"/>
  <c r="J19" i="1"/>
  <c r="J16" i="1"/>
  <c r="J22" i="1"/>
  <c r="D16" i="1"/>
  <c r="J26" i="1"/>
  <c r="J17" i="1"/>
  <c r="D17" i="1"/>
  <c r="D15" i="1"/>
  <c r="J27" i="1"/>
  <c r="J20" i="1"/>
  <c r="J21" i="1"/>
  <c r="D19" i="1"/>
  <c r="G36" i="29"/>
  <c r="G40" i="29" s="1"/>
  <c r="H36" i="29"/>
  <c r="H40" i="29" s="1"/>
  <c r="L28" i="28"/>
  <c r="J28" i="1"/>
  <c r="J37" i="10"/>
  <c r="J41" i="10" s="1"/>
  <c r="D42" i="17"/>
  <c r="H168" i="2"/>
  <c r="D83" i="1"/>
  <c r="K82" i="1"/>
  <c r="D18" i="19"/>
  <c r="J82" i="1"/>
  <c r="D28" i="1"/>
  <c r="E38" i="29"/>
  <c r="E23" i="29" s="1"/>
  <c r="I33" i="29"/>
  <c r="K81" i="1"/>
  <c r="F83" i="1"/>
  <c r="L25" i="28"/>
  <c r="K80" i="1"/>
  <c r="K79" i="1"/>
  <c r="K72" i="1"/>
  <c r="K70" i="1"/>
  <c r="K71" i="1"/>
  <c r="J83" i="1" l="1"/>
  <c r="F11" i="1"/>
  <c r="G23" i="1"/>
  <c r="G24" i="1"/>
  <c r="F24" i="1"/>
  <c r="F14" i="1"/>
  <c r="F26" i="1"/>
  <c r="F25" i="1"/>
  <c r="F23" i="1"/>
  <c r="F13" i="1"/>
  <c r="F19" i="1"/>
  <c r="F12" i="1"/>
  <c r="H102" i="4"/>
  <c r="H103" i="4" s="1"/>
  <c r="F21" i="1"/>
  <c r="F16" i="1"/>
  <c r="F15" i="1"/>
  <c r="F17" i="1"/>
  <c r="G102" i="4"/>
  <c r="G103" i="4" s="1"/>
  <c r="G15" i="1"/>
  <c r="F27" i="1"/>
  <c r="F18" i="1"/>
  <c r="F20" i="1"/>
  <c r="G25" i="1"/>
  <c r="G20" i="1"/>
  <c r="G22" i="1"/>
  <c r="G17" i="1"/>
  <c r="G12" i="1"/>
  <c r="G16" i="1"/>
  <c r="G18" i="1"/>
  <c r="G19" i="1"/>
  <c r="I44" i="10"/>
  <c r="G65" i="1" s="1"/>
  <c r="G11" i="1" s="1"/>
  <c r="G26" i="1"/>
  <c r="D29" i="1"/>
  <c r="G27" i="1"/>
  <c r="G28" i="1"/>
  <c r="I36" i="29"/>
  <c r="I40" i="29" s="1"/>
  <c r="D57" i="17"/>
  <c r="J40" i="10"/>
  <c r="H74" i="27"/>
  <c r="J39" i="10"/>
  <c r="J43" i="10" s="1"/>
  <c r="J29" i="1"/>
  <c r="K67" i="1"/>
  <c r="G13" i="1"/>
  <c r="G60" i="29"/>
  <c r="H60" i="29"/>
  <c r="H48" i="29"/>
  <c r="G48" i="29"/>
  <c r="F22" i="1"/>
  <c r="K77" i="1"/>
  <c r="G14" i="1"/>
  <c r="K68" i="1"/>
  <c r="F29" i="1" l="1"/>
  <c r="G83" i="1"/>
  <c r="I45" i="10"/>
  <c r="I102" i="4"/>
  <c r="I103" i="4" s="1"/>
  <c r="H77" i="17"/>
  <c r="H90" i="1"/>
  <c r="J44" i="10"/>
  <c r="H65" i="1" s="1"/>
  <c r="G29" i="1"/>
  <c r="I48" i="29"/>
  <c r="I60" i="29"/>
  <c r="K24" i="1" l="1"/>
  <c r="K27" i="1"/>
  <c r="K25" i="1"/>
  <c r="K26" i="1"/>
  <c r="K28" i="1"/>
  <c r="K23" i="1"/>
  <c r="K22" i="1"/>
  <c r="H11" i="1"/>
  <c r="K11" i="1"/>
  <c r="H83" i="1"/>
  <c r="K65" i="1"/>
  <c r="K83" i="1" s="1"/>
  <c r="H27" i="1"/>
  <c r="H16" i="1"/>
  <c r="H15" i="1"/>
  <c r="H26" i="1"/>
  <c r="H24" i="1"/>
  <c r="H18" i="1"/>
  <c r="H21" i="1"/>
  <c r="H25" i="1"/>
  <c r="H17" i="1"/>
  <c r="H12" i="1"/>
  <c r="K12" i="1"/>
  <c r="H13" i="1"/>
  <c r="K15" i="1"/>
  <c r="H19" i="1"/>
  <c r="H22" i="1"/>
  <c r="H28" i="1"/>
  <c r="K21" i="1"/>
  <c r="H23" i="1"/>
  <c r="K17" i="1"/>
  <c r="K19" i="1"/>
  <c r="K18" i="1"/>
  <c r="K16" i="1"/>
  <c r="H14" i="1"/>
  <c r="K14" i="1"/>
  <c r="H20" i="1"/>
  <c r="K13" i="1"/>
  <c r="K20" i="1"/>
  <c r="J45" i="10"/>
  <c r="H29" i="1" l="1"/>
  <c r="K29" i="1"/>
  <c r="G56" i="17" l="1"/>
  <c r="G57" i="17" s="1"/>
  <c r="H56" i="17"/>
  <c r="H57" i="17" s="1"/>
  <c r="F56" i="17"/>
  <c r="F57" i="17" s="1"/>
  <c r="J48" i="17" l="1"/>
  <c r="E56" i="17"/>
  <c r="I48" i="17"/>
  <c r="J56" i="17" l="1"/>
  <c r="E57" i="17"/>
  <c r="I56" i="17"/>
  <c r="I57" i="17" l="1"/>
  <c r="J57" i="17"/>
  <c r="P155" i="36" l="1"/>
  <c r="P171" i="36" s="1"/>
  <c r="P173" i="36" s="1"/>
  <c r="Q155" i="36" l="1"/>
  <c r="Q171" i="36" s="1"/>
  <c r="Q173" i="36" s="1"/>
  <c r="M155" i="36"/>
  <c r="M171" i="36" s="1"/>
  <c r="M173" i="36" s="1"/>
  <c r="V155" i="36"/>
  <c r="V171" i="36" s="1"/>
  <c r="V173" i="36" s="1"/>
  <c r="O155" i="36"/>
  <c r="O171" i="36" s="1"/>
  <c r="O173" i="36" s="1"/>
  <c r="R155" i="36"/>
  <c r="R171" i="36" s="1"/>
  <c r="R173" i="36" s="1"/>
  <c r="T155" i="36"/>
  <c r="T171" i="36" s="1"/>
  <c r="T173" i="36" s="1"/>
  <c r="U155" i="36"/>
  <c r="U171" i="36" s="1"/>
  <c r="U173" i="36" s="1"/>
  <c r="N155" i="36"/>
  <c r="N171" i="36" s="1"/>
  <c r="N173" i="36" s="1"/>
  <c r="S155" i="36"/>
  <c r="S171" i="36" s="1"/>
  <c r="S173" i="36" s="1"/>
  <c r="J101" i="35" l="1"/>
  <c r="K101" i="35" s="1"/>
  <c r="H22" i="35" l="1"/>
  <c r="J16" i="35"/>
  <c r="J25" i="35"/>
  <c r="J65" i="35"/>
  <c r="K65" i="35" s="1"/>
  <c r="J66" i="35"/>
  <c r="K66" i="35" s="1"/>
  <c r="J67" i="35"/>
  <c r="K67" i="35" s="1"/>
  <c r="J68" i="35"/>
  <c r="K68" i="35" s="1"/>
  <c r="J69" i="35"/>
  <c r="K69" i="35" s="1"/>
  <c r="J50" i="35"/>
  <c r="K50" i="35" s="1"/>
  <c r="J51" i="35"/>
  <c r="K51" i="35" s="1"/>
  <c r="J60" i="35"/>
  <c r="K60" i="35" s="1"/>
  <c r="J70" i="35" l="1"/>
  <c r="K70" i="35" s="1"/>
  <c r="J24" i="35"/>
  <c r="D31" i="35"/>
  <c r="H31" i="35"/>
  <c r="H44" i="35" s="1"/>
  <c r="H92" i="35" s="1"/>
  <c r="H104" i="35" s="1"/>
  <c r="H106" i="35" s="1"/>
  <c r="H109" i="35" s="1"/>
  <c r="J22" i="35"/>
  <c r="D44" i="35" l="1"/>
  <c r="J31" i="35"/>
  <c r="K31" i="35" s="1"/>
  <c r="J44" i="35" l="1"/>
  <c r="D92" i="35"/>
  <c r="D104" i="35" s="1"/>
  <c r="D106" i="35" s="1"/>
  <c r="D109" i="35" l="1"/>
  <c r="J109" i="35" s="1"/>
  <c r="J106" i="35"/>
  <c r="K106" i="35" s="1"/>
  <c r="K44" i="35"/>
  <c r="J92" i="35"/>
  <c r="K92" i="35" l="1"/>
  <c r="J104" i="35"/>
  <c r="K104" i="35" s="1"/>
  <c r="E20" i="29" l="1"/>
  <c r="D31" i="27" l="1"/>
  <c r="D40" i="27" s="1"/>
  <c r="T77" i="37"/>
  <c r="M133" i="36" s="1"/>
  <c r="D43" i="27" l="1"/>
  <c r="D42" i="27"/>
  <c r="D46" i="27" l="1"/>
  <c r="E45" i="27" s="1"/>
  <c r="E31" i="27"/>
  <c r="E40" i="27" s="1"/>
  <c r="U77" i="37"/>
  <c r="N133" i="36" s="1"/>
  <c r="D65" i="27" l="1"/>
  <c r="D68" i="27" s="1"/>
  <c r="E42" i="27"/>
  <c r="E43" i="27"/>
  <c r="D59" i="27"/>
  <c r="D66" i="27" l="1"/>
  <c r="D38" i="17"/>
  <c r="E46" i="27"/>
  <c r="E65" i="27" s="1"/>
  <c r="E68" i="27" s="1"/>
  <c r="D24" i="17"/>
  <c r="D29" i="17" s="1"/>
  <c r="M117" i="36"/>
  <c r="M134" i="36" s="1"/>
  <c r="F31" i="27"/>
  <c r="F40" i="27" s="1"/>
  <c r="V77" i="37"/>
  <c r="O133" i="36" s="1"/>
  <c r="D72" i="27"/>
  <c r="D75" i="27" s="1"/>
  <c r="E46" i="29"/>
  <c r="D73" i="27"/>
  <c r="D91" i="1" s="1"/>
  <c r="D70" i="27"/>
  <c r="E38" i="17" l="1"/>
  <c r="F45" i="27"/>
  <c r="E66" i="27"/>
  <c r="D64" i="17"/>
  <c r="D71" i="17" s="1"/>
  <c r="D77" i="27"/>
  <c r="D31" i="17"/>
  <c r="E96" i="4"/>
  <c r="D54" i="1"/>
  <c r="D41" i="1"/>
  <c r="D38" i="1"/>
  <c r="D50" i="1"/>
  <c r="D48" i="1"/>
  <c r="D46" i="1"/>
  <c r="D49" i="1"/>
  <c r="D51" i="1"/>
  <c r="D47" i="1"/>
  <c r="D42" i="1"/>
  <c r="D40" i="1"/>
  <c r="D53" i="1"/>
  <c r="D55" i="1"/>
  <c r="D39" i="1"/>
  <c r="D43" i="1"/>
  <c r="D44" i="1"/>
  <c r="D45" i="1"/>
  <c r="D52" i="1"/>
  <c r="F43" i="27"/>
  <c r="F42" i="27"/>
  <c r="E72" i="27"/>
  <c r="E75" i="27" s="1"/>
  <c r="E73" i="27"/>
  <c r="E91" i="1" s="1"/>
  <c r="J40" i="1" s="1"/>
  <c r="F46" i="29"/>
  <c r="E70" i="27"/>
  <c r="E59" i="27"/>
  <c r="F46" i="27" l="1"/>
  <c r="F65" i="27" s="1"/>
  <c r="J45" i="1"/>
  <c r="J38" i="1"/>
  <c r="J55" i="1"/>
  <c r="J41" i="1"/>
  <c r="D56" i="1"/>
  <c r="E97" i="4"/>
  <c r="G31" i="27"/>
  <c r="G40" i="27" s="1"/>
  <c r="W77" i="37"/>
  <c r="P133" i="36" s="1"/>
  <c r="E42" i="1"/>
  <c r="E44" i="1"/>
  <c r="E55" i="1"/>
  <c r="E43" i="1"/>
  <c r="E48" i="1"/>
  <c r="E41" i="1"/>
  <c r="E50" i="1"/>
  <c r="E38" i="1"/>
  <c r="E49" i="1"/>
  <c r="E46" i="1"/>
  <c r="E47" i="1"/>
  <c r="E54" i="1"/>
  <c r="E45" i="1"/>
  <c r="E53" i="1"/>
  <c r="E51" i="1"/>
  <c r="E39" i="1"/>
  <c r="E40" i="1"/>
  <c r="E52" i="1"/>
  <c r="J47" i="1"/>
  <c r="J43" i="1"/>
  <c r="J44" i="1"/>
  <c r="J46" i="1"/>
  <c r="D40" i="17"/>
  <c r="D32" i="17"/>
  <c r="D33" i="17" s="1"/>
  <c r="D34" i="17" s="1"/>
  <c r="E24" i="17"/>
  <c r="E29" i="17" s="1"/>
  <c r="N117" i="36"/>
  <c r="N134" i="36" s="1"/>
  <c r="E64" i="17"/>
  <c r="E71" i="17" s="1"/>
  <c r="I71" i="17" s="1"/>
  <c r="E77" i="27"/>
  <c r="J53" i="1"/>
  <c r="J51" i="1"/>
  <c r="J54" i="1"/>
  <c r="J39" i="1"/>
  <c r="J49" i="1"/>
  <c r="J50" i="1"/>
  <c r="J42" i="1"/>
  <c r="J48" i="1"/>
  <c r="J52" i="1"/>
  <c r="G45" i="27" l="1"/>
  <c r="F59" i="27"/>
  <c r="J56" i="1"/>
  <c r="D66" i="17"/>
  <c r="D67" i="17" s="1"/>
  <c r="D68" i="17" s="1"/>
  <c r="D70" i="17" s="1"/>
  <c r="D44" i="17"/>
  <c r="G42" i="27"/>
  <c r="G43" i="27"/>
  <c r="F96" i="4"/>
  <c r="E31" i="17"/>
  <c r="F68" i="27"/>
  <c r="F38" i="17"/>
  <c r="F66" i="27"/>
  <c r="E56" i="1"/>
  <c r="G46" i="27" l="1"/>
  <c r="G65" i="27" s="1"/>
  <c r="F24" i="17"/>
  <c r="F29" i="17" s="1"/>
  <c r="O117" i="36"/>
  <c r="O134" i="36" s="1"/>
  <c r="H31" i="27"/>
  <c r="H40" i="27" s="1"/>
  <c r="X77" i="37"/>
  <c r="Q133" i="36" s="1"/>
  <c r="D85" i="17"/>
  <c r="E32" i="17"/>
  <c r="E33" i="17" s="1"/>
  <c r="E40" i="17"/>
  <c r="G46" i="29"/>
  <c r="F73" i="27"/>
  <c r="F91" i="1" s="1"/>
  <c r="F72" i="27"/>
  <c r="F75" i="27" s="1"/>
  <c r="F70" i="27"/>
  <c r="F106" i="4"/>
  <c r="F107" i="4" s="1"/>
  <c r="F97" i="4"/>
  <c r="D83" i="17"/>
  <c r="Y77" i="37"/>
  <c r="R133" i="36" s="1"/>
  <c r="G59" i="27" l="1"/>
  <c r="H45" i="27"/>
  <c r="E34" i="17"/>
  <c r="G66" i="27"/>
  <c r="G38" i="17"/>
  <c r="G68" i="27"/>
  <c r="F64" i="17"/>
  <c r="F71" i="17" s="1"/>
  <c r="F77" i="27"/>
  <c r="F31" i="17"/>
  <c r="G96" i="4"/>
  <c r="F55" i="1"/>
  <c r="F45" i="1"/>
  <c r="F40" i="1"/>
  <c r="F44" i="1"/>
  <c r="F39" i="1"/>
  <c r="F52" i="1"/>
  <c r="F54" i="1"/>
  <c r="F38" i="1"/>
  <c r="F46" i="1"/>
  <c r="F51" i="1"/>
  <c r="F49" i="1"/>
  <c r="F43" i="1"/>
  <c r="F41" i="1"/>
  <c r="F48" i="1"/>
  <c r="F42" i="1"/>
  <c r="F50" i="1"/>
  <c r="F53" i="1"/>
  <c r="F47" i="1"/>
  <c r="E44" i="17"/>
  <c r="E66" i="17"/>
  <c r="E67" i="17" s="1"/>
  <c r="E68" i="17" s="1"/>
  <c r="E70" i="17" s="1"/>
  <c r="D84" i="1"/>
  <c r="E68" i="29"/>
  <c r="E69" i="29" s="1"/>
  <c r="E66" i="29"/>
  <c r="D87" i="17"/>
  <c r="H42" i="27"/>
  <c r="H43" i="27"/>
  <c r="H46" i="27" l="1"/>
  <c r="H59" i="27" s="1"/>
  <c r="F56" i="1"/>
  <c r="G106" i="4"/>
  <c r="G107" i="4" s="1"/>
  <c r="G97" i="4"/>
  <c r="G72" i="27"/>
  <c r="G75" i="27" s="1"/>
  <c r="H46" i="29"/>
  <c r="G70" i="27"/>
  <c r="G73" i="27"/>
  <c r="G91" i="1" s="1"/>
  <c r="D85" i="1"/>
  <c r="F40" i="17"/>
  <c r="F32" i="17"/>
  <c r="F33" i="17" s="1"/>
  <c r="G24" i="17"/>
  <c r="G29" i="17" s="1"/>
  <c r="P117" i="36"/>
  <c r="P134" i="36" s="1"/>
  <c r="E67" i="29"/>
  <c r="E70" i="29" s="1"/>
  <c r="E49" i="29"/>
  <c r="D30" i="1"/>
  <c r="E85" i="17"/>
  <c r="I70" i="17"/>
  <c r="E83" i="17"/>
  <c r="I44" i="17"/>
  <c r="Z77" i="37"/>
  <c r="S133" i="36" s="1"/>
  <c r="H65" i="27" l="1"/>
  <c r="H38" i="17" s="1"/>
  <c r="F34" i="17"/>
  <c r="F44" i="17"/>
  <c r="F66" i="17"/>
  <c r="F67" i="17" s="1"/>
  <c r="F68" i="17" s="1"/>
  <c r="F70" i="17" s="1"/>
  <c r="D57" i="1"/>
  <c r="G77" i="27"/>
  <c r="G64" i="17"/>
  <c r="G71" i="17" s="1"/>
  <c r="F68" i="29"/>
  <c r="F69" i="29" s="1"/>
  <c r="E84" i="1"/>
  <c r="I85" i="17"/>
  <c r="G42" i="1"/>
  <c r="G52" i="1"/>
  <c r="G40" i="1"/>
  <c r="G55" i="1"/>
  <c r="G41" i="1"/>
  <c r="G49" i="1"/>
  <c r="G48" i="1"/>
  <c r="G50" i="1"/>
  <c r="G44" i="1"/>
  <c r="G54" i="1"/>
  <c r="G51" i="1"/>
  <c r="G43" i="1"/>
  <c r="G53" i="1"/>
  <c r="G46" i="1"/>
  <c r="G45" i="1"/>
  <c r="G39" i="1"/>
  <c r="G47" i="1"/>
  <c r="G38" i="1"/>
  <c r="F66" i="29"/>
  <c r="E87" i="17"/>
  <c r="I83" i="17"/>
  <c r="H96" i="4"/>
  <c r="G31" i="17"/>
  <c r="H66" i="27" l="1"/>
  <c r="H68" i="27"/>
  <c r="H73" i="27" s="1"/>
  <c r="H91" i="1" s="1"/>
  <c r="F83" i="17"/>
  <c r="Q117" i="36"/>
  <c r="Q134" i="36" s="1"/>
  <c r="H24" i="17"/>
  <c r="H29" i="17" s="1"/>
  <c r="G32" i="17"/>
  <c r="G33" i="17" s="1"/>
  <c r="G40" i="17"/>
  <c r="E85" i="1"/>
  <c r="I87" i="17"/>
  <c r="G56" i="1"/>
  <c r="E30" i="1"/>
  <c r="E57" i="1"/>
  <c r="J84" i="1"/>
  <c r="J30" i="1"/>
  <c r="H106" i="4"/>
  <c r="H107" i="4" s="1"/>
  <c r="H97" i="4"/>
  <c r="F49" i="29"/>
  <c r="F50" i="29" s="1"/>
  <c r="F52" i="29" s="1"/>
  <c r="F62" i="29" s="1"/>
  <c r="F67" i="29"/>
  <c r="F70" i="29" s="1"/>
  <c r="F85" i="17"/>
  <c r="AA77" i="37"/>
  <c r="T133" i="36" s="1"/>
  <c r="R117" i="36"/>
  <c r="R134" i="36" s="1"/>
  <c r="I46" i="29" l="1"/>
  <c r="H70" i="27"/>
  <c r="H72" i="27"/>
  <c r="H75" i="27" s="1"/>
  <c r="G34" i="17"/>
  <c r="G68" i="29"/>
  <c r="G69" i="29" s="1"/>
  <c r="F84" i="1"/>
  <c r="G44" i="17"/>
  <c r="G66" i="17"/>
  <c r="G67" i="17" s="1"/>
  <c r="G68" i="17" s="1"/>
  <c r="G70" i="17" s="1"/>
  <c r="K38" i="1"/>
  <c r="H43" i="1"/>
  <c r="H39" i="1"/>
  <c r="H53" i="1"/>
  <c r="H41" i="1"/>
  <c r="H49" i="1"/>
  <c r="H38" i="1"/>
  <c r="H42" i="1"/>
  <c r="H55" i="1"/>
  <c r="H52" i="1"/>
  <c r="H45" i="1"/>
  <c r="H51" i="1"/>
  <c r="H54" i="1"/>
  <c r="H46" i="1"/>
  <c r="H48" i="1"/>
  <c r="H50" i="1"/>
  <c r="H40" i="1"/>
  <c r="H47" i="1"/>
  <c r="H44" i="1"/>
  <c r="K50" i="1"/>
  <c r="K51" i="1"/>
  <c r="K55" i="1"/>
  <c r="K54" i="1"/>
  <c r="K43" i="1"/>
  <c r="K42" i="1"/>
  <c r="K44" i="1"/>
  <c r="K53" i="1"/>
  <c r="K48" i="1"/>
  <c r="K52" i="1"/>
  <c r="K46" i="1"/>
  <c r="K41" i="1"/>
  <c r="K39" i="1"/>
  <c r="K40" i="1"/>
  <c r="K47" i="1"/>
  <c r="K45" i="1"/>
  <c r="K49" i="1"/>
  <c r="E86" i="1"/>
  <c r="F64" i="29"/>
  <c r="E87" i="1" s="1"/>
  <c r="H77" i="27"/>
  <c r="H64" i="17"/>
  <c r="H71" i="17" s="1"/>
  <c r="J71" i="17" s="1"/>
  <c r="J57" i="1"/>
  <c r="J85" i="1"/>
  <c r="H31" i="17"/>
  <c r="I96" i="4"/>
  <c r="G66" i="29"/>
  <c r="F87" i="17"/>
  <c r="H32" i="17" l="1"/>
  <c r="H33" i="17" s="1"/>
  <c r="H34" i="17" s="1"/>
  <c r="H40" i="17"/>
  <c r="K56" i="1"/>
  <c r="F30" i="1"/>
  <c r="E31" i="1"/>
  <c r="E58" i="1"/>
  <c r="E59" i="1" s="1"/>
  <c r="E88" i="1"/>
  <c r="G85" i="17"/>
  <c r="F85" i="1"/>
  <c r="F57" i="1" s="1"/>
  <c r="H56" i="1"/>
  <c r="G83" i="17"/>
  <c r="G67" i="29"/>
  <c r="G70" i="29" s="1"/>
  <c r="G49" i="29"/>
  <c r="G50" i="29" s="1"/>
  <c r="G52" i="29" s="1"/>
  <c r="G62" i="29" s="1"/>
  <c r="I106" i="4"/>
  <c r="I107" i="4" s="1"/>
  <c r="I97" i="4"/>
  <c r="AB77" i="37"/>
  <c r="U133" i="36" s="1"/>
  <c r="S117" i="36"/>
  <c r="S134" i="36" s="1"/>
  <c r="E32" i="1" l="1"/>
  <c r="F86" i="1"/>
  <c r="G64" i="29"/>
  <c r="F87" i="1" s="1"/>
  <c r="H66" i="29"/>
  <c r="G87" i="17"/>
  <c r="H66" i="17"/>
  <c r="H67" i="17" s="1"/>
  <c r="H68" i="17" s="1"/>
  <c r="H70" i="17" s="1"/>
  <c r="H44" i="17"/>
  <c r="G84" i="1"/>
  <c r="H68" i="29"/>
  <c r="H69" i="29" s="1"/>
  <c r="F88" i="1" l="1"/>
  <c r="H49" i="29"/>
  <c r="H50" i="29" s="1"/>
  <c r="H52" i="29" s="1"/>
  <c r="H62" i="29" s="1"/>
  <c r="H67" i="29"/>
  <c r="H70" i="29" s="1"/>
  <c r="G30" i="1"/>
  <c r="H83" i="17"/>
  <c r="J44" i="17"/>
  <c r="H85" i="17"/>
  <c r="J70" i="17"/>
  <c r="G85" i="1"/>
  <c r="G57" i="1" s="1"/>
  <c r="F31" i="1"/>
  <c r="F58" i="1"/>
  <c r="F59" i="1" s="1"/>
  <c r="T117" i="36"/>
  <c r="T134" i="36" s="1"/>
  <c r="AC77" i="37"/>
  <c r="V133" i="36" s="1"/>
  <c r="F32" i="1" l="1"/>
  <c r="I66" i="29"/>
  <c r="H87" i="17"/>
  <c r="J83" i="17"/>
  <c r="H84" i="1"/>
  <c r="I68" i="29"/>
  <c r="I69" i="29" s="1"/>
  <c r="J85" i="17"/>
  <c r="H64" i="29"/>
  <c r="G87" i="1" s="1"/>
  <c r="G86" i="1"/>
  <c r="G88" i="1" l="1"/>
  <c r="H85" i="1"/>
  <c r="K85" i="1" s="1"/>
  <c r="J87" i="17"/>
  <c r="I49" i="29"/>
  <c r="I50" i="29" s="1"/>
  <c r="I52" i="29" s="1"/>
  <c r="I62" i="29" s="1"/>
  <c r="I67" i="29"/>
  <c r="I70" i="29" s="1"/>
  <c r="G31" i="1"/>
  <c r="G58" i="1"/>
  <c r="G59" i="1" s="1"/>
  <c r="H30" i="1"/>
  <c r="K84" i="1"/>
  <c r="K30" i="1"/>
  <c r="U117" i="36"/>
  <c r="U134" i="36" s="1"/>
  <c r="G32" i="1" l="1"/>
  <c r="K57" i="1"/>
  <c r="H57" i="1"/>
  <c r="H86" i="1"/>
  <c r="I64" i="29"/>
  <c r="H87" i="1" s="1"/>
  <c r="H31" i="1" l="1"/>
  <c r="H58" i="1"/>
  <c r="H59" i="1" s="1"/>
  <c r="H88" i="1"/>
  <c r="V117" i="36"/>
  <c r="V134" i="36" s="1"/>
  <c r="H32" i="1" l="1"/>
  <c r="E33" i="29" l="1"/>
  <c r="E36" i="29" s="1"/>
  <c r="E102" i="4"/>
  <c r="E40" i="29"/>
  <c r="E60" i="29" s="1"/>
  <c r="E48" i="29"/>
  <c r="E50" i="29" s="1"/>
  <c r="E52" i="29" s="1"/>
  <c r="E62" i="29" s="1"/>
  <c r="D86" i="1" s="1"/>
  <c r="E64" i="29" l="1"/>
  <c r="D87" i="1" s="1"/>
  <c r="D58" i="1" s="1"/>
  <c r="D59" i="1" s="1"/>
  <c r="J86" i="1"/>
  <c r="J31" i="1"/>
  <c r="D31" i="1"/>
  <c r="K31" i="1"/>
  <c r="K86" i="1"/>
  <c r="D88" i="1"/>
  <c r="E103" i="4"/>
  <c r="E106" i="4"/>
  <c r="E107" i="4" s="1"/>
  <c r="K58" i="1" l="1"/>
  <c r="K59" i="1" s="1"/>
  <c r="D32" i="1"/>
  <c r="J32" i="1"/>
  <c r="K32" i="1"/>
  <c r="K87" i="1"/>
  <c r="K88" i="1" s="1"/>
  <c r="J58" i="1"/>
  <c r="J59" i="1" s="1"/>
  <c r="J87" i="1"/>
  <c r="J8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<sst xmlns="http://schemas.openxmlformats.org/spreadsheetml/2006/main" count="2416" uniqueCount="1135">
  <si>
    <t>Regulatory Financial Performance Report</t>
  </si>
  <si>
    <t xml:space="preserve">                           </t>
  </si>
  <si>
    <t>RIIO-2 start date (enter 2022 for 2021-22)</t>
  </si>
  <si>
    <t>Licensee</t>
  </si>
  <si>
    <t>Cadent-NW</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</si>
  <si>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</si>
  <si>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</si>
  <si>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</si>
  <si>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</si>
  <si>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</si>
  <si>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</si>
  <si>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</si>
  <si>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</si>
  <si>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</si>
  <si>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</si>
  <si>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</si>
  <si>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</si>
  <si>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</si>
  <si>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</si>
  <si>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</si>
  <si>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</si>
  <si>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</si>
  <si>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</si>
  <si>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</si>
  <si>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</si>
  <si>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</si>
  <si>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</si>
  <si>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</si>
  <si>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Deadband threshold for materiality checks for use in R8a (Rows 44-93)</t>
  </si>
  <si>
    <t>ESO</t>
  </si>
  <si>
    <t>Deadband threshold for use in R8a (Row 95)</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</si>
  <si>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</si>
  <si>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</si>
  <si>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</si>
  <si>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</si>
  <si>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</si>
  <si>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</si>
  <si>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</si>
  <si>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</si>
  <si>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</si>
  <si>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</si>
  <si>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</si>
  <si>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</si>
  <si>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</si>
  <si>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</si>
  <si>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</si>
  <si>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</si>
  <si>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</si>
  <si>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</si>
  <si>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</si>
  <si>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</si>
  <si>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</si>
  <si>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</si>
  <si>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</si>
  <si>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</si>
  <si>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</si>
  <si>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</si>
  <si>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</si>
  <si>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</si>
  <si>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</si>
  <si>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</si>
  <si>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</si>
  <si>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</si>
  <si>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</si>
  <si>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</si>
  <si>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</si>
  <si>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</si>
  <si>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</si>
  <si>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</si>
  <si>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</si>
  <si>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</si>
  <si>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</si>
  <si>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</si>
  <si>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</si>
  <si>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</si>
  <si>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</si>
  <si>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</si>
  <si>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</si>
  <si>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Cadent-EOE</t>
  </si>
  <si>
    <t>Cadent-London</t>
  </si>
  <si>
    <t>Cadent-WM</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</si>
  <si>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</si>
  <si>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</si>
  <si>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</si>
  <si>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</si>
  <si>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</si>
  <si>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</si>
  <si>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</si>
  <si>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</si>
  <si>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</si>
  <si>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</si>
  <si>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</si>
  <si>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</si>
  <si>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</si>
  <si>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</si>
  <si>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</si>
  <si>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</si>
  <si>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</si>
  <si>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 - (SpC 4.2)</t>
  </si>
  <si>
    <t>Complaints metric ODI - (SpC 4.3)</t>
  </si>
  <si>
    <t>Unplanned Interruption Mean Duration ODI [NGN, SGN and WWU] - (SpC 4.5)</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</si>
  <si>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</si>
  <si>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</si>
  <si>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</si>
  <si>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</si>
  <si>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</si>
  <si>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</si>
  <si>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</si>
  <si>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</si>
  <si>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</si>
  <si>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</si>
  <si>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</si>
  <si>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</si>
  <si>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</si>
  <si>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</si>
  <si>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</si>
  <si>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</si>
  <si>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</si>
  <si>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</si>
  <si>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</si>
  <si>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</si>
  <si>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</si>
  <si>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</si>
  <si>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</si>
  <si>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</si>
  <si>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</si>
  <si>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</si>
  <si>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</si>
  <si>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</si>
  <si>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</si>
  <si>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</si>
  <si>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</si>
  <si>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</si>
  <si>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</si>
  <si>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</si>
  <si>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</si>
  <si>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</si>
  <si>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</si>
  <si>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</si>
  <si>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</si>
  <si>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</si>
  <si>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</si>
  <si>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</si>
  <si>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</si>
  <si>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</si>
  <si>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</si>
  <si>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</si>
  <si>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</si>
  <si>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</si>
  <si>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</si>
  <si>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</si>
  <si>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</si>
  <si>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</si>
  <si>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</si>
  <si>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</si>
  <si>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</si>
  <si>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</si>
  <si>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</si>
  <si>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</si>
  <si>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</si>
  <si>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</si>
  <si>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</si>
  <si>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</si>
  <si>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</si>
  <si>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</si>
  <si>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</si>
  <si>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</si>
  <si>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</si>
  <si>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</si>
  <si>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</si>
  <si>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</si>
  <si>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</si>
  <si>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</si>
  <si>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</si>
  <si>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</si>
  <si>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</si>
  <si>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</si>
  <si>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</si>
  <si>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</si>
  <si>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</si>
  <si>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</si>
  <si>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</si>
  <si>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</si>
  <si>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</si>
  <si>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</si>
  <si>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</si>
  <si>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</si>
  <si>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</si>
  <si>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</si>
  <si>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</si>
  <si>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</si>
  <si>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</si>
  <si>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</si>
  <si>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</si>
  <si>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</si>
  <si>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</si>
  <si>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</si>
  <si>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</si>
  <si>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</si>
  <si>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</si>
  <si>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</si>
  <si>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</si>
  <si>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</si>
  <si>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</si>
  <si>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</si>
  <si>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</si>
  <si>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</si>
  <si>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</si>
  <si>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</si>
  <si>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</si>
  <si>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</si>
  <si>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</si>
  <si>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</si>
  <si>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</si>
  <si>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</si>
  <si>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</si>
  <si>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</si>
  <si>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</si>
  <si>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</si>
  <si>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</si>
  <si>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</si>
  <si>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WPD EMID</t>
  </si>
  <si>
    <t>WPD SWALES</t>
  </si>
  <si>
    <t>WPD SWEST</t>
  </si>
  <si>
    <t>WPD WMID</t>
  </si>
  <si>
    <t>Example</t>
  </si>
  <si>
    <t>Only data validation options to be input above this line</t>
  </si>
  <si>
    <t>Deadband levels for Tax Reconciliation materiality check</t>
  </si>
  <si>
    <t>Table1</t>
  </si>
  <si>
    <t>Deadband values from PCFM - for information purposes (18/19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</si>
  <si>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</si>
  <si>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</si>
  <si>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</si>
  <si>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</si>
  <si>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</si>
  <si>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</si>
  <si>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</si>
  <si>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</si>
  <si>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</si>
  <si>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</si>
  <si>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</si>
  <si>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</si>
  <si>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</si>
  <si>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</si>
  <si>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</si>
  <si>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</si>
  <si>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</si>
  <si>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</si>
  <si>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</si>
  <si>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</si>
  <si>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</si>
  <si>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</si>
  <si>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</si>
  <si>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</si>
  <si>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</si>
  <si>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</si>
  <si>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</si>
  <si>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</si>
  <si>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</si>
  <si>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</si>
  <si>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</si>
  <si>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</si>
  <si>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</si>
  <si>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</si>
  <si>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</si>
  <si>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</si>
  <si>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</si>
  <si>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</si>
  <si>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</si>
  <si>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</si>
  <si>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</si>
  <si>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</si>
  <si>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</si>
  <si>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</si>
  <si>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</si>
  <si>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</si>
  <si>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</si>
  <si>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</si>
  <si>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</si>
  <si>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</si>
  <si>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</si>
  <si>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</si>
  <si>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</si>
  <si>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</si>
  <si>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</si>
  <si>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</si>
  <si>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</si>
  <si>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</si>
  <si>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</si>
  <si>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</si>
  <si>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</si>
  <si>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</si>
  <si>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</si>
  <si>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</si>
  <si>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</si>
  <si>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</si>
  <si>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</si>
  <si>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</si>
  <si>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</si>
  <si>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</si>
  <si>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</si>
  <si>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</si>
  <si>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</si>
  <si>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</si>
  <si>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</si>
  <si>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</si>
  <si>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</si>
  <si>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</si>
  <si>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</si>
  <si>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</si>
  <si>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</si>
  <si>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</si>
  <si>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</si>
  <si>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</si>
  <si>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</si>
  <si>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</si>
  <si>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</si>
  <si>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</si>
  <si>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</si>
  <si>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</si>
  <si>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</si>
  <si>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</si>
  <si>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</si>
  <si>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</si>
  <si>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</si>
  <si>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</si>
  <si>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</si>
  <si>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</si>
  <si>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</si>
  <si>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</si>
  <si>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</si>
  <si>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</si>
  <si>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</si>
  <si>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</si>
  <si>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</si>
  <si>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</si>
  <si>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</si>
  <si>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</si>
  <si>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</si>
  <si>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</si>
  <si>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</si>
  <si>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</si>
  <si>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</si>
  <si>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</si>
  <si>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</si>
  <si>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</si>
  <si>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</si>
  <si>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</si>
  <si>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</si>
  <si>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</si>
  <si>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</si>
  <si>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</si>
  <si>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</si>
  <si>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</si>
  <si>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</si>
  <si>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</si>
  <si>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</si>
  <si>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</si>
  <si>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</si>
  <si>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</si>
  <si>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</si>
  <si>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</si>
  <si>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</si>
  <si>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</si>
  <si>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</si>
  <si>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</si>
  <si>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</si>
  <si>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</si>
  <si>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</si>
  <si>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</si>
  <si>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V2.1</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</si>
  <si>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</si>
  <si>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</si>
  <si>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</si>
  <si>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</si>
  <si>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</si>
  <si>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</si>
  <si>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</si>
  <si>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</si>
  <si>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</si>
  <si>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 xml:space="preserve">unprotected sheet </t>
  </si>
  <si>
    <t>R8a - Cell G16</t>
  </si>
  <si>
    <t>modified the label to correct PCFM reference for ESO</t>
  </si>
  <si>
    <t>Ofgem, ESO</t>
  </si>
  <si>
    <t>corrected error in calculation - modified the formula to exclude H90 (Profits used to offset outstanding losses - excluded from Corporation Tax)</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</si>
  <si>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</si>
  <si>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</si>
  <si>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</si>
  <si>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</si>
  <si>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</si>
  <si>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</si>
  <si>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</si>
  <si>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</si>
  <si>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</si>
  <si>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</si>
  <si>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</si>
  <si>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</si>
  <si>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</si>
  <si>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</si>
  <si>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</si>
  <si>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</si>
  <si>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</si>
  <si>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</si>
  <si>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</si>
  <si>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</si>
  <si>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</si>
  <si>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</si>
  <si>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</si>
  <si>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</si>
  <si>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</si>
  <si>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</si>
  <si>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</si>
  <si>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</si>
  <si>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</si>
  <si>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</si>
  <si>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</si>
  <si>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</si>
  <si>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</si>
  <si>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</si>
  <si>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</si>
  <si>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</si>
  <si>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</si>
  <si>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</si>
  <si>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</si>
  <si>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</si>
  <si>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</si>
  <si>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</si>
  <si>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</si>
  <si>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</si>
  <si>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</si>
  <si>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</si>
  <si>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</si>
  <si>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</si>
  <si>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</si>
  <si>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</si>
  <si>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</si>
  <si>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</si>
  <si>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</si>
  <si>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</si>
  <si>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</si>
  <si>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</si>
  <si>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</si>
  <si>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</si>
  <si>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</si>
  <si>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</si>
  <si>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</si>
  <si>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</si>
  <si>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</si>
  <si>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</si>
  <si>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</si>
  <si>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</si>
  <si>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</si>
  <si>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</si>
  <si>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</si>
  <si>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</si>
  <si>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</si>
  <si>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</si>
  <si>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</si>
  <si>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</si>
  <si>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</si>
  <si>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</si>
  <si>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</si>
  <si>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</si>
  <si>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</si>
  <si>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</si>
  <si>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</si>
  <si>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 xml:space="preserve">can this be linked to row 135 on R3 </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</si>
  <si>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</si>
  <si>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</si>
  <si>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</si>
  <si>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</si>
  <si>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</si>
  <si>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</si>
  <si>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</si>
  <si>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</si>
  <si>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</si>
  <si>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</si>
  <si>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</si>
  <si>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</si>
  <si>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</si>
  <si>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</si>
  <si>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</si>
  <si>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</si>
  <si>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</si>
  <si>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</si>
  <si>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</si>
  <si>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</si>
  <si>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</si>
  <si>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</si>
  <si>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</si>
  <si>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</si>
  <si>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</si>
  <si>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</si>
  <si>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</si>
  <si>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</si>
  <si>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</si>
  <si>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</si>
  <si>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</si>
  <si>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</si>
  <si>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</si>
  <si>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</si>
  <si>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</si>
  <si>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</si>
  <si>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</si>
  <si>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</si>
  <si>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</si>
  <si>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</si>
  <si>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</si>
  <si>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</si>
  <si>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</si>
  <si>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</si>
  <si>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</si>
  <si>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</si>
  <si>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</si>
  <si>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</si>
  <si>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</si>
  <si>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</si>
  <si>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</si>
  <si>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</si>
  <si>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</si>
  <si>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</si>
  <si>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</si>
  <si>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</si>
  <si>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</si>
  <si>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</si>
  <si>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</si>
  <si>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</si>
  <si>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</si>
  <si>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</si>
  <si>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</si>
  <si>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</si>
  <si>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</si>
  <si>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</si>
  <si>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</si>
  <si>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</si>
  <si>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</si>
  <si>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</si>
  <si>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</si>
  <si>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</si>
  <si>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</si>
  <si>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</si>
  <si>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</si>
  <si>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</si>
  <si>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</si>
  <si>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</si>
  <si>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</si>
  <si>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</si>
  <si>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</si>
  <si>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</si>
  <si>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Network Innovation Allowance</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</si>
  <si>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</si>
  <si>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</si>
  <si>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</si>
  <si>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</si>
  <si>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</si>
  <si>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</si>
  <si>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</si>
  <si>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</si>
  <si>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</si>
  <si>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</si>
  <si>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</si>
  <si>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</si>
  <si>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</si>
  <si>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</si>
  <si>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</si>
  <si>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</si>
  <si>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</si>
  <si>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</si>
  <si>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</si>
  <si>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</si>
  <si>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</si>
  <si>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</si>
  <si>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</si>
  <si>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</si>
  <si>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</si>
  <si>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</si>
  <si>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</si>
  <si>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</si>
  <si>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</si>
  <si>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</si>
  <si>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</si>
  <si>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</si>
  <si>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</si>
  <si>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</si>
  <si>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</si>
  <si>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</si>
  <si>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</si>
  <si>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</si>
  <si>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</si>
  <si>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</si>
  <si>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</si>
  <si>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</si>
  <si>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</si>
  <si>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</si>
  <si>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</si>
  <si>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</si>
  <si>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</si>
  <si>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</si>
  <si>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</si>
  <si>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</si>
  <si>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</si>
  <si>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</si>
  <si>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</si>
  <si>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</si>
  <si>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</si>
  <si>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</si>
  <si>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</si>
  <si>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</si>
  <si>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</si>
  <si>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</si>
  <si>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</si>
  <si>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</si>
  <si>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</si>
  <si>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</si>
  <si>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</si>
  <si>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</si>
  <si>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</si>
  <si>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</si>
  <si>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</si>
  <si>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</si>
  <si>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</si>
  <si>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</si>
  <si>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</si>
  <si>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</si>
  <si>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</si>
  <si>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Other adjustments</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</si>
  <si>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</si>
  <si>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</si>
  <si>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</si>
  <si>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</si>
  <si>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</si>
  <si>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</si>
  <si>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</si>
  <si>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</si>
  <si>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</si>
  <si>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</si>
  <si>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</si>
  <si>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</si>
  <si>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</si>
  <si>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</si>
  <si>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</si>
  <si>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</si>
  <si>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</si>
  <si>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</si>
  <si>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</si>
  <si>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</si>
  <si>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</si>
  <si>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</si>
  <si>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</si>
  <si>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</si>
  <si>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</si>
  <si>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</si>
  <si>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Add back Debt Issuance expenses</t>
  </si>
  <si>
    <t>Costs of early redemption on long term debt (excluding exceptional costs of buy backs associated with M&amp;A activity)</t>
  </si>
  <si>
    <t>Add accrual for inflation accretion on index-linked swaps (if applicable)</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</si>
  <si>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</si>
  <si>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</si>
  <si>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</si>
  <si>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</si>
  <si>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</si>
  <si>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</si>
  <si>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</si>
  <si>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</si>
  <si>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</si>
  <si>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</si>
  <si>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</si>
  <si>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</si>
  <si>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</si>
  <si>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</si>
  <si>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</si>
  <si>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</si>
  <si>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</si>
  <si>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</si>
  <si>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</si>
  <si>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</si>
  <si>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</si>
  <si>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</si>
  <si>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</si>
  <si>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</si>
  <si>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</si>
  <si>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</si>
  <si>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</si>
  <si>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</si>
  <si>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</si>
  <si>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</si>
  <si>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</si>
  <si>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</si>
  <si>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</si>
  <si>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</si>
  <si>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</si>
  <si>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</si>
  <si>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</si>
  <si>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</si>
  <si>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</si>
  <si>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</si>
  <si>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</si>
  <si>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</si>
  <si>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</si>
  <si>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</si>
  <si>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</si>
  <si>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</si>
  <si>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</si>
  <si>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</si>
  <si>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7. [Insert adjustment as necessary]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</si>
  <si>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</si>
  <si>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</si>
  <si>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</si>
  <si>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</si>
  <si>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</si>
  <si>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</si>
  <si>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</si>
  <si>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</si>
  <si>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</si>
  <si>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</si>
  <si>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</si>
  <si>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</si>
  <si>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</si>
  <si>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</si>
  <si>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</si>
  <si>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</si>
  <si>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</si>
  <si>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</si>
  <si>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</si>
  <si>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</si>
  <si>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</si>
  <si>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</si>
  <si>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</si>
  <si>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</si>
  <si>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</si>
  <si>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</si>
  <si>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</si>
  <si>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</si>
  <si>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</si>
  <si>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</si>
  <si>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</si>
  <si>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</si>
  <si>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</si>
  <si>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</si>
  <si>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</si>
  <si>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</si>
  <si>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</si>
  <si>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</si>
  <si>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</si>
  <si>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</si>
  <si>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</si>
  <si>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</si>
  <si>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</si>
  <si>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</si>
  <si>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</si>
  <si>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</si>
  <si>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</si>
  <si>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</si>
  <si>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</si>
  <si>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</si>
  <si>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</si>
  <si>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</si>
  <si>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</si>
  <si>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</si>
  <si>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</si>
  <si>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</si>
  <si>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</si>
  <si>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</si>
  <si>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</si>
  <si>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</si>
  <si>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</si>
  <si>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</si>
  <si>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</si>
  <si>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</si>
  <si>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</si>
  <si>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</si>
  <si>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</si>
  <si>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</si>
  <si>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</si>
  <si>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</si>
  <si>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</si>
  <si>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</si>
  <si>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</si>
  <si>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</si>
  <si>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</si>
  <si>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</si>
  <si>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</si>
  <si>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</si>
  <si>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</si>
  <si>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</si>
  <si>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</si>
  <si>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</si>
  <si>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</si>
  <si>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</si>
  <si>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</si>
  <si>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</si>
  <si>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</si>
  <si>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</si>
  <si>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</si>
  <si>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</si>
  <si>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</si>
  <si>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</si>
  <si>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</si>
  <si>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</si>
  <si>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</si>
  <si>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</si>
  <si>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</si>
  <si>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</si>
  <si>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</si>
  <si>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</si>
  <si>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</si>
  <si>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</si>
  <si>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</si>
  <si>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</si>
  <si>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</si>
  <si>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</si>
  <si>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</si>
  <si>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</si>
  <si>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</si>
  <si>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</si>
  <si>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</si>
  <si>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</si>
  <si>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</si>
  <si>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</si>
  <si>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</si>
  <si>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</si>
  <si>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</si>
  <si>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</si>
  <si>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</si>
  <si>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</si>
  <si>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</si>
  <si>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</si>
  <si>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</si>
  <si>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</si>
  <si>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</si>
  <si>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</si>
  <si>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</si>
  <si>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</si>
  <si>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</si>
  <si>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</si>
  <si>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</si>
  <si>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</si>
  <si>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</si>
  <si>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</si>
  <si>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</si>
  <si>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</si>
  <si>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</si>
  <si>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</si>
  <si>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</si>
  <si>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</si>
  <si>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</si>
  <si>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</si>
  <si>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</si>
  <si>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</si>
  <si>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</si>
  <si>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</si>
  <si>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</si>
  <si>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</si>
  <si>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</si>
  <si>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</si>
  <si>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</si>
  <si>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</si>
  <si>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</si>
  <si>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</si>
  <si>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</si>
  <si>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</si>
  <si>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</si>
  <si>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</si>
  <si>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</si>
  <si>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</si>
  <si>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</si>
  <si>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</si>
  <si>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</si>
  <si>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</si>
  <si>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</si>
  <si>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</si>
  <si>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</si>
  <si>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</si>
  <si>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</si>
  <si>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</si>
  <si>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</si>
  <si>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</si>
  <si>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 xml:space="preserve">Non regulated activity - adjustments for non regulatory </t>
  </si>
  <si>
    <t xml:space="preserve"> - [insert rows as required]</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</si>
  <si>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</si>
  <si>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</si>
  <si>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</si>
  <si>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</si>
  <si>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</si>
  <si>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</si>
  <si>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</si>
  <si>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</si>
  <si>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</si>
  <si>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</si>
  <si>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</si>
  <si>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</si>
  <si>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</si>
  <si>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</si>
  <si>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</si>
  <si>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</si>
  <si>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</si>
  <si>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</si>
  <si>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</si>
  <si>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</si>
  <si>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</si>
  <si>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</si>
  <si>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</si>
  <si>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</si>
  <si>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</si>
  <si>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</si>
  <si>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</si>
  <si>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</si>
  <si>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</si>
  <si>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</si>
  <si>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</si>
  <si>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</si>
  <si>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</si>
  <si>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</si>
  <si>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</si>
  <si>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</si>
  <si>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</si>
  <si>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</si>
  <si>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</si>
  <si>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</si>
  <si>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</si>
  <si>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</si>
  <si>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 xml:space="preserve">Actual Corporation Tax Liability </t>
  </si>
  <si>
    <t>Calculated Tax Allowance</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</si>
  <si>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</si>
  <si>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</si>
  <si>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</si>
  <si>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</si>
  <si>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</si>
  <si>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</si>
  <si>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</si>
  <si>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</si>
  <si>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</si>
  <si>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</si>
  <si>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</si>
  <si>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</si>
  <si>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</si>
  <si>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</si>
  <si>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</si>
  <si>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</si>
  <si>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</si>
  <si>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</si>
  <si>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</si>
  <si>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</si>
  <si>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</si>
  <si>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</si>
  <si>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</si>
  <si>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</si>
  <si>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</si>
  <si>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</si>
  <si>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</si>
  <si>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</si>
  <si>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</si>
  <si>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</si>
  <si>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</si>
  <si>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</si>
  <si>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</si>
  <si>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</si>
  <si>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</si>
  <si>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</si>
  <si>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</si>
  <si>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</si>
  <si>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</si>
  <si>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</si>
  <si>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</si>
  <si>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</si>
  <si>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</si>
  <si>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</si>
  <si>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</si>
  <si>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</si>
  <si>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</si>
  <si>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</si>
  <si>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</si>
  <si>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</si>
  <si>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</si>
  <si>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</si>
  <si>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</si>
  <si>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</si>
  <si>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</si>
  <si>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</si>
  <si>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</si>
  <si>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</si>
  <si>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</si>
  <si>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</si>
  <si>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</si>
  <si>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</si>
  <si>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</si>
  <si>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</si>
  <si>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</si>
  <si>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</si>
  <si>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</si>
  <si>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</si>
  <si>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</si>
  <si>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</si>
  <si>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</si>
  <si>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</si>
  <si>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</si>
  <si>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</si>
  <si>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</si>
  <si>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</si>
  <si>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</si>
  <si>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</si>
  <si>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</si>
  <si>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</si>
  <si>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Monthly inflation rates and indices</t>
  </si>
  <si>
    <t>Month ending</t>
  </si>
  <si>
    <t>FYE</t>
  </si>
  <si>
    <t>CPIH Outturn</t>
  </si>
  <si>
    <t>RPI Outturn</t>
  </si>
  <si>
    <t>CPIH % forecast</t>
  </si>
  <si>
    <t>RPI % forecast</t>
  </si>
  <si>
    <t>Price Index</t>
  </si>
  <si>
    <t>Performance related Pay - STIP</t>
  </si>
  <si>
    <t>Adhoc Bonus</t>
  </si>
  <si>
    <t>LTIP</t>
  </si>
  <si>
    <t>6. Unamortised Fees</t>
  </si>
  <si>
    <t xml:space="preserve">V2.0 </t>
  </si>
  <si>
    <t>R5 - row 38</t>
  </si>
  <si>
    <t>Changed calculation to get cash balance specific for the network - this is done for all 4 Cadent networks as the cash balance populated relates to the whole company and therefore the formula doesn't correctly strip inflation unless this change is made</t>
  </si>
  <si>
    <t>R6 - row 59</t>
  </si>
  <si>
    <t>Adjusted formula to ensure it was picking up all adjustments to get back to statutory accounts</t>
  </si>
  <si>
    <t>R6a - row 65 - 78</t>
  </si>
  <si>
    <t>Unlock cells to allow text to be populated against adjustments</t>
  </si>
  <si>
    <t>28th September 2023</t>
  </si>
  <si>
    <t>21/22</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</si>
  <si>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</si>
  <si>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</si>
  <si>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</si>
  <si>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</si>
  <si>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</si>
  <si>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</si>
  <si>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</si>
  <si>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</si>
  <si>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</si>
  <si>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Rounding</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</si>
  <si>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</si>
  <si>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</si>
  <si>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</si>
  <si>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</si>
  <si>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</si>
  <si>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</si>
  <si>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</si>
  <si>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</si>
  <si>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</si>
  <si>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</si>
  <si>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</si>
  <si>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</si>
  <si>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</si>
  <si>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</si>
  <si>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</si>
  <si>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</si>
  <si>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Connections income</t>
  </si>
  <si>
    <t>IFRS 16 Additions</t>
  </si>
  <si>
    <t>NIA Optinet</t>
  </si>
  <si>
    <t>total capex expenditure relating to other networks</t>
  </si>
  <si>
    <t>Shrinkage</t>
  </si>
  <si>
    <t>Ofgem Licence</t>
  </si>
  <si>
    <t>Network Rates</t>
  </si>
  <si>
    <t>NTS exit costs</t>
  </si>
  <si>
    <t>Xoserve</t>
  </si>
  <si>
    <t>Network Innovation (ex IRM)</t>
  </si>
  <si>
    <t>Unfunded Network Innovation</t>
  </si>
  <si>
    <t>Adjusted regulated tax liability in respect of other 3 Networks</t>
  </si>
  <si>
    <t>Tax on finance costs not included within RIIO 2 definition</t>
  </si>
  <si>
    <t>Legacy allowed revenue</t>
  </si>
  <si>
    <t>Theft of gas and bad debts</t>
  </si>
  <si>
    <t>Provisions - cash basis</t>
  </si>
  <si>
    <t>£1,645.0m (-£1.5m, -£0.6m, +£1,647.1m) relates to differences shown in the PCFM table R2. -£11.4m relates to the timing difference between allowed Revenue revenues shown in cell AP16 of  table AR in PCFM and the calculated revenue in  in cell AP29</t>
  </si>
  <si>
    <t>The difference between the opex in the CT600 and the revenue pool in the PCFM is £736.2m 
Costs not in PCFM are;
other 3 Networks £721.5m, 
regulatory adjustments for excluded costs £23.6m
regulatory timing differences £1.7m,
regulatory transfer between opex and capex £0.2m
Adjustments increasing costs in the tax allowance are;
the IFRS 16 adj for lease payments £10.1m, 
and SoLR of £0.7m</t>
  </si>
  <si>
    <t>Comprises additional regulatory interest costs of £3.8m due to difference between interest of (£45.6m per R5)  interest in tax allowance of £49.4m (37.6+11.8) and amounts of £-270.8m identified on table R5 ; 
Amounts in R5 comprised amounts also adjusted in CT600 below
fair value adjustments on derivatives -£77.8m,
discount unwind £-0.3m, 
interest receivable relating to pension asset £9m
Other adjustments
amounts relating to other 3 Networks -£208.6m, 
interest income and costs not in regulatory interest £6.9m (13.8-4.5-0.3-2.1)</t>
  </si>
  <si>
    <t>Provisions of £-1m and bonus accruals of £1.6m</t>
  </si>
  <si>
    <t>There are different treatments for pensions between regulatory and statutory. These differences are shown in the comparison of Opex per the accounts and the revenue tax pools. There were timing adjustment of £+8.9m in respect of the incremental element of the established deficit payment and £-35.2m in respect of the pension scheme established deficit repair. (£-12.7m in respect of East and £-22.5m in respect of the other 3 Networks). Overall at the Cadent level the difference was £1.6m tax £0.3m</t>
  </si>
  <si>
    <t>Depreciation is excluded from both CT600 and tax allowance</t>
  </si>
  <si>
    <t>Amortisation is excluded from both CT600 and tax allowance</t>
  </si>
  <si>
    <t>£51.9m relates to other three Networks capital allowances. £14.4m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</si>
  <si>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See row 66 below</t>
  </si>
  <si>
    <t>Total adjustment with row 70 below is £15.8m re capital contributions in revenue. These are excluded from tax allowance as part of excluded services on table R2 £11.9m in respect of other 3 networks and £8.1m in East. £10.7m is offset against capex but for reg purposes £15.8m is offset against capex for all 4 Networks</t>
  </si>
  <si>
    <t>Taxable income adjusted for non-taxable capital contributions part of excluded services adjustment in tax allowance</t>
  </si>
  <si>
    <t>These costs are not included in the regulatory costs</t>
  </si>
  <si>
    <t>This was adjusted in the R2 table £25.6m other 3 Networks and £20.3m in respect of West Midlands. Excluded from taxable income in both the tax allowance and CT600</t>
  </si>
  <si>
    <t xml:space="preserve">For the IFRS accounts there is £7.3m of capital contributions amortisation which is not in the group accounts or the regulatory income. This is adjusted from taxable income in the adjustment on row 61. </t>
  </si>
  <si>
    <t xml:space="preserve">In the company FRS 102 accounts repex contributions received are not recognised in income as received but taken on balance sheet as a deferred creditor and amortised in the accounts. They are not offset against repex but instead the amortisation of the contributions in taxable income. For tax allowance the contributions are netted off repex as received. </t>
  </si>
  <si>
    <t>The adjustment to remove the impact of the IFRS 16 adjustments for depreciation is shown on table R3 so there is no difference between the tax allowance and the CT600</t>
  </si>
  <si>
    <t>All of the IFRS 16 adjustments in the group accounts are removed from the FRS 102 accounts. Depreciation and amortisation is excluded from that CT600 and the tax allowance.</t>
  </si>
  <si>
    <t>Taken together with the difference of £18.5m on the intangible fixed asset the total difference is £-73m. £-55m related to other 3 Networks capital allowances. The balance of the difference mainly relates to the impact of the super-deduction.</t>
  </si>
  <si>
    <t xml:space="preserve">£-53.5m related to other 3 Networks. £48.5m related to the super-deduction £3.8m relates to differences on the opening balances, £1m for Annual Investment Allowance. </t>
  </si>
  <si>
    <t>There is no pool for intangible assets it has been agreed that intangible fixed asset expenditure would be included in the general pool. Usually the difference between the dpreciation allowance and the capital allowance woud not be material but as detailed on page 16 of the accounts there was a restatement of software costs previously capitalised. This led to an additional intangible allowance in the tax return of £13m. The balance of the difference of £18.5m is included in the general pool explanation.</t>
  </si>
  <si>
    <t>This was identified as part of the difference above between the interest in the accounts and in the PCFM. It has been excluded from the CT600 and the tax allowance</t>
  </si>
  <si>
    <t>Relates to amortisation of a deemed gain on a loan transfer which took place in September 2016</t>
  </si>
  <si>
    <t>The difference between the interest in the accounts and taxable interest in the row below is only £0.4m</t>
  </si>
  <si>
    <t>See above</t>
  </si>
  <si>
    <t>£9m Pension interest was adjusted in the tax allowance as explained in cell L24 above</t>
  </si>
  <si>
    <t xml:space="preserve"> - Income adjustments (capital contributions - amortisation)</t>
  </si>
  <si>
    <t xml:space="preserve"> - Capital items expensed</t>
  </si>
  <si>
    <t xml:space="preserve"> - Income adjustments (capital contributions - non-qualifying)</t>
  </si>
  <si>
    <t xml:space="preserve"> - Cadent Foundation</t>
  </si>
  <si>
    <t xml:space="preserve"> - GAAP adjustment - IFRS 15  Revenue adjutment re capital contributions</t>
  </si>
  <si>
    <t xml:space="preserve"> - GAAP adjustment -  IFRS 15 and IFRIC 18 - adjustment to capital contributions amortisation</t>
  </si>
  <si>
    <t xml:space="preserve"> - GAAP adjustment - IFRS 15 Adjustment in opex re repex contributions amortisation</t>
  </si>
  <si>
    <t xml:space="preserve"> - GAAP adjustment - FRS 16 adjustment for lease payments</t>
  </si>
  <si>
    <t xml:space="preserve"> - GAAP adjustment - FRS 16 adjustment for depreciation</t>
  </si>
  <si>
    <t xml:space="preserve">  - GAAP adjustment - IFRS 16 Interest</t>
  </si>
  <si>
    <t xml:space="preserve"> - Rounding differences</t>
  </si>
  <si>
    <t xml:space="preserve"> - Income adjustments (Pension interest)</t>
  </si>
  <si>
    <t xml:space="preserve"> - Discount unwind</t>
  </si>
  <si>
    <t>Relates to the Tax trigger adjustment in respect of the super-deduction</t>
  </si>
  <si>
    <t>Steven Richard Fraser</t>
  </si>
  <si>
    <t>Anthony Oliver Bickerstaff</t>
  </si>
  <si>
    <t>Howard Neil Forster</t>
  </si>
  <si>
    <t>Other adjustment (Overwrite)</t>
  </si>
  <si>
    <t>Term Loan, Letter of Credit &amp; RCF Fees</t>
  </si>
  <si>
    <t>Debt Fees</t>
  </si>
  <si>
    <t>Derivatives not designated as hedges or ineligible for hedge accounting</t>
  </si>
  <si>
    <t>Other interest Expense</t>
  </si>
  <si>
    <t>RCF Interest</t>
  </si>
  <si>
    <t>Timing/ Calculation variance</t>
  </si>
  <si>
    <t>Fair Value Adjustment</t>
  </si>
  <si>
    <t>Other Interest Received on Deposits</t>
  </si>
  <si>
    <t>Less: Unwind of discount</t>
  </si>
  <si>
    <t>Less: Term Debt / Letter of Credit / RCF Fees</t>
  </si>
  <si>
    <t xml:space="preserve">losses/(gains) on derivative financial instruments </t>
  </si>
  <si>
    <t>Economic cost of changing capital structure in FY16/17</t>
  </si>
  <si>
    <t>Less finance costs relating to other three networks</t>
  </si>
  <si>
    <t>Other Adjustments [please specify]</t>
  </si>
  <si>
    <t>Less debt issuance costs relating to other three networks</t>
  </si>
  <si>
    <t>1. [Insert adjustment as necessary]</t>
  </si>
  <si>
    <t>2. [Insert adjustment as necessary]</t>
  </si>
  <si>
    <t>3. [Insert adjustment as necessary]</t>
  </si>
  <si>
    <t>4. [Insert adjustment as necessary]</t>
  </si>
  <si>
    <t>5. [Insert adjustment as necessary]</t>
  </si>
  <si>
    <t>6. [Insert adjustment as necessary]</t>
  </si>
  <si>
    <t>ILS accretion</t>
  </si>
  <si>
    <t>Finance leases</t>
  </si>
  <si>
    <t>Ultimate Sterling liability</t>
  </si>
  <si>
    <t>Net debt relating to other three networks</t>
  </si>
  <si>
    <t>11. [Insert adjustment as necessary]</t>
  </si>
  <si>
    <t>12. [Insert adjustment as necessary]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</si>
</sst>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3">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64" formatCode="yyyy/mm"/>
    <numFmt numFmtId="365" formatCode="0.0000"/>
  </numFmts>
  <fonts count="29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s>
  <fills count="14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366092"/>
        <bgColor indexed="64"/>
      </patternFill>
    </fill>
    <fill>
      <patternFill patternType="solid">
        <fgColor theme="0" tint="-0.34998626667073579"/>
        <bgColor indexed="64"/>
      </patternFill>
    </fill>
    <fill>
      <patternFill patternType="solid">
        <fgColor theme="2"/>
        <bgColor indexed="64"/>
      </patternFill>
    </fill>
    <fill>
      <patternFill patternType="mediumGray">
        <bgColor indexed="26"/>
      </patternFill>
    </fill>
  </fills>
  <borders count="20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s>
  <cellStyleXfs count="51707">
    <xf numFmtId="0" fontId="0" fillId="0" borderId="0"/>
    <xf numFmtId="164" fontId="8" fillId="0" borderId="0" applyFont="0" applyFill="0" applyBorder="0" applyAlignment="0" applyProtection="0"/>
    <xf numFmtId="164" fontId="10" fillId="0" borderId="0" applyFont="0" applyFill="0" applyBorder="0" applyAlignment="0" applyProtection="0"/>
    <xf numFmtId="0" fontId="10" fillId="0" borderId="0"/>
    <xf numFmtId="0" fontId="13" fillId="0" borderId="0"/>
    <xf numFmtId="0" fontId="10" fillId="0" borderId="0"/>
    <xf numFmtId="166"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67" fontId="8" fillId="3" borderId="6">
      <alignment vertical="center"/>
      <protection locked="0"/>
    </xf>
    <xf numFmtId="167"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67" fontId="8" fillId="3" borderId="6">
      <alignment vertical="center"/>
      <protection locked="0"/>
    </xf>
    <xf numFmtId="0" fontId="35" fillId="0" borderId="0" applyNumberFormat="0" applyFill="0" applyBorder="0" applyAlignment="0" applyProtection="0"/>
    <xf numFmtId="0" fontId="26" fillId="0" borderId="0"/>
    <xf numFmtId="168" fontId="38" fillId="48" borderId="0" applyBorder="0">
      <alignment vertical="center"/>
    </xf>
    <xf numFmtId="164" fontId="8" fillId="0" borderId="0" applyFont="0" applyFill="0" applyBorder="0" applyAlignment="0" applyProtection="0"/>
    <xf numFmtId="168"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lignment vertical="top"/>
    </xf>
    <xf numFmtId="180" fontId="10" fillId="0" borderId="0">
      <alignment vertical="top"/>
    </xf>
    <xf numFmtId="181" fontId="44" fillId="0" borderId="0"/>
    <xf numFmtId="182" fontId="10" fillId="0" borderId="0"/>
    <xf numFmtId="182" fontId="10" fillId="0" borderId="0"/>
    <xf numFmtId="182" fontId="10" fillId="0" borderId="0"/>
    <xf numFmtId="182" fontId="10" fillId="0" borderId="0"/>
    <xf numFmtId="182" fontId="10" fillId="0" borderId="0"/>
    <xf numFmtId="180" fontId="45" fillId="0" borderId="0"/>
    <xf numFmtId="181" fontId="44" fillId="0" borderId="0"/>
    <xf numFmtId="182" fontId="10" fillId="0" borderId="0"/>
    <xf numFmtId="182" fontId="10" fillId="0" borderId="0"/>
    <xf numFmtId="182" fontId="10" fillId="0" borderId="0"/>
    <xf numFmtId="182" fontId="10" fillId="0" borderId="0"/>
    <xf numFmtId="182" fontId="10" fillId="0" borderId="0"/>
    <xf numFmtId="183" fontId="46" fillId="0" borderId="0" applyFont="0" applyFill="0" applyBorder="0" applyAlignment="0" applyProtection="0">
      <protection locked="0"/>
    </xf>
    <xf numFmtId="184" fontId="45" fillId="0" borderId="0">
      <alignment horizontal="right"/>
    </xf>
    <xf numFmtId="185" fontId="45" fillId="46" borderId="0"/>
    <xf numFmtId="186" fontId="45" fillId="46" borderId="0"/>
    <xf numFmtId="187" fontId="45" fillId="46" borderId="0"/>
    <xf numFmtId="188" fontId="45" fillId="46" borderId="0">
      <alignment horizontal="right"/>
    </xf>
    <xf numFmtId="0" fontId="13" fillId="0" borderId="0"/>
    <xf numFmtId="174" fontId="13" fillId="0" borderId="0"/>
    <xf numFmtId="174"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9"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0" fontId="10" fillId="0" borderId="0"/>
    <xf numFmtId="0" fontId="10" fillId="0" borderId="0"/>
    <xf numFmtId="180" fontId="13" fillId="0" borderId="0"/>
    <xf numFmtId="180" fontId="10" fillId="0" borderId="0"/>
    <xf numFmtId="18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0" fontId="13" fillId="0" borderId="0"/>
    <xf numFmtId="0" fontId="10" fillId="0" borderId="0"/>
    <xf numFmtId="0" fontId="10" fillId="0" borderId="0"/>
    <xf numFmtId="0" fontId="10" fillId="0" borderId="0"/>
    <xf numFmtId="19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0" fontId="10" fillId="0" borderId="0" applyBorder="0"/>
    <xf numFmtId="180" fontId="47" fillId="0" borderId="0" applyNumberFormat="0" applyFont="0" applyFill="0" applyBorder="0" applyAlignment="0" applyProtection="0"/>
    <xf numFmtId="191" fontId="10" fillId="0" borderId="0" applyFont="0" applyFill="0" applyBorder="0" applyAlignment="0" applyProtection="0"/>
    <xf numFmtId="180" fontId="42" fillId="0" borderId="0" applyNumberFormat="0" applyFill="0" applyBorder="0" applyAlignment="0" applyProtection="0">
      <alignment vertical="top"/>
      <protection locked="0"/>
    </xf>
    <xf numFmtId="16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0" fontId="49" fillId="0" borderId="0"/>
    <xf numFmtId="180" fontId="10" fillId="0" borderId="0" applyFont="0" applyFill="0" applyBorder="0" applyAlignment="0" applyProtection="0"/>
    <xf numFmtId="180" fontId="49" fillId="0" borderId="0"/>
    <xf numFmtId="180"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0" fontId="10" fillId="0" borderId="0"/>
    <xf numFmtId="180" fontId="10"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3" fontId="10" fillId="0" borderId="0" applyFont="0" applyFill="0" applyBorder="0" applyAlignment="0" applyProtection="0"/>
    <xf numFmtId="180" fontId="44" fillId="0" borderId="0" applyFont="0" applyFill="0" applyBorder="0" applyAlignment="0" applyProtection="0"/>
    <xf numFmtId="193" fontId="10" fillId="0" borderId="0" applyFont="0" applyFill="0" applyBorder="0" applyAlignment="0" applyProtection="0"/>
    <xf numFmtId="180" fontId="10" fillId="0" borderId="0"/>
    <xf numFmtId="180" fontId="10" fillId="0" borderId="0"/>
    <xf numFmtId="0" fontId="10" fillId="0" borderId="0"/>
    <xf numFmtId="180"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80" fontId="44" fillId="0" borderId="0" applyFont="0" applyFill="0" applyBorder="0" applyAlignment="0" applyProtection="0"/>
    <xf numFmtId="195"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39" fontId="10" fillId="0" borderId="0" applyFont="0" applyFill="0" applyBorder="0" applyAlignment="0" applyProtection="0"/>
    <xf numFmtId="180" fontId="44" fillId="0" borderId="0" applyFont="0" applyFill="0" applyBorder="0" applyAlignment="0" applyProtection="0"/>
    <xf numFmtId="39" fontId="10" fillId="0" borderId="0" applyFont="0" applyFill="0" applyBorder="0" applyAlignment="0" applyProtection="0"/>
    <xf numFmtId="18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49" fillId="0" borderId="0"/>
    <xf numFmtId="180" fontId="42" fillId="0" borderId="0"/>
    <xf numFmtId="180" fontId="42" fillId="0" borderId="0"/>
    <xf numFmtId="38" fontId="50" fillId="0" borderId="0" applyAlignment="0" applyProtection="0"/>
    <xf numFmtId="38" fontId="50" fillId="0" borderId="0" applyFont="0" applyBorder="0" applyAlignment="0" applyProtection="0"/>
    <xf numFmtId="196"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49"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196"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0" fontId="10" fillId="0" borderId="0"/>
    <xf numFmtId="180" fontId="49" fillId="0" borderId="0"/>
    <xf numFmtId="197" fontId="10" fillId="0" borderId="0" applyFont="0" applyFill="0" applyBorder="0" applyAlignment="0" applyProtection="0"/>
    <xf numFmtId="180" fontId="44" fillId="0" borderId="0" applyFont="0" applyFill="0" applyBorder="0" applyAlignment="0" applyProtection="0"/>
    <xf numFmtId="198"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80" fontId="44"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180" fontId="49" fillId="0" borderId="0"/>
    <xf numFmtId="180" fontId="49" fillId="0" borderId="0"/>
    <xf numFmtId="180" fontId="10" fillId="0" borderId="0"/>
    <xf numFmtId="0" fontId="10" fillId="0" borderId="0" applyFont="0" applyFill="0" applyBorder="0" applyAlignment="0" applyProtection="0"/>
    <xf numFmtId="180" fontId="49" fillId="0" borderId="0"/>
    <xf numFmtId="38" fontId="41" fillId="0" borderId="0" applyAlignment="0" applyProtection="0"/>
    <xf numFmtId="180" fontId="10" fillId="0" borderId="0"/>
    <xf numFmtId="180" fontId="10" fillId="0" borderId="0"/>
    <xf numFmtId="38" fontId="50" fillId="0" borderId="0" applyFont="0" applyFill="0" applyBorder="0" applyAlignment="0" applyProtection="0"/>
    <xf numFmtId="38" fontId="50" fillId="0" borderId="0" applyFont="0" applyFill="0" applyBorder="0" applyAlignment="0" applyProtection="0"/>
    <xf numFmtId="201" fontId="10" fillId="0" borderId="0" applyFont="0" applyFill="0" applyBorder="0" applyAlignment="0" applyProtection="0"/>
    <xf numFmtId="180" fontId="44" fillId="0" borderId="0" applyFont="0" applyFill="0" applyBorder="0" applyAlignment="0" applyProtection="0"/>
    <xf numFmtId="176" fontId="10" fillId="0" borderId="0" applyFont="0" applyFill="0" applyBorder="0" applyAlignment="0" applyProtection="0"/>
    <xf numFmtId="201" fontId="10" fillId="0" borderId="0" applyFont="0" applyFill="0" applyBorder="0" applyAlignment="0" applyProtection="0"/>
    <xf numFmtId="176" fontId="10" fillId="0" borderId="0" applyFont="0" applyFill="0" applyBorder="0" applyAlignment="0" applyProtection="0"/>
    <xf numFmtId="202" fontId="10" fillId="0" borderId="0" applyFont="0" applyFill="0" applyBorder="0" applyAlignment="0" applyProtection="0"/>
    <xf numFmtId="180" fontId="44"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0" fontId="51" fillId="0" borderId="0"/>
    <xf numFmtId="180" fontId="51" fillId="0" borderId="0"/>
    <xf numFmtId="180" fontId="51" fillId="0" borderId="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0" fontId="52" fillId="0" borderId="0" applyNumberFormat="0" applyFill="0" applyBorder="0" applyProtection="0">
      <alignment horizontal="left"/>
    </xf>
    <xf numFmtId="180"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51" fillId="0" borderId="0"/>
    <xf numFmtId="180" fontId="51" fillId="0" borderId="0"/>
    <xf numFmtId="204" fontId="54" fillId="0" borderId="0"/>
    <xf numFmtId="180" fontId="42" fillId="0" borderId="0"/>
    <xf numFmtId="180" fontId="42" fillId="0" borderId="0"/>
    <xf numFmtId="180" fontId="51" fillId="0" borderId="0"/>
    <xf numFmtId="180" fontId="51" fillId="0" borderId="0"/>
    <xf numFmtId="180" fontId="51" fillId="0" borderId="0"/>
    <xf numFmtId="0" fontId="10" fillId="0" borderId="0" applyFont="0" applyFill="0" applyBorder="0" applyAlignment="0" applyProtection="0"/>
    <xf numFmtId="180" fontId="10" fillId="0" borderId="0"/>
    <xf numFmtId="180" fontId="49" fillId="0" borderId="0"/>
    <xf numFmtId="204"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05" fontId="55" fillId="0" borderId="0" applyFont="0" applyFill="0" applyBorder="0" applyAlignment="0" applyProtection="0"/>
    <xf numFmtId="206" fontId="42" fillId="0" borderId="0" applyFont="0" applyFill="0" applyBorder="0" applyAlignment="0" applyProtection="0"/>
    <xf numFmtId="207" fontId="56" fillId="0" borderId="0"/>
    <xf numFmtId="208" fontId="42" fillId="0" borderId="0" applyFont="0" applyFill="0" applyBorder="0" applyAlignment="0" applyProtection="0"/>
    <xf numFmtId="209" fontId="55" fillId="0" borderId="0" applyFont="0" applyFill="0" applyBorder="0" applyAlignment="0" applyProtection="0"/>
    <xf numFmtId="0" fontId="13" fillId="0" borderId="0"/>
    <xf numFmtId="0" fontId="10" fillId="0" borderId="0"/>
    <xf numFmtId="0" fontId="10" fillId="0" borderId="0"/>
    <xf numFmtId="0" fontId="10" fillId="0" borderId="0"/>
    <xf numFmtId="18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0" fontId="10" fillId="0" borderId="0"/>
    <xf numFmtId="210" fontId="10" fillId="0" borderId="0" applyBorder="0"/>
    <xf numFmtId="0" fontId="10" fillId="0" borderId="0"/>
    <xf numFmtId="0" fontId="10" fillId="0" borderId="0"/>
    <xf numFmtId="180" fontId="10" fillId="0" borderId="0" applyBorder="0"/>
    <xf numFmtId="210" fontId="10" fillId="0" borderId="0" applyBorder="0"/>
    <xf numFmtId="204" fontId="54" fillId="0" borderId="0"/>
    <xf numFmtId="211" fontId="56" fillId="0" borderId="0"/>
    <xf numFmtId="211" fontId="57" fillId="0" borderId="0"/>
    <xf numFmtId="212" fontId="56" fillId="0" borderId="0"/>
    <xf numFmtId="213" fontId="46" fillId="0" borderId="0" applyFont="0" applyFill="0" applyBorder="0" applyAlignment="0" applyProtection="0">
      <protection locked="0"/>
    </xf>
    <xf numFmtId="214" fontId="58" fillId="0" borderId="0"/>
    <xf numFmtId="180" fontId="57" fillId="0" borderId="0"/>
    <xf numFmtId="214"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89"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9"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89"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89"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89" fontId="60" fillId="60" borderId="0" applyNumberFormat="0" applyBorder="0" applyAlignment="0" applyProtection="0"/>
    <xf numFmtId="215" fontId="56" fillId="0" borderId="0"/>
    <xf numFmtId="216" fontId="57" fillId="0" borderId="0"/>
    <xf numFmtId="215" fontId="61" fillId="0" borderId="0"/>
    <xf numFmtId="0" fontId="10" fillId="0" borderId="0"/>
    <xf numFmtId="0" fontId="10" fillId="0" borderId="0"/>
    <xf numFmtId="217"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9"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9"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89"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89"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9"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9"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9"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89"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89"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89"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9" fontId="63" fillId="25" borderId="0" applyNumberFormat="0" applyBorder="0" applyAlignment="0" applyProtection="0"/>
    <xf numFmtId="218" fontId="64" fillId="0" borderId="9">
      <alignment horizontal="centerContinuous"/>
    </xf>
    <xf numFmtId="219" fontId="65" fillId="40" borderId="12">
      <alignment horizontal="center" vertical="center"/>
    </xf>
    <xf numFmtId="210" fontId="46" fillId="0" borderId="0" applyFont="0" applyFill="0" applyBorder="0" applyAlignment="0" applyProtection="0"/>
    <xf numFmtId="180" fontId="46" fillId="0" borderId="0" applyFont="0" applyFill="0" applyBorder="0" applyAlignment="0" applyProtection="0"/>
    <xf numFmtId="204" fontId="66" fillId="0" borderId="0" applyNumberFormat="0" applyFont="0" applyFill="0" applyBorder="0" applyProtection="0">
      <alignment horizontal="center"/>
    </xf>
    <xf numFmtId="220" fontId="67" fillId="0" borderId="0">
      <alignment horizontal="left"/>
    </xf>
    <xf numFmtId="0" fontId="58" fillId="0" borderId="0"/>
    <xf numFmtId="221" fontId="68" fillId="0" borderId="0" applyFont="0" applyFill="0" applyBorder="0" applyAlignment="0" applyProtection="0"/>
    <xf numFmtId="180"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89" fontId="73" fillId="20" borderId="0" applyNumberFormat="0" applyBorder="0" applyAlignment="0" applyProtection="0"/>
    <xf numFmtId="222"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3" fontId="10" fillId="0" borderId="0" applyFont="0" applyFill="0" applyBorder="0" applyAlignment="0" applyProtection="0"/>
    <xf numFmtId="193" fontId="10" fillId="0" borderId="0" applyNumberFormat="0" applyFont="0" applyAlignment="0" applyProtection="0"/>
    <xf numFmtId="180" fontId="76" fillId="77" borderId="0">
      <alignment horizontal="left"/>
    </xf>
    <xf numFmtId="224" fontId="77" fillId="0" borderId="0" applyFill="0" applyBorder="0" applyAlignment="0" applyProtection="0"/>
    <xf numFmtId="2" fontId="78" fillId="50" borderId="11" applyProtection="0">
      <alignment horizontal="left"/>
      <protection locked="0"/>
    </xf>
    <xf numFmtId="180" fontId="65" fillId="40" borderId="0" applyNumberFormat="0" applyFont="0" applyAlignment="0">
      <alignment horizontal="center"/>
    </xf>
    <xf numFmtId="225" fontId="79" fillId="40" borderId="0" applyFont="0" applyFill="0" applyBorder="0" applyAlignment="0" applyProtection="0"/>
    <xf numFmtId="180" fontId="80" fillId="0" borderId="0" applyNumberFormat="0" applyFill="0" applyBorder="0" applyAlignment="0" applyProtection="0"/>
    <xf numFmtId="180" fontId="81" fillId="0" borderId="9" applyNumberFormat="0" applyFill="0" applyAlignment="0" applyProtection="0"/>
    <xf numFmtId="180" fontId="56" fillId="0" borderId="0"/>
    <xf numFmtId="226" fontId="82" fillId="45" borderId="0" applyFont="0" applyFill="0" applyBorder="0" applyAlignment="0" applyProtection="0"/>
    <xf numFmtId="227"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28" fontId="42" fillId="0" borderId="0" applyFont="0" applyFill="0" applyBorder="0" applyAlignment="0" applyProtection="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6" fillId="0" borderId="0"/>
    <xf numFmtId="229" fontId="44" fillId="0" borderId="0"/>
    <xf numFmtId="230" fontId="44" fillId="0" borderId="0"/>
    <xf numFmtId="231" fontId="44" fillId="0" borderId="0"/>
    <xf numFmtId="229" fontId="44" fillId="0" borderId="8"/>
    <xf numFmtId="230" fontId="44" fillId="0" borderId="8"/>
    <xf numFmtId="230" fontId="44" fillId="0" borderId="8"/>
    <xf numFmtId="231" fontId="44" fillId="0" borderId="8"/>
    <xf numFmtId="231" fontId="44" fillId="0" borderId="8"/>
    <xf numFmtId="229" fontId="44" fillId="0" borderId="8"/>
    <xf numFmtId="229" fontId="44" fillId="0" borderId="8"/>
    <xf numFmtId="229" fontId="44" fillId="0" borderId="0"/>
    <xf numFmtId="232" fontId="44" fillId="0" borderId="0"/>
    <xf numFmtId="180" fontId="46" fillId="0" borderId="0" applyFill="0" applyBorder="0" applyAlignment="0"/>
    <xf numFmtId="233" fontId="44" fillId="0" borderId="0"/>
    <xf numFmtId="234" fontId="44" fillId="0" borderId="0"/>
    <xf numFmtId="232" fontId="44" fillId="0" borderId="8"/>
    <xf numFmtId="233" fontId="44" fillId="0" borderId="8"/>
    <xf numFmtId="233" fontId="44" fillId="0" borderId="8"/>
    <xf numFmtId="234" fontId="44" fillId="0" borderId="8"/>
    <xf numFmtId="234" fontId="44" fillId="0" borderId="8"/>
    <xf numFmtId="232" fontId="44" fillId="0" borderId="8"/>
    <xf numFmtId="232" fontId="44" fillId="0" borderId="8"/>
    <xf numFmtId="232" fontId="44" fillId="0" borderId="0"/>
    <xf numFmtId="235" fontId="44" fillId="0" borderId="0">
      <alignment horizontal="right"/>
      <protection locked="0"/>
    </xf>
    <xf numFmtId="236" fontId="44" fillId="0" borderId="0">
      <alignment horizontal="right"/>
      <protection locked="0"/>
    </xf>
    <xf numFmtId="237" fontId="44" fillId="0" borderId="0"/>
    <xf numFmtId="238" fontId="44" fillId="0" borderId="0"/>
    <xf numFmtId="239" fontId="44" fillId="0" borderId="0"/>
    <xf numFmtId="237" fontId="44" fillId="0" borderId="8"/>
    <xf numFmtId="238" fontId="44" fillId="0" borderId="8"/>
    <xf numFmtId="238" fontId="44" fillId="0" borderId="8"/>
    <xf numFmtId="239" fontId="44" fillId="0" borderId="8"/>
    <xf numFmtId="239" fontId="44" fillId="0" borderId="8"/>
    <xf numFmtId="237" fontId="44" fillId="0" borderId="8"/>
    <xf numFmtId="237" fontId="44" fillId="0" borderId="8"/>
    <xf numFmtId="237" fontId="44" fillId="0" borderId="0"/>
    <xf numFmtId="240" fontId="10" fillId="46" borderId="0"/>
    <xf numFmtId="180"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89" fontId="89" fillId="61" borderId="14" applyNumberFormat="0" applyAlignment="0" applyProtection="0"/>
    <xf numFmtId="189"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89"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3" fontId="94" fillId="0" borderId="0" applyBorder="0">
      <alignment horizontal="right"/>
    </xf>
    <xf numFmtId="173" fontId="94" fillId="0" borderId="17" applyAlignment="0">
      <alignment horizontal="right"/>
    </xf>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38" fontId="10" fillId="0" borderId="0" applyFont="0" applyFill="0" applyBorder="0" applyAlignment="0" applyProtection="0"/>
    <xf numFmtId="204" fontId="46" fillId="0" borderId="0" applyFont="0" applyFill="0" applyBorder="0" applyAlignment="0" applyProtection="0">
      <protection locked="0"/>
    </xf>
    <xf numFmtId="40" fontId="46" fillId="0" borderId="0" applyFont="0" applyFill="0" applyBorder="0" applyAlignment="0" applyProtection="0">
      <protection locked="0"/>
    </xf>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NumberFormat="0" applyFont="0" applyBorder="0" applyAlignment="0"/>
    <xf numFmtId="207" fontId="56" fillId="0" borderId="0"/>
    <xf numFmtId="242" fontId="58" fillId="0" borderId="0"/>
    <xf numFmtId="180" fontId="95" fillId="0" borderId="0" applyFont="0" applyFill="0" applyBorder="0" applyAlignment="0" applyProtection="0">
      <alignment horizontal="right"/>
    </xf>
    <xf numFmtId="243" fontId="95" fillId="0" borderId="0" applyFont="0" applyFill="0" applyBorder="0" applyAlignment="0" applyProtection="0"/>
    <xf numFmtId="180" fontId="95" fillId="0" borderId="0" applyFont="0" applyFill="0" applyBorder="0" applyAlignment="0" applyProtection="0">
      <alignment horizontal="right"/>
    </xf>
    <xf numFmtId="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242" fontId="13" fillId="0" borderId="0" applyFont="0" applyFill="0" applyBorder="0" applyAlignment="0" applyProtection="0"/>
    <xf numFmtId="174" fontId="13" fillId="0" borderId="0" applyFont="0" applyFill="0" applyBorder="0" applyAlignment="0" applyProtection="0"/>
    <xf numFmtId="193" fontId="13" fillId="0" borderId="0" applyFont="0" applyFill="0" applyBorder="0" applyAlignment="0" applyProtection="0"/>
    <xf numFmtId="174" fontId="13" fillId="0" borderId="0" applyFont="0" applyFill="0" applyBorder="0" applyAlignment="0" applyProtection="0"/>
    <xf numFmtId="180" fontId="13" fillId="0" borderId="0" applyFont="0" applyFill="0" applyBorder="0" applyAlignment="0" applyProtection="0"/>
    <xf numFmtId="180" fontId="13" fillId="0" borderId="0" applyFont="0" applyFill="0" applyBorder="0" applyAlignment="0" applyProtection="0"/>
    <xf numFmtId="244" fontId="13" fillId="0" borderId="0" applyFont="0" applyFill="0" applyBorder="0" applyAlignment="0" applyProtection="0"/>
    <xf numFmtId="245" fontId="13" fillId="0" borderId="0" applyFont="0" applyFill="0" applyBorder="0" applyAlignment="0" applyProtection="0"/>
    <xf numFmtId="245" fontId="13" fillId="0" borderId="0" applyFont="0" applyFill="0" applyBorder="0" applyAlignment="0" applyProtection="0"/>
    <xf numFmtId="173" fontId="13" fillId="0" borderId="0" applyFont="0" applyFill="0" applyBorder="0" applyAlignment="0" applyProtection="0"/>
    <xf numFmtId="188"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3" fontId="13" fillId="0" borderId="0" applyFont="0" applyFill="0" applyBorder="0" applyAlignment="0" applyProtection="0"/>
    <xf numFmtId="173"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246"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247" fontId="10"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8" fontId="10" fillId="0" borderId="0" applyFont="0" applyFill="0" applyBorder="0" applyAlignment="0" applyProtection="0"/>
    <xf numFmtId="38" fontId="42" fillId="0" borderId="0" applyFill="0" applyBorder="0" applyProtection="0">
      <alignment horizontal="center"/>
    </xf>
    <xf numFmtId="180" fontId="96" fillId="0" borderId="0">
      <protection locked="0"/>
    </xf>
    <xf numFmtId="249" fontId="10" fillId="0" borderId="0" applyBorder="0"/>
    <xf numFmtId="250" fontId="54" fillId="0" borderId="0" applyBorder="0"/>
    <xf numFmtId="251" fontId="10" fillId="0" borderId="0" applyFill="0" applyBorder="0">
      <alignment horizontal="left"/>
    </xf>
    <xf numFmtId="180" fontId="97" fillId="0" borderId="0" applyNumberFormat="0" applyAlignment="0">
      <alignment horizontal="left"/>
    </xf>
    <xf numFmtId="37" fontId="10" fillId="80" borderId="0" applyFont="0" applyBorder="0" applyAlignment="0" applyProtection="0"/>
    <xf numFmtId="193" fontId="51" fillId="80" borderId="0" applyFont="0" applyBorder="0" applyAlignment="0" applyProtection="0"/>
    <xf numFmtId="39" fontId="51" fillId="80" borderId="0" applyFont="0" applyBorder="0" applyAlignment="0" applyProtection="0"/>
    <xf numFmtId="252" fontId="98" fillId="0" borderId="0"/>
    <xf numFmtId="253" fontId="46" fillId="0" borderId="0" applyFont="0" applyFill="0" applyBorder="0" applyAlignment="0" applyProtection="0">
      <protection locked="0"/>
    </xf>
    <xf numFmtId="254" fontId="46" fillId="0" borderId="0" applyFont="0" applyFill="0" applyBorder="0" applyAlignment="0" applyProtection="0">
      <protection locked="0"/>
    </xf>
    <xf numFmtId="255" fontId="10" fillId="0" borderId="0">
      <alignment horizontal="right"/>
    </xf>
    <xf numFmtId="180" fontId="95" fillId="0" borderId="0" applyFont="0" applyFill="0" applyBorder="0" applyAlignment="0" applyProtection="0">
      <alignment horizontal="right"/>
    </xf>
    <xf numFmtId="256" fontId="29" fillId="0" borderId="0" applyFont="0" applyFill="0" applyBorder="0" applyAlignment="0" applyProtection="0"/>
    <xf numFmtId="257" fontId="10" fillId="0" borderId="0" applyFont="0" applyFill="0" applyBorder="0" applyAlignment="0" applyProtection="0"/>
    <xf numFmtId="180" fontId="95" fillId="0" borderId="0" applyFont="0" applyFill="0" applyBorder="0" applyAlignment="0" applyProtection="0">
      <alignment horizontal="right"/>
    </xf>
    <xf numFmtId="256" fontId="14" fillId="0" borderId="0" applyFont="0" applyFill="0" applyBorder="0" applyAlignment="0" applyProtection="0"/>
    <xf numFmtId="251" fontId="10" fillId="0" borderId="0" applyFont="0" applyFill="0" applyBorder="0" applyAlignment="0" applyProtection="0"/>
    <xf numFmtId="256" fontId="14" fillId="0" borderId="0" applyFont="0" applyFill="0" applyBorder="0" applyAlignment="0" applyProtection="0"/>
    <xf numFmtId="256" fontId="14" fillId="0" borderId="0" applyFont="0" applyFill="0" applyBorder="0" applyAlignment="0" applyProtection="0"/>
    <xf numFmtId="258" fontId="10" fillId="0" borderId="0" applyFont="0" applyFill="0" applyBorder="0" applyAlignment="0" applyProtection="0"/>
    <xf numFmtId="180" fontId="10" fillId="0" borderId="0" applyFont="0" applyFill="0" applyBorder="0" applyAlignment="0" applyProtection="0"/>
    <xf numFmtId="49" fontId="99" fillId="81" borderId="0" applyAlignment="0" applyProtection="0">
      <alignment vertical="center"/>
    </xf>
    <xf numFmtId="259" fontId="45" fillId="46" borderId="11">
      <alignment horizontal="right"/>
    </xf>
    <xf numFmtId="260" fontId="42" fillId="0" borderId="0" applyFont="0" applyFill="0" applyBorder="0" applyAlignment="0" applyProtection="0"/>
    <xf numFmtId="229" fontId="44" fillId="45" borderId="18">
      <protection locked="0"/>
    </xf>
    <xf numFmtId="230" fontId="44" fillId="45" borderId="18">
      <protection locked="0"/>
    </xf>
    <xf numFmtId="231" fontId="44" fillId="45" borderId="18">
      <protection locked="0"/>
    </xf>
    <xf numFmtId="229" fontId="44" fillId="45" borderId="18">
      <protection locked="0"/>
    </xf>
    <xf numFmtId="232" fontId="44" fillId="45" borderId="18">
      <protection locked="0"/>
    </xf>
    <xf numFmtId="233" fontId="44" fillId="45" borderId="18">
      <protection locked="0"/>
    </xf>
    <xf numFmtId="234" fontId="44" fillId="45" borderId="18">
      <protection locked="0"/>
    </xf>
    <xf numFmtId="232" fontId="44" fillId="45" borderId="18">
      <protection locked="0"/>
    </xf>
    <xf numFmtId="235" fontId="44" fillId="37" borderId="18">
      <alignment horizontal="right"/>
      <protection locked="0"/>
    </xf>
    <xf numFmtId="236"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37" fontId="44" fillId="45" borderId="18">
      <protection locked="0"/>
    </xf>
    <xf numFmtId="238" fontId="44" fillId="45" borderId="18">
      <protection locked="0"/>
    </xf>
    <xf numFmtId="239" fontId="44" fillId="45" borderId="18">
      <protection locked="0"/>
    </xf>
    <xf numFmtId="237" fontId="44" fillId="45" borderId="18">
      <protection locked="0"/>
    </xf>
    <xf numFmtId="49" fontId="44" fillId="38" borderId="18">
      <alignment horizontal="left"/>
      <protection locked="0"/>
    </xf>
    <xf numFmtId="261" fontId="44" fillId="45" borderId="18">
      <alignment horizontal="left" indent="1"/>
      <protection locked="0"/>
    </xf>
    <xf numFmtId="262" fontId="10" fillId="45" borderId="19"/>
    <xf numFmtId="262" fontId="10" fillId="45" borderId="19"/>
    <xf numFmtId="262" fontId="10" fillId="45" borderId="19"/>
    <xf numFmtId="262" fontId="10" fillId="45" borderId="19"/>
    <xf numFmtId="262" fontId="10" fillId="45" borderId="19"/>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180" fontId="95" fillId="0" borderId="0" applyFont="0" applyFill="0" applyBorder="0" applyAlignment="0" applyProtection="0"/>
    <xf numFmtId="264" fontId="10" fillId="0" borderId="0" applyFont="0" applyFill="0" applyBorder="0" applyAlignment="0" applyProtection="0"/>
    <xf numFmtId="180" fontId="95" fillId="0" borderId="0" applyFont="0" applyFill="0" applyBorder="0" applyAlignment="0" applyProtection="0"/>
    <xf numFmtId="180" fontId="94" fillId="50" borderId="0">
      <alignment horizontal="left"/>
    </xf>
    <xf numFmtId="263" fontId="10" fillId="0" borderId="0" applyFill="0" applyBorder="0"/>
    <xf numFmtId="14" fontId="10" fillId="0" borderId="0"/>
    <xf numFmtId="265" fontId="10" fillId="0" borderId="0" applyFont="0" applyFill="0" applyBorder="0" applyAlignment="0" applyProtection="0"/>
    <xf numFmtId="266" fontId="10" fillId="0" borderId="0" applyFont="0" applyFill="0" applyBorder="0" applyProtection="0">
      <alignment vertical="top"/>
    </xf>
    <xf numFmtId="266" fontId="10" fillId="0" borderId="0" applyFont="0" applyFill="0" applyBorder="0" applyProtection="0">
      <alignment vertical="top"/>
    </xf>
    <xf numFmtId="266" fontId="10" fillId="0" borderId="0" applyFont="0" applyFill="0" applyBorder="0" applyProtection="0">
      <alignment vertical="top"/>
    </xf>
    <xf numFmtId="267" fontId="10" fillId="0" borderId="0" applyFont="0" applyFill="0" applyBorder="0" applyAlignment="0" applyProtection="0"/>
    <xf numFmtId="266" fontId="10" fillId="0" borderId="0" applyFont="0" applyFill="0" applyBorder="0" applyProtection="0">
      <alignment vertical="top"/>
    </xf>
    <xf numFmtId="267" fontId="10" fillId="0" borderId="0" applyFont="0" applyFill="0" applyBorder="0" applyAlignment="0" applyProtection="0"/>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12" fontId="58" fillId="0" borderId="0">
      <alignment horizontal="right"/>
    </xf>
    <xf numFmtId="207" fontId="58" fillId="0" borderId="0">
      <alignment horizontal="right"/>
      <protection locked="0"/>
    </xf>
    <xf numFmtId="207" fontId="58" fillId="0" borderId="0"/>
    <xf numFmtId="269" fontId="58" fillId="0" borderId="0">
      <alignment horizontal="right"/>
      <protection locked="0"/>
    </xf>
    <xf numFmtId="207" fontId="59" fillId="0" borderId="0"/>
    <xf numFmtId="270" fontId="54" fillId="83" borderId="0" applyAlignment="0" applyProtection="0">
      <alignment horizontal="right"/>
    </xf>
    <xf numFmtId="271" fontId="10" fillId="0" borderId="0" applyFont="0" applyFill="0" applyBorder="0" applyAlignment="0" applyProtection="0"/>
    <xf numFmtId="166" fontId="10" fillId="0" borderId="0" applyFont="0" applyFill="0" applyBorder="0" applyAlignment="0" applyProtection="0"/>
    <xf numFmtId="204" fontId="66" fillId="46" borderId="0" applyNumberFormat="0" applyFont="0" applyBorder="0" applyAlignment="0" applyProtection="0"/>
    <xf numFmtId="254" fontId="42" fillId="0" borderId="0" applyFill="0" applyBorder="0" applyProtection="0">
      <alignment horizontal="center"/>
    </xf>
    <xf numFmtId="253" fontId="42" fillId="0" borderId="0">
      <alignment horizontal="center"/>
    </xf>
    <xf numFmtId="254" fontId="42" fillId="0" borderId="0" applyFill="0" applyBorder="0" applyProtection="0">
      <alignment horizontal="center"/>
    </xf>
    <xf numFmtId="251" fontId="100" fillId="0" borderId="0">
      <alignment horizontal="center"/>
    </xf>
    <xf numFmtId="180" fontId="95" fillId="0" borderId="20" applyNumberFormat="0" applyFont="0" applyFill="0" applyAlignment="0" applyProtection="0"/>
    <xf numFmtId="210" fontId="101" fillId="0" borderId="21"/>
    <xf numFmtId="211" fontId="58" fillId="0" borderId="0"/>
    <xf numFmtId="38" fontId="50" fillId="0" borderId="0" applyFont="0" applyFill="0" applyBorder="0" applyAlignment="0" applyProtection="0"/>
    <xf numFmtId="180" fontId="102" fillId="0" borderId="0" applyFont="0" applyFill="0" applyBorder="0" applyAlignment="0" applyProtection="0"/>
    <xf numFmtId="180" fontId="103" fillId="0" borderId="0" applyNumberFormat="0" applyAlignment="0">
      <alignment horizontal="left"/>
    </xf>
    <xf numFmtId="272" fontId="45" fillId="0" borderId="0"/>
    <xf numFmtId="273" fontId="45" fillId="0" borderId="0"/>
    <xf numFmtId="274" fontId="45" fillId="0" borderId="0"/>
    <xf numFmtId="275" fontId="45" fillId="0" borderId="0"/>
    <xf numFmtId="276" fontId="45" fillId="0" borderId="0"/>
    <xf numFmtId="277" fontId="45" fillId="0" borderId="0"/>
    <xf numFmtId="189" fontId="5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278"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180"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89"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1"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2" fontId="109" fillId="0" borderId="0" applyFill="0" applyBorder="0" applyProtection="0"/>
    <xf numFmtId="283" fontId="20" fillId="61" borderId="2" applyAlignment="0" applyProtection="0"/>
    <xf numFmtId="283" fontId="20" fillId="61" borderId="2" applyAlignment="0" applyProtection="0"/>
    <xf numFmtId="284" fontId="110" fillId="0" borderId="0" applyNumberFormat="0" applyFill="0" applyBorder="0" applyAlignment="0" applyProtection="0"/>
    <xf numFmtId="284" fontId="111" fillId="0" borderId="0" applyNumberFormat="0" applyFill="0" applyBorder="0" applyAlignment="0" applyProtection="0"/>
    <xf numFmtId="15" fontId="107" fillId="45" borderId="18">
      <alignment horizontal="center"/>
      <protection locked="0"/>
    </xf>
    <xf numFmtId="285" fontId="107" fillId="45" borderId="18" applyAlignment="0">
      <protection locked="0"/>
    </xf>
    <xf numFmtId="286" fontId="107" fillId="45" borderId="18" applyAlignment="0">
      <protection locked="0"/>
    </xf>
    <xf numFmtId="286" fontId="19" fillId="0" borderId="0" applyFill="0" applyBorder="0" applyAlignment="0" applyProtection="0"/>
    <xf numFmtId="287" fontId="19" fillId="0" borderId="0" applyFill="0" applyBorder="0" applyAlignment="0" applyProtection="0"/>
    <xf numFmtId="287" fontId="19" fillId="0" borderId="0" applyFill="0" applyBorder="0" applyAlignment="0" applyProtection="0"/>
    <xf numFmtId="288"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91" fontId="10" fillId="0" borderId="0" applyFont="0" applyFill="0" applyBorder="0" applyAlignment="0" applyProtection="0"/>
    <xf numFmtId="164" fontId="10" fillId="0" borderId="0" applyFont="0" applyFill="0" applyBorder="0" applyAlignment="0" applyProtection="0"/>
    <xf numFmtId="289" fontId="10" fillId="0" borderId="0" applyFont="0" applyFill="0" applyBorder="0" applyAlignment="0" applyProtection="0"/>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0" fontId="96" fillId="0" borderId="0">
      <protection locked="0"/>
    </xf>
    <xf numFmtId="251" fontId="113" fillId="0" borderId="0"/>
    <xf numFmtId="251" fontId="113" fillId="0" borderId="0"/>
    <xf numFmtId="180" fontId="114" fillId="0" borderId="0"/>
    <xf numFmtId="180"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2" fontId="117" fillId="0" borderId="0"/>
    <xf numFmtId="273" fontId="45" fillId="0" borderId="25"/>
    <xf numFmtId="291" fontId="45" fillId="46" borderId="11">
      <alignment horizontal="right"/>
    </xf>
    <xf numFmtId="292" fontId="10" fillId="0" borderId="0" applyFont="0" applyFill="0" applyBorder="0" applyAlignment="0" applyProtection="0"/>
    <xf numFmtId="293" fontId="118" fillId="0" borderId="0" applyFont="0" applyFill="0" applyBorder="0" applyAlignment="0" applyProtection="0"/>
    <xf numFmtId="294" fontId="10" fillId="0" borderId="0" applyFont="0" applyFill="0" applyBorder="0" applyAlignment="0" applyProtection="0"/>
    <xf numFmtId="295"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89"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6" fontId="94" fillId="36" borderId="26" applyNumberFormat="0" applyFont="0" applyAlignment="0"/>
    <xf numFmtId="180" fontId="95" fillId="0" borderId="0" applyFont="0" applyFill="0" applyBorder="0" applyAlignment="0" applyProtection="0">
      <alignment horizontal="right"/>
    </xf>
    <xf numFmtId="180" fontId="122" fillId="0" borderId="0" applyProtection="0">
      <alignment horizontal="right"/>
    </xf>
    <xf numFmtId="180" fontId="79" fillId="0" borderId="27" applyNumberFormat="0" applyAlignment="0" applyProtection="0">
      <alignment horizontal="left" vertical="center"/>
    </xf>
    <xf numFmtId="180"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89"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89"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89"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89" fontId="131" fillId="0" borderId="0" applyNumberFormat="0" applyFill="0" applyBorder="0" applyAlignment="0" applyProtection="0"/>
    <xf numFmtId="180" fontId="42" fillId="0" borderId="0">
      <protection locked="0"/>
    </xf>
    <xf numFmtId="180" fontId="42" fillId="0" borderId="0">
      <protection locked="0"/>
    </xf>
    <xf numFmtId="297" fontId="132" fillId="0" borderId="0">
      <alignment horizontal="right"/>
    </xf>
    <xf numFmtId="298" fontId="62" fillId="0" borderId="0" applyAlignment="0">
      <alignment horizontal="right"/>
      <protection hidden="1"/>
    </xf>
    <xf numFmtId="180" fontId="107" fillId="0" borderId="33" applyNumberFormat="0" applyFill="0" applyAlignment="0" applyProtection="0"/>
    <xf numFmtId="204"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89"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89" fontId="141" fillId="0" borderId="0" applyNumberFormat="0" applyFill="0" applyBorder="0" applyAlignment="0" applyProtection="0">
      <alignment vertical="top"/>
      <protection locked="0"/>
    </xf>
    <xf numFmtId="180"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89" fontId="145" fillId="60" borderId="34" applyNumberFormat="0" applyAlignment="0" applyProtection="0"/>
    <xf numFmtId="189" fontId="145" fillId="60" borderId="34" applyNumberFormat="0" applyAlignment="0" applyProtection="0"/>
    <xf numFmtId="0" fontId="54" fillId="0" borderId="0" applyNumberFormat="0" applyFill="0" applyBorder="0" applyAlignment="0">
      <protection locked="0"/>
    </xf>
    <xf numFmtId="0" fontId="146" fillId="34" borderId="0"/>
    <xf numFmtId="240" fontId="65" fillId="86" borderId="0">
      <protection locked="0"/>
    </xf>
    <xf numFmtId="299"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0" fontId="154" fillId="0" borderId="0" applyFont="0" applyFill="0" applyBorder="0" applyAlignment="0" applyProtection="0"/>
    <xf numFmtId="180" fontId="10" fillId="0" borderId="0" applyNumberFormat="0" applyFont="0" applyFill="0" applyBorder="0" applyProtection="0">
      <alignment horizontal="left" vertical="center"/>
    </xf>
    <xf numFmtId="168" fontId="37" fillId="2" borderId="0"/>
    <xf numFmtId="168" fontId="38" fillId="53" borderId="0"/>
    <xf numFmtId="180"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89" fontId="158" fillId="0" borderId="36" applyNumberFormat="0" applyFill="0" applyAlignment="0" applyProtection="0"/>
    <xf numFmtId="0" fontId="99" fillId="87" borderId="0" applyAlignment="0" applyProtection="0">
      <alignment horizontal="right" vertical="center"/>
    </xf>
    <xf numFmtId="197" fontId="55" fillId="0" borderId="0" applyFont="0" applyFill="0" applyBorder="0" applyAlignment="0" applyProtection="0">
      <alignment horizontal="right"/>
    </xf>
    <xf numFmtId="301"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302"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40" fontId="159" fillId="0" borderId="0">
      <alignment horizontal="right"/>
    </xf>
    <xf numFmtId="37" fontId="160" fillId="0" borderId="0"/>
    <xf numFmtId="180" fontId="161" fillId="0" borderId="0">
      <alignment vertical="center"/>
    </xf>
    <xf numFmtId="180" fontId="10" fillId="0" borderId="0" applyNumberFormat="0" applyFill="0" applyBorder="0" applyAlignment="0" applyProtection="0"/>
    <xf numFmtId="164"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3" fontId="10" fillId="0" borderId="0" applyFont="0" applyFill="0" applyBorder="0" applyAlignment="0" applyProtection="0"/>
    <xf numFmtId="304" fontId="45" fillId="0" borderId="0">
      <alignment horizontal="right"/>
    </xf>
    <xf numFmtId="180" fontId="162" fillId="0" borderId="17"/>
    <xf numFmtId="305" fontId="50" fillId="0" borderId="0" applyFont="0" applyFill="0" applyBorder="0" applyAlignment="0" applyProtection="0"/>
    <xf numFmtId="306" fontId="5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7" fontId="54" fillId="36" borderId="0">
      <alignment horizontal="center"/>
    </xf>
    <xf numFmtId="308" fontId="42" fillId="0" borderId="0" applyFill="0" applyBorder="0" applyProtection="0">
      <alignment horizontal="center"/>
    </xf>
    <xf numFmtId="309"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0"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89" fontId="165" fillId="18" borderId="0" applyNumberFormat="0" applyBorder="0" applyAlignment="0" applyProtection="0"/>
    <xf numFmtId="37" fontId="166" fillId="0" borderId="0"/>
    <xf numFmtId="297" fontId="167" fillId="0" borderId="0"/>
    <xf numFmtId="311" fontId="46" fillId="0" borderId="0"/>
    <xf numFmtId="311" fontId="46" fillId="0" borderId="9"/>
    <xf numFmtId="311" fontId="46" fillId="0" borderId="37"/>
    <xf numFmtId="311" fontId="46" fillId="0" borderId="0"/>
    <xf numFmtId="312" fontId="58" fillId="0" borderId="0"/>
    <xf numFmtId="313" fontId="58" fillId="0" borderId="0"/>
    <xf numFmtId="314" fontId="58" fillId="0" borderId="0"/>
    <xf numFmtId="315" fontId="54" fillId="0" borderId="0"/>
    <xf numFmtId="316"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9"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89"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0"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89"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4" fontId="8" fillId="0" borderId="0"/>
    <xf numFmtId="174" fontId="25" fillId="0" borderId="0"/>
    <xf numFmtId="174" fontId="25" fillId="0" borderId="0"/>
    <xf numFmtId="174" fontId="25" fillId="0" borderId="0"/>
    <xf numFmtId="174" fontId="25" fillId="0" borderId="0"/>
    <xf numFmtId="174" fontId="25"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7" fontId="56" fillId="0" borderId="37"/>
    <xf numFmtId="0" fontId="107" fillId="0" borderId="0" applyFill="0" applyBorder="0">
      <protection locked="0"/>
    </xf>
    <xf numFmtId="180" fontId="10" fillId="0" borderId="0"/>
    <xf numFmtId="180" fontId="169" fillId="0" borderId="0"/>
    <xf numFmtId="180" fontId="170" fillId="0" borderId="0"/>
    <xf numFmtId="180" fontId="171" fillId="0" borderId="0"/>
    <xf numFmtId="180" fontId="172" fillId="0" borderId="0"/>
    <xf numFmtId="180"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89" fontId="10" fillId="34" borderId="38" applyNumberFormat="0" applyFont="0" applyAlignment="0" applyProtection="0"/>
    <xf numFmtId="189" fontId="10" fillId="34" borderId="38" applyNumberFormat="0" applyFont="0" applyAlignment="0" applyProtection="0"/>
    <xf numFmtId="0" fontId="174" fillId="83" borderId="0" applyAlignment="0" applyProtection="0">
      <alignment horizontal="left" vertical="top" wrapText="1"/>
    </xf>
    <xf numFmtId="284" fontId="10" fillId="45" borderId="39" applyFont="0" applyFill="0" applyBorder="0" applyAlignment="0" applyProtection="0">
      <protection locked="0"/>
    </xf>
    <xf numFmtId="37" fontId="10" fillId="0" borderId="0"/>
    <xf numFmtId="318" fontId="41" fillId="50" borderId="40" applyNumberFormat="0">
      <alignment vertical="center"/>
    </xf>
    <xf numFmtId="318" fontId="41" fillId="88" borderId="40" applyNumberFormat="0">
      <alignment vertical="center"/>
    </xf>
    <xf numFmtId="318" fontId="41" fillId="40" borderId="40" applyNumberFormat="0">
      <alignment vertical="center"/>
    </xf>
    <xf numFmtId="318" fontId="41" fillId="38" borderId="40" applyNumberFormat="0">
      <alignment vertical="center"/>
    </xf>
    <xf numFmtId="318" fontId="41" fillId="89" borderId="40" applyNumberFormat="0">
      <alignment vertical="center"/>
    </xf>
    <xf numFmtId="318" fontId="41" fillId="46" borderId="40" applyNumberFormat="0">
      <alignment vertical="center"/>
    </xf>
    <xf numFmtId="318" fontId="41" fillId="90" borderId="40" applyNumberFormat="0">
      <alignment vertical="center"/>
    </xf>
    <xf numFmtId="318" fontId="41" fillId="80" borderId="40" applyNumberFormat="0">
      <alignment vertical="center"/>
    </xf>
    <xf numFmtId="318" fontId="41" fillId="91" borderId="40" applyNumberFormat="0">
      <alignment vertical="center"/>
    </xf>
    <xf numFmtId="318" fontId="41" fillId="92" borderId="40" applyNumberFormat="0">
      <alignment vertical="center"/>
    </xf>
    <xf numFmtId="318" fontId="175" fillId="45" borderId="40">
      <protection locked="0"/>
    </xf>
    <xf numFmtId="318" fontId="175" fillId="37" borderId="40">
      <protection locked="0"/>
    </xf>
    <xf numFmtId="318" fontId="176" fillId="37" borderId="41" applyNumberFormat="0" applyFont="0" applyFill="0" applyAlignment="0" applyProtection="0">
      <protection locked="0"/>
    </xf>
    <xf numFmtId="318"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97" borderId="0">
      <alignment horizontal="right"/>
    </xf>
    <xf numFmtId="0" fontId="180" fillId="0" borderId="0">
      <alignment horizontal="left"/>
    </xf>
    <xf numFmtId="3" fontId="181" fillId="0" borderId="0" applyFill="0" applyBorder="0" applyAlignment="0" applyProtection="0"/>
    <xf numFmtId="180" fontId="182" fillId="12" borderId="43" applyNumberFormat="0" applyBorder="0" applyAlignment="0">
      <alignment horizontal="center"/>
      <protection hidden="1"/>
    </xf>
    <xf numFmtId="180"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89" fontId="186" fillId="61" borderId="44" applyNumberFormat="0" applyAlignment="0" applyProtection="0"/>
    <xf numFmtId="189" fontId="186" fillId="61" borderId="44" applyNumberFormat="0" applyAlignment="0" applyProtection="0"/>
    <xf numFmtId="40" fontId="19" fillId="33" borderId="0">
      <alignment horizontal="right"/>
    </xf>
    <xf numFmtId="180" fontId="187" fillId="98" borderId="0">
      <alignment horizontal="center"/>
    </xf>
    <xf numFmtId="180" fontId="188" fillId="99" borderId="0"/>
    <xf numFmtId="180" fontId="189" fillId="33" borderId="0" applyBorder="0">
      <alignment horizontal="centerContinuous"/>
    </xf>
    <xf numFmtId="180" fontId="190" fillId="99" borderId="0" applyBorder="0">
      <alignment horizontal="centerContinuous"/>
    </xf>
    <xf numFmtId="319" fontId="10" fillId="0" borderId="0"/>
    <xf numFmtId="319" fontId="10" fillId="0" borderId="0"/>
    <xf numFmtId="319" fontId="10" fillId="0" borderId="0"/>
    <xf numFmtId="319" fontId="10" fillId="0" borderId="0"/>
    <xf numFmtId="171" fontId="10" fillId="0" borderId="0"/>
    <xf numFmtId="171" fontId="10" fillId="0" borderId="0"/>
    <xf numFmtId="171" fontId="10" fillId="0" borderId="0"/>
    <xf numFmtId="171" fontId="10" fillId="0" borderId="0"/>
    <xf numFmtId="171" fontId="10" fillId="0" borderId="0"/>
    <xf numFmtId="319" fontId="10" fillId="0" borderId="0"/>
    <xf numFmtId="180" fontId="42" fillId="100" borderId="0" applyNumberFormat="0" applyFont="0" applyBorder="0" applyAlignment="0"/>
    <xf numFmtId="1" fontId="191" fillId="0" borderId="0" applyProtection="0">
      <alignment horizontal="right" vertical="center"/>
    </xf>
    <xf numFmtId="193" fontId="192" fillId="0" borderId="0">
      <alignment horizontal="left"/>
    </xf>
    <xf numFmtId="320" fontId="45" fillId="0" borderId="0"/>
    <xf numFmtId="321" fontId="45" fillId="0" borderId="0"/>
    <xf numFmtId="255" fontId="10" fillId="0" borderId="0" applyFont="0" applyFill="0" applyBorder="0" applyAlignment="0" applyProtection="0"/>
    <xf numFmtId="322" fontId="10" fillId="0" borderId="0" applyFont="0" applyFill="0" applyBorder="0" applyAlignment="0" applyProtection="0"/>
    <xf numFmtId="170"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0"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0" fontId="10" fillId="0" borderId="0">
      <protection locked="0"/>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330" fontId="8" fillId="101" borderId="6">
      <alignment vertical="center"/>
    </xf>
    <xf numFmtId="0"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67"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0" fontId="10" fillId="32" borderId="3" applyNumberFormat="0" applyProtection="0">
      <alignment horizontal="left" vertical="center" indent="1"/>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67"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0"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0" fontId="194" fillId="0" borderId="17">
      <alignment horizontal="center"/>
    </xf>
    <xf numFmtId="3" fontId="50" fillId="0" borderId="0" applyFont="0" applyFill="0" applyBorder="0" applyAlignment="0" applyProtection="0"/>
    <xf numFmtId="180" fontId="50" fillId="102" borderId="0" applyNumberFormat="0" applyFont="0" applyBorder="0" applyAlignment="0" applyProtection="0"/>
    <xf numFmtId="333" fontId="45" fillId="46" borderId="0"/>
    <xf numFmtId="334" fontId="21" fillId="46" borderId="0" applyFill="0"/>
    <xf numFmtId="180" fontId="195" fillId="0" borderId="0">
      <alignment horizontal="left" indent="7"/>
    </xf>
    <xf numFmtId="180" fontId="21" fillId="0" borderId="0" applyFill="0">
      <alignment horizontal="left" indent="7"/>
    </xf>
    <xf numFmtId="334" fontId="65" fillId="0" borderId="28">
      <alignment horizontal="right"/>
    </xf>
    <xf numFmtId="180" fontId="65" fillId="0" borderId="26" applyNumberFormat="0" applyFont="0" applyBorder="0">
      <alignment horizontal="right"/>
    </xf>
    <xf numFmtId="180" fontId="196" fillId="0" borderId="0" applyFill="0"/>
    <xf numFmtId="180" fontId="65" fillId="0" borderId="0" applyFill="0"/>
    <xf numFmtId="334" fontId="18" fillId="0" borderId="28" applyFill="0"/>
    <xf numFmtId="180" fontId="10" fillId="0" borderId="0" applyNumberFormat="0" applyFont="0" applyBorder="0" applyAlignment="0"/>
    <xf numFmtId="180" fontId="197" fillId="0" borderId="0" applyFill="0">
      <alignment horizontal="left" indent="1"/>
    </xf>
    <xf numFmtId="180" fontId="18" fillId="0" borderId="0">
      <alignment horizontal="left" indent="1"/>
    </xf>
    <xf numFmtId="334" fontId="65" fillId="0" borderId="28" applyFill="0"/>
    <xf numFmtId="180" fontId="10" fillId="0" borderId="0" applyNumberFormat="0" applyFont="0" applyFill="0" applyBorder="0" applyAlignment="0"/>
    <xf numFmtId="180" fontId="196" fillId="0" borderId="0" applyFill="0">
      <alignment horizontal="left" indent="2"/>
    </xf>
    <xf numFmtId="180" fontId="65" fillId="0" borderId="0" applyFill="0">
      <alignment horizontal="left" indent="2"/>
    </xf>
    <xf numFmtId="334" fontId="18" fillId="0" borderId="28" applyFill="0"/>
    <xf numFmtId="180" fontId="10" fillId="0" borderId="0" applyNumberFormat="0" applyFont="0" applyBorder="0" applyAlignment="0"/>
    <xf numFmtId="180" fontId="197" fillId="0" borderId="0">
      <alignment horizontal="left" indent="3"/>
    </xf>
    <xf numFmtId="180" fontId="18" fillId="0" borderId="0" applyFill="0">
      <alignment horizontal="left" indent="3"/>
    </xf>
    <xf numFmtId="334" fontId="65" fillId="0" borderId="28" applyFill="0"/>
    <xf numFmtId="180" fontId="10" fillId="0" borderId="0" applyNumberFormat="0" applyFont="0" applyBorder="0" applyAlignment="0"/>
    <xf numFmtId="180" fontId="196" fillId="0" borderId="0">
      <alignment horizontal="left" indent="4"/>
    </xf>
    <xf numFmtId="180" fontId="65" fillId="0" borderId="0" applyFill="0">
      <alignment horizontal="left" indent="4"/>
    </xf>
    <xf numFmtId="334" fontId="18" fillId="0" borderId="28" applyFill="0"/>
    <xf numFmtId="180" fontId="10" fillId="0" borderId="0" applyNumberFormat="0" applyFont="0" applyBorder="0" applyAlignment="0"/>
    <xf numFmtId="180" fontId="197" fillId="0" borderId="0">
      <alignment horizontal="left" indent="5"/>
    </xf>
    <xf numFmtId="180" fontId="18" fillId="0" borderId="0" applyFill="0">
      <alignment horizontal="left" indent="5"/>
    </xf>
    <xf numFmtId="334" fontId="65" fillId="0" borderId="28" applyFill="0"/>
    <xf numFmtId="180" fontId="10" fillId="0" borderId="0" applyNumberFormat="0" applyFont="0" applyFill="0" applyBorder="0" applyAlignment="0"/>
    <xf numFmtId="180"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9"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336" fontId="25" fillId="0" borderId="0">
      <protection locked="0"/>
    </xf>
    <xf numFmtId="338" fontId="200"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0"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0" fontId="208" fillId="110" borderId="0"/>
    <xf numFmtId="180" fontId="79" fillId="0" borderId="0"/>
    <xf numFmtId="38" fontId="50" fillId="0" borderId="0" applyFont="0" applyFill="0" applyBorder="0" applyAlignment="0" applyProtection="0"/>
    <xf numFmtId="40" fontId="147" fillId="0" borderId="0" applyFont="0" applyFill="0" applyBorder="0" applyAlignment="0" applyProtection="0"/>
    <xf numFmtId="317" fontId="56" fillId="111" borderId="0" applyFont="0"/>
    <xf numFmtId="180"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0" fontId="50" fillId="0" borderId="0">
      <alignment textRotation="90"/>
    </xf>
    <xf numFmtId="0" fontId="99" fillId="81" borderId="0" applyAlignment="0" applyProtection="0">
      <alignment horizontal="right" vertical="center"/>
    </xf>
    <xf numFmtId="190"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0"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0" fontId="10" fillId="0" borderId="0">
      <alignment vertical="top"/>
    </xf>
    <xf numFmtId="180" fontId="211" fillId="50" borderId="0" applyNumberFormat="0" applyProtection="0">
      <alignment horizontal="center" vertical="center"/>
    </xf>
    <xf numFmtId="4" fontId="19" fillId="50" borderId="0" applyProtection="0">
      <alignment horizontal="center" vertical="center"/>
    </xf>
    <xf numFmtId="180" fontId="212" fillId="50" borderId="0" applyNumberFormat="0" applyProtection="0">
      <alignment horizontal="center" vertical="center"/>
    </xf>
    <xf numFmtId="4" fontId="21" fillId="50" borderId="0" applyProtection="0">
      <alignment horizontal="center" vertical="center"/>
    </xf>
    <xf numFmtId="180" fontId="213" fillId="113" borderId="0" applyNumberFormat="0" applyProtection="0">
      <alignment horizontal="center" vertical="center"/>
    </xf>
    <xf numFmtId="4" fontId="23" fillId="113" borderId="0" applyProtection="0">
      <alignment horizontal="center" vertical="center"/>
    </xf>
    <xf numFmtId="180" fontId="210" fillId="50" borderId="0" applyNumberFormat="0" applyProtection="0">
      <alignment horizontal="center" vertical="center"/>
    </xf>
    <xf numFmtId="4" fontId="214" fillId="50" borderId="0" applyProtection="0">
      <alignment horizontal="center" vertical="center"/>
    </xf>
    <xf numFmtId="180" fontId="215" fillId="114" borderId="0" applyNumberFormat="0" applyProtection="0">
      <alignment horizontal="center" vertical="center"/>
    </xf>
    <xf numFmtId="4" fontId="62" fillId="114" borderId="0" applyProtection="0">
      <alignment horizontal="center" vertical="center"/>
    </xf>
    <xf numFmtId="180" fontId="17" fillId="50" borderId="0" applyNumberFormat="0" applyProtection="0">
      <alignment horizontal="center" vertical="center" wrapText="1"/>
    </xf>
    <xf numFmtId="180" fontId="18" fillId="50" borderId="0" applyNumberFormat="0" applyProtection="0">
      <alignment horizontal="center" vertical="center" wrapText="1"/>
    </xf>
    <xf numFmtId="180" fontId="142" fillId="113" borderId="0" applyNumberFormat="0" applyProtection="0">
      <alignment horizontal="center" vertical="center" wrapText="1"/>
    </xf>
    <xf numFmtId="180" fontId="216" fillId="50" borderId="0" applyNumberFormat="0" applyProtection="0">
      <alignment horizontal="center" vertical="center" wrapText="1"/>
    </xf>
    <xf numFmtId="180" fontId="17" fillId="50" borderId="0" applyNumberFormat="0" applyProtection="0">
      <alignment horizontal="center" vertical="center" wrapText="1"/>
    </xf>
    <xf numFmtId="4" fontId="217" fillId="50" borderId="0" applyProtection="0">
      <alignment horizontal="center" vertical="top" wrapText="1"/>
    </xf>
    <xf numFmtId="180" fontId="18" fillId="50" borderId="0" applyNumberFormat="0" applyProtection="0">
      <alignment horizontal="center" vertical="center" wrapText="1"/>
    </xf>
    <xf numFmtId="4" fontId="218" fillId="50" borderId="0" applyProtection="0">
      <alignment horizontal="center" vertical="top" wrapText="1"/>
    </xf>
    <xf numFmtId="180" fontId="142" fillId="113" borderId="0" applyNumberFormat="0" applyProtection="0">
      <alignment horizontal="center" vertical="center" wrapText="1"/>
    </xf>
    <xf numFmtId="4" fontId="219" fillId="113" borderId="0" applyProtection="0">
      <alignment horizontal="center" vertical="top" wrapText="1"/>
    </xf>
    <xf numFmtId="180" fontId="216" fillId="50" borderId="0" applyNumberFormat="0" applyProtection="0">
      <alignment horizontal="center" vertical="center" wrapText="1"/>
    </xf>
    <xf numFmtId="4" fontId="220" fillId="50" borderId="0" applyProtection="0">
      <alignment horizontal="center" vertical="top" wrapText="1"/>
    </xf>
    <xf numFmtId="180" fontId="188" fillId="114" borderId="0" applyNumberFormat="0" applyProtection="0">
      <alignment horizontal="center" vertical="center" wrapText="1"/>
    </xf>
    <xf numFmtId="4" fontId="221" fillId="114" borderId="0" applyProtection="0">
      <alignment horizontal="center" vertical="top" wrapText="1"/>
    </xf>
    <xf numFmtId="180"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0" fontId="222" fillId="0" borderId="0"/>
    <xf numFmtId="180" fontId="223" fillId="40" borderId="0"/>
    <xf numFmtId="180" fontId="224" fillId="0" borderId="0">
      <alignment horizontal="left" vertical="center"/>
    </xf>
    <xf numFmtId="252" fontId="79" fillId="0" borderId="0"/>
    <xf numFmtId="180" fontId="108" fillId="0" borderId="0"/>
    <xf numFmtId="180"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0" fontId="227" fillId="0" borderId="0" applyBorder="0" applyProtection="0">
      <alignment vertical="center"/>
    </xf>
    <xf numFmtId="180" fontId="227" fillId="0" borderId="9" applyBorder="0" applyProtection="0">
      <alignment horizontal="right" vertical="center"/>
    </xf>
    <xf numFmtId="180" fontId="228" fillId="115" borderId="0" applyBorder="0" applyProtection="0">
      <alignment horizontal="centerContinuous" vertical="center"/>
    </xf>
    <xf numFmtId="180" fontId="228" fillId="114" borderId="9" applyBorder="0" applyProtection="0">
      <alignment horizontal="centerContinuous" vertical="center"/>
    </xf>
    <xf numFmtId="180" fontId="229" fillId="0" borderId="0"/>
    <xf numFmtId="180" fontId="170" fillId="0" borderId="0"/>
    <xf numFmtId="180" fontId="230" fillId="0" borderId="0" applyFill="0" applyBorder="0" applyProtection="0">
      <alignment horizontal="left"/>
    </xf>
    <xf numFmtId="180" fontId="115" fillId="0" borderId="10" applyFill="0" applyBorder="0" applyProtection="0">
      <alignment horizontal="left" vertical="top"/>
    </xf>
    <xf numFmtId="180" fontId="231" fillId="0" borderId="0">
      <alignment horizontal="centerContinuous"/>
    </xf>
    <xf numFmtId="49" fontId="232" fillId="0" borderId="0"/>
    <xf numFmtId="49" fontId="42" fillId="0" borderId="0" applyFont="0" applyFill="0" applyBorder="0" applyAlignment="0" applyProtection="0"/>
    <xf numFmtId="180" fontId="233" fillId="0" borderId="0"/>
    <xf numFmtId="49" fontId="42" fillId="0" borderId="0" applyFont="0" applyFill="0" applyBorder="0" applyAlignment="0" applyProtection="0"/>
    <xf numFmtId="180"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36" fillId="0" borderId="0" applyNumberFormat="0" applyFill="0" applyBorder="0" applyAlignment="0" applyProtection="0"/>
    <xf numFmtId="0" fontId="10" fillId="0" borderId="0" applyNumberFormat="0" applyFont="0" applyFill="0" applyBorder="0" applyAlignment="0" applyProtection="0"/>
    <xf numFmtId="180" fontId="237" fillId="36" borderId="0">
      <alignment horizontal="right"/>
    </xf>
    <xf numFmtId="173" fontId="183" fillId="0" borderId="0"/>
    <xf numFmtId="180" fontId="238" fillId="0" borderId="0"/>
    <xf numFmtId="341" fontId="239" fillId="0" borderId="0"/>
    <xf numFmtId="193" fontId="10" fillId="0" borderId="53" applyNumberFormat="0" applyFont="0" applyFill="0" applyAlignment="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40" fillId="0" borderId="56" applyNumberFormat="0" applyFill="0" applyAlignment="0" applyProtection="0"/>
    <xf numFmtId="189"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5" fontId="93" fillId="0" borderId="58" applyAlignment="0"/>
    <xf numFmtId="316" fontId="93" fillId="0" borderId="58" applyAlignment="0"/>
    <xf numFmtId="173" fontId="52" fillId="0" borderId="58"/>
    <xf numFmtId="342" fontId="55" fillId="0" borderId="0" applyFont="0" applyFill="0" applyBorder="0" applyAlignment="0" applyProtection="0">
      <alignment horizontal="right"/>
    </xf>
    <xf numFmtId="180"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0" fontId="10" fillId="0" borderId="0">
      <alignment vertical="top"/>
    </xf>
    <xf numFmtId="180" fontId="242" fillId="0" borderId="0" applyFont="0" applyFill="0" applyBorder="0" applyAlignment="0" applyProtection="0"/>
    <xf numFmtId="245"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4" fontId="54" fillId="0" borderId="0"/>
    <xf numFmtId="180" fontId="243" fillId="0" borderId="0"/>
    <xf numFmtId="346" fontId="10" fillId="0" borderId="0" applyFont="0" applyFill="0" applyBorder="0" applyAlignment="0" applyProtection="0"/>
    <xf numFmtId="256"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67" fontId="8" fillId="43" borderId="26">
      <alignment vertical="center"/>
    </xf>
    <xf numFmtId="0" fontId="11" fillId="0" borderId="0"/>
    <xf numFmtId="0" fontId="13" fillId="0" borderId="0"/>
    <xf numFmtId="167" fontId="8" fillId="3" borderId="26">
      <alignment vertical="center"/>
      <protection locked="0"/>
    </xf>
    <xf numFmtId="0" fontId="13" fillId="0" borderId="0"/>
    <xf numFmtId="0" fontId="29" fillId="0" borderId="0"/>
    <xf numFmtId="168" fontId="261" fillId="0" borderId="0" applyFill="0" applyBorder="0">
      <alignment vertical="center"/>
    </xf>
    <xf numFmtId="10" fontId="37" fillId="0" borderId="0" applyFont="0" applyFill="0" applyBorder="0" applyAlignment="0" applyProtection="0">
      <alignment vertical="center"/>
    </xf>
    <xf numFmtId="164" fontId="8" fillId="0" borderId="0" applyFont="0" applyFill="0" applyBorder="0" applyAlignment="0" applyProtection="0"/>
    <xf numFmtId="164" fontId="7" fillId="0" borderId="0" applyFont="0" applyFill="0" applyBorder="0" applyAlignment="0" applyProtection="0"/>
    <xf numFmtId="171"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67" fontId="25" fillId="90" borderId="26">
      <alignment vertical="center"/>
    </xf>
    <xf numFmtId="167"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1" fontId="25" fillId="90" borderId="26">
      <alignment vertical="center"/>
    </xf>
    <xf numFmtId="171"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0"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7" fontId="8" fillId="101" borderId="26">
      <alignment vertical="center"/>
    </xf>
    <xf numFmtId="171"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0" fontId="65" fillId="0" borderId="28" applyFill="0"/>
    <xf numFmtId="0" fontId="13" fillId="0" borderId="0"/>
    <xf numFmtId="0" fontId="13" fillId="0" borderId="0"/>
    <xf numFmtId="164"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0"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0"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4" fontId="8" fillId="0" borderId="0" applyFont="0" applyFill="0" applyBorder="0" applyAlignment="0" applyProtection="0"/>
    <xf numFmtId="349" fontId="54" fillId="30" borderId="127" applyNumberFormat="0" applyProtection="0">
      <alignment horizontal="left" vertical="top" indent="1"/>
    </xf>
    <xf numFmtId="164"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0"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4"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1" borderId="127" applyNumberFormat="0" applyProtection="0">
      <alignment horizontal="left" vertical="top" indent="1"/>
    </xf>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0"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0"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4"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4"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4"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4"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4"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4" fontId="13" fillId="0" borderId="0" applyFont="0" applyFill="0" applyBorder="0" applyAlignment="0" applyProtection="0"/>
    <xf numFmtId="164"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4"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0"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0"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4"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0"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4" fontId="13" fillId="0" borderId="0" applyFont="0" applyFill="0" applyBorder="0" applyAlignment="0" applyProtection="0"/>
    <xf numFmtId="4" fontId="54" fillId="23"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0"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0"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4"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0"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0"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4" fontId="13" fillId="0" borderId="0" applyFont="0" applyFill="0" applyBorder="0" applyAlignment="0" applyProtection="0"/>
    <xf numFmtId="164"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4"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4"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67" fontId="8" fillId="43" borderId="6">
      <alignment vertical="center"/>
    </xf>
    <xf numFmtId="167"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0" fontId="8" fillId="0" borderId="0"/>
    <xf numFmtId="10" fontId="37" fillId="0" borderId="0" applyFont="0" applyFill="0" applyBorder="0" applyAlignment="0" applyProtection="0">
      <alignment vertical="center"/>
    </xf>
    <xf numFmtId="164" fontId="8" fillId="0" borderId="0" applyFont="0" applyFill="0" applyBorder="0" applyAlignment="0" applyProtection="0"/>
    <xf numFmtId="9" fontId="8" fillId="0" borderId="0" applyFont="0" applyFill="0" applyBorder="0" applyAlignment="0" applyProtection="0"/>
  </cellStyleXfs>
  <cellXfs count="1339">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3" fillId="47" borderId="0" xfId="75" applyFont="1" applyFill="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2" fontId="11" fillId="38" borderId="65" xfId="1" applyNumberFormat="1" applyFont="1" applyFill="1" applyBorder="1" applyProtection="1"/>
    <xf numFmtId="172" fontId="11" fillId="38" borderId="66" xfId="1" applyNumberFormat="1" applyFont="1" applyFill="1" applyBorder="1" applyProtection="1"/>
    <xf numFmtId="172" fontId="11" fillId="38" borderId="67" xfId="1" applyNumberFormat="1" applyFont="1" applyFill="1" applyBorder="1" applyProtection="1"/>
    <xf numFmtId="172" fontId="11" fillId="38" borderId="59" xfId="1" applyNumberFormat="1" applyFont="1" applyFill="1" applyBorder="1" applyProtection="1"/>
    <xf numFmtId="172" fontId="11" fillId="38" borderId="60" xfId="1" applyNumberFormat="1" applyFont="1" applyFill="1" applyBorder="1" applyProtection="1"/>
    <xf numFmtId="172" fontId="11" fillId="38" borderId="61" xfId="1" applyNumberFormat="1" applyFont="1" applyFill="1" applyBorder="1" applyProtection="1"/>
    <xf numFmtId="172" fontId="11" fillId="38" borderId="71" xfId="1" applyNumberFormat="1" applyFont="1" applyFill="1" applyBorder="1" applyProtection="1"/>
    <xf numFmtId="172" fontId="11" fillId="38" borderId="72" xfId="1" applyNumberFormat="1" applyFont="1" applyFill="1" applyBorder="1" applyProtection="1"/>
    <xf numFmtId="172"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2" fontId="12" fillId="38" borderId="71" xfId="1" applyNumberFormat="1" applyFont="1" applyFill="1" applyBorder="1" applyProtection="1"/>
    <xf numFmtId="172"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0" fontId="11" fillId="38" borderId="64" xfId="77" applyNumberFormat="1" applyFont="1" applyFill="1" applyBorder="1" applyProtection="1"/>
    <xf numFmtId="172" fontId="11" fillId="39" borderId="59" xfId="1" applyNumberFormat="1" applyFont="1" applyFill="1" applyBorder="1" applyProtection="1"/>
    <xf numFmtId="172" fontId="11" fillId="39" borderId="60" xfId="1" applyNumberFormat="1" applyFont="1" applyFill="1" applyBorder="1" applyProtection="1"/>
    <xf numFmtId="170" fontId="11" fillId="38" borderId="70" xfId="77" applyNumberFormat="1" applyFont="1" applyFill="1" applyBorder="1" applyProtection="1"/>
    <xf numFmtId="1" fontId="9" fillId="2" borderId="73" xfId="0" applyNumberFormat="1" applyFont="1" applyFill="1" applyBorder="1" applyAlignment="1">
      <alignment horizontal="center" vertical="center"/>
    </xf>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3"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2" fontId="0" fillId="0" borderId="0" xfId="0" applyNumberFormat="1" applyAlignment="1" applyProtection="1">
      <alignment horizontal="center" vertical="center"/>
      <protection locked="0"/>
    </xf>
    <xf numFmtId="172" fontId="11" fillId="39" borderId="85" xfId="1" applyNumberFormat="1" applyFont="1" applyFill="1" applyBorder="1" applyProtection="1"/>
    <xf numFmtId="172" fontId="11" fillId="39" borderId="81" xfId="1" applyNumberFormat="1" applyFont="1" applyFill="1" applyBorder="1" applyProtection="1"/>
    <xf numFmtId="172" fontId="11" fillId="39" borderId="82" xfId="1" applyNumberFormat="1" applyFont="1" applyFill="1" applyBorder="1" applyProtection="1"/>
    <xf numFmtId="172" fontId="11" fillId="39" borderId="86" xfId="1" applyNumberFormat="1" applyFont="1" applyFill="1" applyBorder="1" applyProtection="1"/>
    <xf numFmtId="172"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0" fillId="0" borderId="64"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168" fontId="38" fillId="0" borderId="0" xfId="0" applyNumberFormat="1" applyFont="1" applyAlignment="1">
      <alignment vertical="center"/>
    </xf>
    <xf numFmtId="168" fontId="38" fillId="48" borderId="0" xfId="94">
      <alignment vertical="center"/>
    </xf>
    <xf numFmtId="0" fontId="12" fillId="0" borderId="0" xfId="85" applyFont="1"/>
    <xf numFmtId="0" fontId="11" fillId="0" borderId="0" xfId="85" applyFont="1"/>
    <xf numFmtId="0" fontId="254" fillId="0" borderId="0" xfId="85" applyFont="1" applyProtection="1">
      <protection locked="0"/>
    </xf>
    <xf numFmtId="0" fontId="11" fillId="0" borderId="0" xfId="48236"/>
    <xf numFmtId="0" fontId="12" fillId="0" borderId="0" xfId="85" applyFont="1" applyAlignment="1">
      <alignment vertical="center"/>
    </xf>
    <xf numFmtId="0" fontId="8" fillId="0" borderId="0" xfId="0" applyFont="1"/>
    <xf numFmtId="168" fontId="39" fillId="49" borderId="0" xfId="96" applyAlignment="1">
      <alignment vertical="center"/>
    </xf>
    <xf numFmtId="168" fontId="37" fillId="42" borderId="0" xfId="0" applyNumberFormat="1" applyFont="1" applyFill="1" applyAlignment="1">
      <alignment vertical="center"/>
    </xf>
    <xf numFmtId="168" fontId="11" fillId="0" borderId="0" xfId="0" applyNumberFormat="1" applyFont="1" applyAlignment="1">
      <alignment horizontal="left" vertical="center" wrapText="1"/>
    </xf>
    <xf numFmtId="0" fontId="11" fillId="0" borderId="0" xfId="85" applyFont="1" applyAlignment="1">
      <alignment horizontal="left" indent="1"/>
    </xf>
    <xf numFmtId="0" fontId="12" fillId="0" borderId="0" xfId="85" applyFont="1" applyAlignment="1">
      <alignment horizontal="right"/>
    </xf>
    <xf numFmtId="0" fontId="256" fillId="0" borderId="0" xfId="85" applyFont="1"/>
    <xf numFmtId="172" fontId="11" fillId="38" borderId="102" xfId="1" applyNumberFormat="1" applyFont="1" applyFill="1" applyBorder="1" applyProtection="1"/>
    <xf numFmtId="0" fontId="11" fillId="0" borderId="59" xfId="85" applyFont="1" applyBorder="1" applyAlignment="1">
      <alignment horizontal="center"/>
    </xf>
    <xf numFmtId="0" fontId="11" fillId="0" borderId="60" xfId="85" applyFont="1" applyBorder="1" applyAlignment="1">
      <alignment horizontal="center"/>
    </xf>
    <xf numFmtId="9" fontId="8" fillId="43" borderId="65" xfId="77" applyFill="1" applyBorder="1" applyAlignment="1" applyProtection="1">
      <alignment vertical="center"/>
    </xf>
    <xf numFmtId="9" fontId="8" fillId="43" borderId="66" xfId="77" applyFill="1" applyBorder="1" applyAlignment="1" applyProtection="1">
      <alignment vertical="center"/>
    </xf>
    <xf numFmtId="0" fontId="11" fillId="0" borderId="0" xfId="80" applyFont="1" applyAlignment="1">
      <alignment horizontal="right" indent="1"/>
    </xf>
    <xf numFmtId="168" fontId="38" fillId="0" borderId="0" xfId="94" applyFill="1">
      <alignment vertical="center"/>
    </xf>
    <xf numFmtId="0" fontId="11" fillId="0" borderId="96" xfId="85" applyFont="1" applyBorder="1" applyAlignment="1">
      <alignment horizontal="center"/>
    </xf>
    <xf numFmtId="9" fontId="8" fillId="43" borderId="92" xfId="77" applyFill="1" applyBorder="1" applyAlignment="1" applyProtection="1">
      <alignment vertical="center"/>
    </xf>
    <xf numFmtId="0" fontId="11" fillId="0" borderId="111" xfId="85" applyFont="1" applyBorder="1"/>
    <xf numFmtId="0" fontId="11" fillId="0" borderId="112" xfId="85" applyFont="1" applyBorder="1" applyAlignment="1">
      <alignment horizontal="center"/>
    </xf>
    <xf numFmtId="9" fontId="8" fillId="43" borderId="114" xfId="77" applyFill="1" applyBorder="1" applyAlignment="1" applyProtection="1">
      <alignment vertical="center"/>
    </xf>
    <xf numFmtId="168" fontId="38" fillId="48" borderId="0" xfId="94" applyAlignment="1">
      <alignment horizontal="left" vertical="center" indent="1"/>
    </xf>
    <xf numFmtId="0" fontId="12" fillId="0" borderId="0" xfId="85" applyFont="1" applyAlignment="1">
      <alignment horizontal="left" indent="1"/>
    </xf>
    <xf numFmtId="168" fontId="39" fillId="49" borderId="0" xfId="96" applyAlignment="1">
      <alignment horizontal="left" vertical="center" indent="1"/>
    </xf>
    <xf numFmtId="9" fontId="8" fillId="3" borderId="59" xfId="77" applyFill="1" applyBorder="1" applyAlignment="1" applyProtection="1">
      <alignment vertical="center"/>
      <protection locked="0"/>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1" fontId="9" fillId="2" borderId="104" xfId="0" applyNumberFormat="1" applyFont="1" applyFill="1" applyBorder="1" applyAlignment="1">
      <alignment horizontal="center" vertical="center"/>
    </xf>
    <xf numFmtId="9" fontId="8" fillId="3" borderId="96" xfId="77" applyFill="1" applyBorder="1" applyAlignment="1" applyProtection="1">
      <alignment vertical="center"/>
      <protection locked="0"/>
    </xf>
    <xf numFmtId="0" fontId="0" fillId="0" borderId="118" xfId="0" applyBorder="1" applyAlignment="1">
      <alignment horizontal="center" vertical="top"/>
    </xf>
    <xf numFmtId="1" fontId="9" fillId="2" borderId="118" xfId="0" applyNumberFormat="1" applyFont="1" applyFill="1" applyBorder="1" applyAlignment="1">
      <alignment horizontal="center" vertical="center"/>
    </xf>
    <xf numFmtId="168" fontId="38" fillId="0" borderId="0" xfId="94" applyFill="1" applyAlignment="1">
      <alignment horizontal="left" vertical="center" indent="1"/>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0" fontId="12" fillId="0" borderId="0" xfId="77" applyNumberFormat="1" applyFont="1" applyFill="1" applyBorder="1" applyProtection="1"/>
    <xf numFmtId="9" fontId="8" fillId="3" borderId="59" xfId="95" applyNumberFormat="1" applyFill="1" applyBorder="1" applyAlignment="1" applyProtection="1">
      <alignment vertical="center"/>
      <protection locked="0"/>
    </xf>
    <xf numFmtId="9" fontId="8" fillId="3" borderId="60" xfId="95" applyNumberFormat="1" applyFill="1" applyBorder="1" applyAlignment="1" applyProtection="1">
      <alignment vertical="center"/>
      <protection locked="0"/>
    </xf>
    <xf numFmtId="9" fontId="8" fillId="3" borderId="96" xfId="95" applyNumberFormat="1" applyFill="1" applyBorder="1" applyAlignment="1" applyProtection="1">
      <alignment vertical="center"/>
      <protection locked="0"/>
    </xf>
    <xf numFmtId="9" fontId="8" fillId="3" borderId="112" xfId="95" applyNumberFormat="1" applyFill="1" applyBorder="1" applyAlignment="1" applyProtection="1">
      <alignment vertical="center"/>
      <protection locked="0"/>
    </xf>
    <xf numFmtId="170" fontId="11" fillId="38" borderId="59" xfId="77" applyNumberFormat="1" applyFont="1" applyFill="1" applyBorder="1" applyProtection="1"/>
    <xf numFmtId="170" fontId="11" fillId="38" borderId="61" xfId="77" applyNumberFormat="1" applyFont="1" applyFill="1" applyBorder="1" applyProtection="1"/>
    <xf numFmtId="172" fontId="11" fillId="38" borderId="68" xfId="1" applyNumberFormat="1" applyFont="1" applyFill="1" applyBorder="1" applyProtection="1"/>
    <xf numFmtId="172"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0"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3" fontId="0" fillId="117" borderId="63" xfId="0" applyNumberFormat="1" applyFill="1" applyBorder="1" applyAlignment="1">
      <alignment horizontal="right" indent="1"/>
    </xf>
    <xf numFmtId="172" fontId="11" fillId="38" borderId="78" xfId="1" applyNumberFormat="1" applyFont="1" applyFill="1" applyBorder="1" applyProtection="1"/>
    <xf numFmtId="172" fontId="11" fillId="38" borderId="89" xfId="1" applyNumberFormat="1" applyFont="1" applyFill="1" applyBorder="1" applyProtection="1"/>
    <xf numFmtId="172" fontId="11" fillId="38" borderId="120" xfId="1" applyNumberFormat="1" applyFont="1" applyFill="1" applyBorder="1" applyProtection="1"/>
    <xf numFmtId="172" fontId="11" fillId="52" borderId="59" xfId="1" applyNumberFormat="1" applyFont="1" applyFill="1" applyBorder="1" applyProtection="1"/>
    <xf numFmtId="0" fontId="9" fillId="0" borderId="0" xfId="0" applyFont="1" applyAlignment="1" applyProtection="1">
      <alignment horizontal="left" indent="1"/>
      <protection locked="0"/>
    </xf>
    <xf numFmtId="0" fontId="0" fillId="0" borderId="0" xfId="0" applyAlignment="1" applyProtection="1">
      <alignment horizontal="left" indent="1"/>
      <protection locked="0"/>
    </xf>
    <xf numFmtId="0" fontId="9" fillId="0" borderId="0" xfId="0" applyFont="1" applyAlignment="1">
      <alignment horizontal="left" indent="1"/>
    </xf>
    <xf numFmtId="172" fontId="11" fillId="3" borderId="59" xfId="85" applyNumberFormat="1" applyFont="1" applyFill="1" applyBorder="1" applyProtection="1">
      <protection locked="0"/>
    </xf>
    <xf numFmtId="172" fontId="11" fillId="3" borderId="60" xfId="85" applyNumberFormat="1" applyFont="1" applyFill="1" applyBorder="1" applyProtection="1">
      <protection locked="0"/>
    </xf>
    <xf numFmtId="172" fontId="11" fillId="3" borderId="96" xfId="85" applyNumberFormat="1" applyFont="1" applyFill="1" applyBorder="1" applyProtection="1">
      <protection locked="0"/>
    </xf>
    <xf numFmtId="172" fontId="11" fillId="3" borderId="62" xfId="85" applyNumberFormat="1" applyFont="1" applyFill="1" applyBorder="1" applyProtection="1">
      <protection locked="0"/>
    </xf>
    <xf numFmtId="172" fontId="11" fillId="3" borderId="63" xfId="85" applyNumberFormat="1" applyFont="1" applyFill="1" applyBorder="1" applyProtection="1">
      <protection locked="0"/>
    </xf>
    <xf numFmtId="172" fontId="11" fillId="3" borderId="94" xfId="85" applyNumberFormat="1" applyFont="1" applyFill="1" applyBorder="1" applyProtection="1">
      <protection locked="0"/>
    </xf>
    <xf numFmtId="172" fontId="11" fillId="3" borderId="76" xfId="85" applyNumberFormat="1" applyFont="1" applyFill="1" applyBorder="1" applyProtection="1">
      <protection locked="0"/>
    </xf>
    <xf numFmtId="172" fontId="11" fillId="3" borderId="84" xfId="85" applyNumberFormat="1" applyFont="1" applyFill="1" applyBorder="1" applyProtection="1">
      <protection locked="0"/>
    </xf>
    <xf numFmtId="172" fontId="11" fillId="3" borderId="119" xfId="85" applyNumberFormat="1" applyFont="1" applyFill="1" applyBorder="1" applyProtection="1">
      <protection locked="0"/>
    </xf>
    <xf numFmtId="172" fontId="11" fillId="3" borderId="68" xfId="85" applyNumberFormat="1" applyFont="1" applyFill="1" applyBorder="1" applyProtection="1">
      <protection locked="0"/>
    </xf>
    <xf numFmtId="172" fontId="11" fillId="3" borderId="69" xfId="85" applyNumberFormat="1" applyFont="1" applyFill="1" applyBorder="1" applyProtection="1">
      <protection locked="0"/>
    </xf>
    <xf numFmtId="172" fontId="11" fillId="3" borderId="110" xfId="85" applyNumberFormat="1" applyFont="1" applyFill="1" applyBorder="1" applyProtection="1">
      <protection locked="0"/>
    </xf>
    <xf numFmtId="172"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10" fontId="8" fillId="3" borderId="59" xfId="95" applyNumberFormat="1" applyFill="1" applyBorder="1" applyAlignment="1" applyProtection="1">
      <alignment vertical="center"/>
      <protection locked="0"/>
    </xf>
    <xf numFmtId="10" fontId="8" fillId="3" borderId="60" xfId="95" applyNumberFormat="1" applyFill="1" applyBorder="1" applyAlignment="1" applyProtection="1">
      <alignment vertical="center"/>
      <protection locked="0"/>
    </xf>
    <xf numFmtId="10" fontId="8" fillId="3" borderId="96" xfId="95" applyNumberFormat="1" applyFill="1" applyBorder="1" applyAlignment="1" applyProtection="1">
      <alignment vertical="center"/>
      <protection locked="0"/>
    </xf>
    <xf numFmtId="9" fontId="8" fillId="3" borderId="60" xfId="77" applyFill="1" applyBorder="1" applyAlignment="1" applyProtection="1">
      <alignment vertical="center"/>
      <protection locked="0"/>
    </xf>
    <xf numFmtId="0" fontId="11" fillId="0" borderId="0" xfId="7" applyFont="1" applyAlignment="1">
      <alignment horizontal="left" vertical="center" wrapText="1" indent="1"/>
    </xf>
    <xf numFmtId="167"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2" fontId="12" fillId="51" borderId="71" xfId="1" applyNumberFormat="1" applyFont="1" applyFill="1" applyBorder="1" applyProtection="1"/>
    <xf numFmtId="170" fontId="11" fillId="116" borderId="71" xfId="1" applyNumberFormat="1" applyFont="1" applyFill="1" applyBorder="1" applyProtection="1"/>
    <xf numFmtId="170" fontId="11" fillId="116" borderId="72" xfId="1" applyNumberFormat="1" applyFont="1" applyFill="1" applyBorder="1" applyProtection="1"/>
    <xf numFmtId="170" fontId="11" fillId="51" borderId="71" xfId="1" applyNumberFormat="1" applyFont="1" applyFill="1" applyBorder="1" applyProtection="1"/>
    <xf numFmtId="170"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0" fontId="272" fillId="47" borderId="0" xfId="90" applyFont="1" applyFill="1" applyAlignment="1">
      <alignment horizontal="left" inden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178" fontId="0" fillId="0" borderId="63" xfId="0" applyNumberFormat="1" applyBorder="1" applyAlignment="1">
      <alignment horizontal="right" indent="1"/>
    </xf>
    <xf numFmtId="164" fontId="0" fillId="0" borderId="63" xfId="0" applyNumberFormat="1" applyBorder="1" applyAlignment="1">
      <alignment horizontal="right" indent="1"/>
    </xf>
    <xf numFmtId="3" fontId="11" fillId="0" borderId="98" xfId="89" applyNumberFormat="1" applyFont="1" applyBorder="1" applyAlignment="1">
      <alignment horizontal="left" indent="1"/>
    </xf>
    <xf numFmtId="178" fontId="0" fillId="0" borderId="66" xfId="0" applyNumberFormat="1" applyBorder="1" applyAlignment="1">
      <alignment horizontal="right" indent="1"/>
    </xf>
    <xf numFmtId="172" fontId="0" fillId="0" borderId="63" xfId="0" applyNumberFormat="1" applyBorder="1" applyAlignment="1">
      <alignment horizontal="right" indent="1"/>
    </xf>
    <xf numFmtId="173" fontId="11" fillId="132" borderId="0" xfId="7" applyNumberFormat="1" applyFont="1" applyFill="1" applyAlignment="1">
      <alignment horizontal="center"/>
    </xf>
    <xf numFmtId="9" fontId="0" fillId="132" borderId="0" xfId="0" applyNumberFormat="1" applyFill="1" applyAlignment="1">
      <alignment horizontal="center"/>
    </xf>
    <xf numFmtId="178" fontId="11" fillId="0" borderId="0" xfId="7" applyNumberFormat="1" applyFont="1" applyAlignment="1">
      <alignment horizontal="center" vertical="center"/>
    </xf>
    <xf numFmtId="0" fontId="11" fillId="42" borderId="0" xfId="7" applyFont="1" applyFill="1" applyAlignment="1">
      <alignment horizontal="center"/>
    </xf>
    <xf numFmtId="10" fontId="11" fillId="0" borderId="0" xfId="7" applyNumberFormat="1" applyFont="1" applyAlignment="1">
      <alignment horizontal="center" vertical="center"/>
    </xf>
    <xf numFmtId="168"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178" fontId="0" fillId="0" borderId="0" xfId="0" applyNumberFormat="1"/>
    <xf numFmtId="0" fontId="37" fillId="0" borderId="0" xfId="0" applyFont="1"/>
    <xf numFmtId="0" fontId="0" fillId="0" borderId="0" xfId="0" applyAlignment="1" applyProtection="1">
      <alignment horizontal="center"/>
      <protection locked="0"/>
    </xf>
    <xf numFmtId="0" fontId="11" fillId="0" borderId="0" xfId="85" applyFont="1" applyAlignment="1">
      <alignment horizontal="left" vertical="center" wrapText="1"/>
    </xf>
    <xf numFmtId="0" fontId="11" fillId="0" borderId="89" xfId="7" applyFont="1" applyBorder="1" applyAlignment="1">
      <alignment horizontal="left" vertical="center" wrapText="1" indent="1"/>
    </xf>
    <xf numFmtId="173" fontId="0" fillId="117" borderId="59" xfId="0" applyNumberFormat="1" applyFill="1" applyBorder="1" applyAlignment="1">
      <alignment horizontal="right" indent="1"/>
    </xf>
    <xf numFmtId="173" fontId="0" fillId="117" borderId="60" xfId="0" applyNumberFormat="1" applyFill="1" applyBorder="1" applyAlignment="1">
      <alignment horizontal="right" indent="1"/>
    </xf>
    <xf numFmtId="173" fontId="0" fillId="117" borderId="62" xfId="0" applyNumberFormat="1" applyFill="1" applyBorder="1" applyAlignment="1">
      <alignment horizontal="right" indent="1"/>
    </xf>
    <xf numFmtId="10" fontId="0" fillId="0" borderId="100" xfId="0" applyNumberFormat="1" applyBorder="1"/>
    <xf numFmtId="173"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3" fontId="0" fillId="117" borderId="66" xfId="0" applyNumberFormat="1" applyFill="1" applyBorder="1" applyAlignment="1">
      <alignment horizontal="right" indent="1"/>
    </xf>
    <xf numFmtId="173"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2" fontId="11" fillId="38" borderId="135" xfId="1" applyNumberFormat="1" applyFont="1" applyFill="1" applyBorder="1" applyProtection="1"/>
    <xf numFmtId="0" fontId="0" fillId="0" borderId="135" xfId="0" applyBorder="1" applyAlignment="1">
      <alignment horizontal="center" vertical="top"/>
    </xf>
    <xf numFmtId="0" fontId="0" fillId="0" borderId="138" xfId="0" applyBorder="1" applyAlignment="1">
      <alignment horizontal="center" vertical="top"/>
    </xf>
    <xf numFmtId="172" fontId="11" fillId="38" borderId="136" xfId="1" applyNumberFormat="1" applyFont="1" applyFill="1" applyBorder="1" applyProtection="1"/>
    <xf numFmtId="172" fontId="11" fillId="38" borderId="137" xfId="1" applyNumberFormat="1" applyFont="1" applyFill="1" applyBorder="1" applyProtection="1"/>
    <xf numFmtId="10" fontId="0" fillId="117" borderId="63" xfId="77" applyNumberFormat="1" applyFont="1" applyFill="1" applyBorder="1" applyAlignment="1">
      <alignment horizontal="right" indent="1"/>
    </xf>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8" fontId="11" fillId="52" borderId="6" xfId="7" applyNumberFormat="1" applyFont="1" applyFill="1" applyBorder="1" applyAlignment="1">
      <alignment horizontal="center" vertical="center"/>
    </xf>
    <xf numFmtId="172" fontId="11" fillId="38" borderId="76" xfId="1" applyNumberFormat="1" applyFont="1" applyFill="1" applyBorder="1" applyProtection="1"/>
    <xf numFmtId="172" fontId="12" fillId="38" borderId="139" xfId="1" applyNumberFormat="1" applyFont="1" applyFill="1" applyBorder="1" applyProtection="1"/>
    <xf numFmtId="172" fontId="12" fillId="38" borderId="140" xfId="1" applyNumberFormat="1" applyFont="1" applyFill="1" applyBorder="1" applyProtection="1"/>
    <xf numFmtId="172" fontId="12" fillId="38" borderId="141" xfId="1" applyNumberFormat="1" applyFont="1" applyFill="1" applyBorder="1" applyProtection="1"/>
    <xf numFmtId="0" fontId="0" fillId="0" borderId="142" xfId="0" applyBorder="1"/>
    <xf numFmtId="170" fontId="12" fillId="38" borderId="139" xfId="77" applyNumberFormat="1" applyFont="1" applyFill="1" applyBorder="1" applyProtection="1"/>
    <xf numFmtId="170" fontId="12" fillId="38" borderId="141" xfId="77" applyNumberFormat="1" applyFont="1" applyFill="1" applyBorder="1" applyProtection="1"/>
    <xf numFmtId="170" fontId="12" fillId="38" borderId="140" xfId="77" applyNumberFormat="1" applyFont="1" applyFill="1" applyBorder="1" applyProtection="1"/>
    <xf numFmtId="170" fontId="11" fillId="38" borderId="77" xfId="77" applyNumberFormat="1" applyFont="1" applyFill="1" applyBorder="1" applyProtection="1"/>
    <xf numFmtId="170" fontId="12" fillId="38" borderId="143" xfId="77" applyNumberFormat="1" applyFont="1" applyFill="1" applyBorder="1" applyProtection="1"/>
    <xf numFmtId="170"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79" fontId="11" fillId="3" borderId="0" xfId="0" applyNumberFormat="1" applyFont="1" applyFill="1" applyAlignment="1" applyProtection="1">
      <alignment horizontal="left" vertical="center" indent="1"/>
      <protection locked="0"/>
    </xf>
    <xf numFmtId="10" fontId="0" fillId="0" borderId="0" xfId="0" applyNumberFormat="1"/>
    <xf numFmtId="173" fontId="0" fillId="0" borderId="142" xfId="0" applyNumberFormat="1" applyBorder="1" applyAlignment="1">
      <alignment horizontal="right" indent="1"/>
    </xf>
    <xf numFmtId="173" fontId="0" fillId="117" borderId="86" xfId="0" applyNumberFormat="1" applyFill="1" applyBorder="1" applyAlignment="1">
      <alignment horizontal="right" indent="1"/>
    </xf>
    <xf numFmtId="173" fontId="0" fillId="117" borderId="144" xfId="0" applyNumberFormat="1" applyFill="1" applyBorder="1" applyAlignment="1">
      <alignment horizontal="right" indent="1"/>
    </xf>
    <xf numFmtId="10" fontId="0" fillId="117" borderId="145" xfId="77" applyNumberFormat="1" applyFont="1" applyFill="1" applyBorder="1" applyAlignment="1">
      <alignment horizontal="right" indent="1"/>
    </xf>
    <xf numFmtId="173" fontId="0" fillId="117" borderId="146" xfId="0" applyNumberFormat="1" applyFill="1" applyBorder="1" applyAlignment="1">
      <alignment horizontal="right" indent="1"/>
    </xf>
    <xf numFmtId="10" fontId="0" fillId="0" borderId="147" xfId="0" applyNumberFormat="1" applyBorder="1"/>
    <xf numFmtId="173" fontId="0" fillId="117" borderId="145" xfId="0" applyNumberFormat="1" applyFill="1" applyBorder="1" applyAlignment="1">
      <alignment horizontal="right" indent="1"/>
    </xf>
    <xf numFmtId="10" fontId="0" fillId="0" borderId="148" xfId="0" applyNumberFormat="1" applyBorder="1"/>
    <xf numFmtId="10" fontId="0" fillId="0" borderId="149" xfId="0" applyNumberFormat="1" applyBorder="1"/>
    <xf numFmtId="173" fontId="0" fillId="117" borderId="150" xfId="0" applyNumberFormat="1" applyFill="1" applyBorder="1" applyAlignment="1">
      <alignment horizontal="right" indent="1"/>
    </xf>
    <xf numFmtId="173" fontId="0" fillId="117" borderId="151" xfId="0" applyNumberFormat="1" applyFill="1" applyBorder="1" applyAlignment="1">
      <alignment horizontal="right" indent="1"/>
    </xf>
    <xf numFmtId="1" fontId="9" fillId="53" borderId="152" xfId="0" applyNumberFormat="1" applyFont="1" applyFill="1" applyBorder="1" applyAlignment="1">
      <alignment horizontal="center" vertical="center"/>
    </xf>
    <xf numFmtId="1" fontId="9" fillId="53" borderId="153" xfId="0" applyNumberFormat="1" applyFont="1" applyFill="1" applyBorder="1" applyAlignment="1">
      <alignment horizontal="center" vertical="center"/>
    </xf>
    <xf numFmtId="1" fontId="9" fillId="53" borderId="154" xfId="0" applyNumberFormat="1" applyFont="1" applyFill="1" applyBorder="1" applyAlignment="1">
      <alignment horizontal="center" vertical="center"/>
    </xf>
    <xf numFmtId="1" fontId="9" fillId="53" borderId="155" xfId="0" applyNumberFormat="1" applyFont="1" applyFill="1" applyBorder="1" applyAlignment="1">
      <alignment horizontal="center" vertical="center"/>
    </xf>
    <xf numFmtId="173" fontId="0" fillId="117" borderId="159" xfId="0" applyNumberFormat="1" applyFill="1" applyBorder="1" applyAlignment="1">
      <alignment horizontal="right" indent="1"/>
    </xf>
    <xf numFmtId="173" fontId="0" fillId="117" borderId="160" xfId="0" applyNumberFormat="1" applyFill="1" applyBorder="1" applyAlignment="1">
      <alignment horizontal="right" indent="1"/>
    </xf>
    <xf numFmtId="10" fontId="0" fillId="0" borderId="161" xfId="0" applyNumberFormat="1" applyBorder="1"/>
    <xf numFmtId="10" fontId="0" fillId="117" borderId="160" xfId="77" applyNumberFormat="1" applyFont="1" applyFill="1" applyBorder="1" applyAlignment="1">
      <alignment horizontal="right" indent="1"/>
    </xf>
    <xf numFmtId="10" fontId="0" fillId="117" borderId="162" xfId="77" applyNumberFormat="1" applyFont="1" applyFill="1" applyBorder="1" applyAlignment="1">
      <alignment horizontal="right" indent="1"/>
    </xf>
    <xf numFmtId="3" fontId="11" fillId="0" borderId="159" xfId="89" applyNumberFormat="1" applyFont="1" applyBorder="1" applyAlignment="1">
      <alignment horizontal="left" indent="1"/>
    </xf>
    <xf numFmtId="0" fontId="0" fillId="0" borderId="160" xfId="0" applyBorder="1" applyAlignment="1">
      <alignment horizontal="center"/>
    </xf>
    <xf numFmtId="0" fontId="0" fillId="0" borderId="163" xfId="0" applyBorder="1" applyAlignment="1">
      <alignment horizontal="center"/>
    </xf>
    <xf numFmtId="0" fontId="0" fillId="0" borderId="164" xfId="0" applyBorder="1" applyAlignment="1">
      <alignment horizontal="center" vertical="center"/>
    </xf>
    <xf numFmtId="3" fontId="11" fillId="0" borderId="146" xfId="89" applyNumberFormat="1" applyFont="1" applyBorder="1" applyAlignment="1">
      <alignment horizontal="left" indent="1"/>
    </xf>
    <xf numFmtId="0" fontId="0" fillId="0" borderId="165" xfId="0" applyBorder="1" applyAlignment="1">
      <alignment horizontal="center" vertical="center"/>
    </xf>
    <xf numFmtId="3" fontId="11" fillId="0" borderId="166" xfId="89" applyNumberFormat="1" applyFont="1" applyBorder="1" applyAlignment="1">
      <alignment horizontal="left" indent="1"/>
    </xf>
    <xf numFmtId="0" fontId="0" fillId="0" borderId="150" xfId="0" applyBorder="1" applyAlignment="1">
      <alignment horizontal="center"/>
    </xf>
    <xf numFmtId="0" fontId="0" fillId="0" borderId="167" xfId="0" applyBorder="1" applyAlignment="1">
      <alignment horizontal="center"/>
    </xf>
    <xf numFmtId="0" fontId="0" fillId="0" borderId="168" xfId="0" applyBorder="1" applyAlignment="1">
      <alignment horizontal="center" vertical="center"/>
    </xf>
    <xf numFmtId="0" fontId="11" fillId="0" borderId="152" xfId="7" applyFont="1" applyBorder="1" applyAlignment="1">
      <alignment horizontal="left" indent="1"/>
    </xf>
    <xf numFmtId="10" fontId="0" fillId="0" borderId="169" xfId="0" applyNumberFormat="1" applyBorder="1"/>
    <xf numFmtId="0" fontId="0" fillId="0" borderId="154" xfId="0" applyBorder="1"/>
    <xf numFmtId="0" fontId="0" fillId="0" borderId="170" xfId="0" applyBorder="1"/>
    <xf numFmtId="0" fontId="0" fillId="0" borderId="155" xfId="0" applyBorder="1"/>
    <xf numFmtId="0" fontId="0" fillId="0" borderId="171" xfId="0" applyBorder="1" applyAlignment="1">
      <alignment horizontal="center" vertical="center" wrapText="1"/>
    </xf>
    <xf numFmtId="0" fontId="11" fillId="0" borderId="172"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6" xfId="0" applyBorder="1" applyAlignment="1">
      <alignment horizontal="center" vertical="center" wrapTex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 borderId="6" xfId="1" applyNumberFormat="1" applyFont="1" applyFill="1" applyBorder="1" applyAlignment="1" applyProtection="1">
      <alignment horizontal="right" vertical="center"/>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75"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0"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75" fontId="11" fillId="36" borderId="6" xfId="75" applyNumberFormat="1" applyFont="1" applyFill="1" applyBorder="1"/>
    <xf numFmtId="0" fontId="31" fillId="47" borderId="142" xfId="90" applyFont="1" applyFill="1" applyBorder="1" applyAlignment="1">
      <alignment horizontal="left"/>
    </xf>
    <xf numFmtId="0" fontId="33" fillId="47" borderId="142" xfId="75" applyFont="1" applyFill="1" applyBorder="1"/>
    <xf numFmtId="172" fontId="11" fillId="38" borderId="6" xfId="1" applyNumberFormat="1" applyFont="1" applyFill="1" applyBorder="1" applyProtection="1"/>
    <xf numFmtId="0" fontId="274" fillId="47" borderId="142" xfId="90" applyFont="1" applyFill="1" applyBorder="1" applyAlignment="1">
      <alignment horizontal="left"/>
    </xf>
    <xf numFmtId="0" fontId="272" fillId="47" borderId="142" xfId="90" applyFont="1" applyFill="1" applyBorder="1" applyAlignment="1">
      <alignment horizontal="left"/>
    </xf>
    <xf numFmtId="0" fontId="0" fillId="0" borderId="28" xfId="0" applyBorder="1" applyAlignment="1">
      <alignment horizontal="center" vertical="top"/>
    </xf>
    <xf numFmtId="0" fontId="11" fillId="0" borderId="6" xfId="85" applyFont="1" applyBorder="1"/>
    <xf numFmtId="167" fontId="11" fillId="3" borderId="6" xfId="85" applyNumberFormat="1" applyFont="1" applyFill="1" applyBorder="1" applyProtection="1">
      <protection locked="0"/>
    </xf>
    <xf numFmtId="172"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2" fontId="12" fillId="51" borderId="139" xfId="1" applyNumberFormat="1" applyFont="1" applyFill="1" applyBorder="1" applyProtection="1"/>
    <xf numFmtId="172"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79" xfId="90" applyFont="1" applyFill="1" applyBorder="1" applyAlignment="1">
      <alignment horizontal="left"/>
    </xf>
    <xf numFmtId="0" fontId="271" fillId="47" borderId="180" xfId="0" applyFont="1" applyFill="1" applyBorder="1" applyAlignment="1">
      <alignment wrapText="1"/>
    </xf>
    <xf numFmtId="0" fontId="0" fillId="52" borderId="179" xfId="0" applyFill="1" applyBorder="1" applyAlignment="1">
      <alignment horizontal="center" wrapText="1"/>
    </xf>
    <xf numFmtId="0" fontId="0" fillId="52" borderId="180" xfId="0" applyFill="1" applyBorder="1"/>
    <xf numFmtId="0" fontId="245" fillId="46" borderId="0" xfId="48239" applyFont="1" applyFill="1" applyAlignment="1">
      <alignment horizontal="center" vertical="top" wrapText="1"/>
    </xf>
    <xf numFmtId="353" fontId="9" fillId="2" borderId="6" xfId="0" applyNumberFormat="1" applyFont="1" applyFill="1" applyBorder="1" applyAlignment="1">
      <alignment horizontal="center" vertical="center"/>
    </xf>
    <xf numFmtId="0" fontId="11" fillId="51" borderId="0" xfId="85" applyFont="1" applyFill="1"/>
    <xf numFmtId="14" fontId="0" fillId="2" borderId="6" xfId="0" applyNumberFormat="1" applyFill="1" applyBorder="1"/>
    <xf numFmtId="168" fontId="11" fillId="3" borderId="135" xfId="0" applyNumberFormat="1" applyFont="1" applyFill="1" applyBorder="1" applyAlignment="1">
      <alignment vertical="center"/>
    </xf>
    <xf numFmtId="168" fontId="11" fillId="3" borderId="28" xfId="0" applyNumberFormat="1" applyFont="1" applyFill="1" applyBorder="1" applyAlignment="1">
      <alignment vertical="center" wrapText="1"/>
    </xf>
    <xf numFmtId="168" fontId="11" fillId="3" borderId="28" xfId="0" applyNumberFormat="1" applyFont="1" applyFill="1" applyBorder="1" applyAlignment="1">
      <alignment horizontal="left" vertical="center" wrapText="1"/>
    </xf>
    <xf numFmtId="168" fontId="11" fillId="3" borderId="138" xfId="0" applyNumberFormat="1" applyFont="1" applyFill="1" applyBorder="1" applyAlignment="1">
      <alignment horizontal="left" vertical="center" wrapText="1"/>
    </xf>
    <xf numFmtId="172" fontId="8" fillId="3" borderId="68" xfId="95" applyNumberFormat="1" applyFill="1" applyBorder="1" applyAlignment="1" applyProtection="1">
      <alignment vertical="center"/>
      <protection locked="0"/>
    </xf>
    <xf numFmtId="172" fontId="8" fillId="3" borderId="82" xfId="95" applyNumberFormat="1" applyFill="1" applyBorder="1" applyAlignment="1" applyProtection="1">
      <alignment vertical="center"/>
      <protection locked="0"/>
    </xf>
    <xf numFmtId="0" fontId="281" fillId="0" borderId="0" xfId="85" applyFont="1"/>
    <xf numFmtId="173" fontId="11" fillId="0" borderId="0" xfId="85" applyNumberFormat="1" applyFont="1"/>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351" fontId="11" fillId="0" borderId="0" xfId="85" applyNumberFormat="1" applyFont="1"/>
    <xf numFmtId="0" fontId="0" fillId="0" borderId="193" xfId="0" applyBorder="1"/>
    <xf numFmtId="0" fontId="0" fillId="0" borderId="89" xfId="0" applyBorder="1"/>
    <xf numFmtId="0" fontId="0" fillId="0" borderId="90" xfId="0" applyBorder="1"/>
    <xf numFmtId="0" fontId="295" fillId="136" borderId="0" xfId="51698" applyFont="1" applyFill="1"/>
    <xf numFmtId="0" fontId="0" fillId="101" borderId="0" xfId="0" applyFill="1"/>
    <xf numFmtId="0" fontId="9" fillId="53" borderId="190" xfId="0" applyFont="1" applyFill="1" applyBorder="1" applyAlignment="1">
      <alignment wrapText="1"/>
    </xf>
    <xf numFmtId="0" fontId="9" fillId="53" borderId="191" xfId="0" applyFont="1" applyFill="1" applyBorder="1" applyAlignment="1">
      <alignment wrapText="1"/>
    </xf>
    <xf numFmtId="14" fontId="9" fillId="53" borderId="190" xfId="0" applyNumberFormat="1" applyFont="1" applyFill="1" applyBorder="1" applyAlignment="1">
      <alignment wrapText="1"/>
    </xf>
    <xf numFmtId="355" fontId="9" fillId="53" borderId="190" xfId="77" applyNumberFormat="1" applyFont="1" applyFill="1" applyBorder="1" applyAlignment="1">
      <alignment wrapText="1"/>
    </xf>
    <xf numFmtId="0" fontId="9" fillId="53" borderId="194" xfId="0" applyFont="1" applyFill="1" applyBorder="1" applyAlignment="1">
      <alignment wrapText="1"/>
    </xf>
    <xf numFmtId="0" fontId="249" fillId="0" borderId="0" xfId="79" applyFont="1" applyAlignment="1">
      <alignment horizontal="left"/>
    </xf>
    <xf numFmtId="0" fontId="249" fillId="0" borderId="0" xfId="79" applyFont="1" applyAlignment="1" applyProtection="1">
      <alignment horizontal="left" indent="1"/>
      <protection locked="0"/>
    </xf>
    <xf numFmtId="0" fontId="251" fillId="0" borderId="0" xfId="78" applyFont="1" applyProtection="1">
      <protection locked="0"/>
    </xf>
    <xf numFmtId="0" fontId="249" fillId="0" borderId="0" xfId="78" applyFont="1" applyAlignment="1" applyProtection="1">
      <alignment horizontal="left"/>
      <protection locked="0"/>
    </xf>
    <xf numFmtId="0" fontId="249" fillId="0" borderId="0" xfId="79" applyFont="1" applyAlignment="1" applyProtection="1">
      <alignment horizontal="left"/>
      <protection locked="0"/>
    </xf>
    <xf numFmtId="0" fontId="253" fillId="0" borderId="0" xfId="85" applyFont="1" applyAlignment="1">
      <alignment horizontal="left" indent="1"/>
    </xf>
    <xf numFmtId="168" fontId="39" fillId="0" borderId="0" xfId="96" applyFill="1" applyAlignment="1">
      <alignment vertical="center"/>
    </xf>
    <xf numFmtId="0" fontId="0" fillId="0" borderId="6" xfId="0" applyBorder="1" applyAlignment="1">
      <alignment vertical="center" wrapText="1"/>
    </xf>
    <xf numFmtId="15" fontId="245" fillId="46" borderId="192" xfId="48239" applyNumberFormat="1" applyFont="1" applyFill="1" applyBorder="1" applyAlignment="1">
      <alignment horizontal="center" vertical="top" wrapText="1"/>
    </xf>
    <xf numFmtId="0" fontId="245" fillId="46" borderId="192" xfId="48239" applyFont="1" applyFill="1" applyBorder="1" applyAlignment="1">
      <alignment vertical="top" wrapText="1"/>
    </xf>
    <xf numFmtId="0" fontId="245" fillId="46" borderId="192" xfId="48239" applyFont="1" applyFill="1" applyBorder="1" applyAlignment="1">
      <alignment horizontal="center" vertical="top" wrapText="1"/>
    </xf>
    <xf numFmtId="0" fontId="0" fillId="0" borderId="6" xfId="0" applyBorder="1" applyAlignment="1">
      <alignment vertical="center"/>
    </xf>
    <xf numFmtId="0" fontId="0" fillId="0" borderId="6" xfId="0" applyBorder="1" applyAlignment="1">
      <alignment horizontal="left" vertical="top" wrapText="1" indent="1"/>
    </xf>
    <xf numFmtId="0" fontId="0" fillId="0" borderId="6" xfId="0" applyBorder="1" applyAlignment="1">
      <alignment horizontal="left" vertical="top"/>
    </xf>
    <xf numFmtId="0" fontId="0" fillId="0" borderId="6" xfId="0" applyBorder="1" applyAlignment="1">
      <alignment vertical="top" wrapText="1"/>
    </xf>
    <xf numFmtId="0" fontId="0" fillId="0" borderId="6" xfId="0" applyBorder="1" applyAlignment="1">
      <alignment vertical="top"/>
    </xf>
    <xf numFmtId="0" fontId="11" fillId="0" borderId="6" xfId="0" applyFont="1" applyBorder="1" applyAlignment="1">
      <alignment vertical="center" wrapText="1"/>
    </xf>
    <xf numFmtId="173" fontId="0" fillId="0" borderId="6" xfId="0" applyNumberFormat="1" applyBorder="1" applyAlignment="1">
      <alignment horizontal="center" vertical="center"/>
    </xf>
    <xf numFmtId="173" fontId="11" fillId="0" borderId="6" xfId="7" applyNumberFormat="1" applyFont="1" applyBorder="1" applyAlignment="1">
      <alignment horizontal="center" vertical="center"/>
    </xf>
    <xf numFmtId="173" fontId="0" fillId="0" borderId="134" xfId="0" applyNumberFormat="1" applyBorder="1" applyAlignment="1">
      <alignment horizontal="center" vertical="center"/>
    </xf>
    <xf numFmtId="172" fontId="11" fillId="0" borderId="62" xfId="85" applyNumberFormat="1" applyFont="1" applyBorder="1" applyProtection="1">
      <protection locked="0"/>
    </xf>
    <xf numFmtId="167" fontId="11" fillId="0" borderId="0" xfId="85" applyNumberFormat="1" applyFont="1" applyProtection="1">
      <protection locked="0"/>
    </xf>
    <xf numFmtId="167" fontId="11" fillId="0" borderId="107" xfId="85" applyNumberFormat="1" applyFont="1" applyBorder="1" applyProtection="1">
      <protection locked="0"/>
    </xf>
    <xf numFmtId="167"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3"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79" fontId="11" fillId="138" borderId="6" xfId="89" applyNumberFormat="1" applyFont="1" applyFill="1" applyBorder="1" applyAlignment="1">
      <alignment horizontal="left" indent="1"/>
    </xf>
    <xf numFmtId="172" fontId="0" fillId="42" borderId="59" xfId="0" applyNumberFormat="1" applyFill="1" applyBorder="1" applyAlignment="1">
      <alignment horizontal="right" vertical="top"/>
    </xf>
    <xf numFmtId="164" fontId="0" fillId="0" borderId="0" xfId="0" applyNumberFormat="1"/>
    <xf numFmtId="0" fontId="290" fillId="0" borderId="0" xfId="0" applyFont="1"/>
    <xf numFmtId="0" fontId="290" fillId="0" borderId="0" xfId="0" applyFont="1" applyAlignment="1">
      <alignment horizontal="left" indent="1"/>
    </xf>
    <xf numFmtId="173"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0" fillId="0" borderId="6" xfId="0" applyBorder="1" applyAlignment="1">
      <alignment horizontal="left" vertical="top" wrapText="1"/>
    </xf>
    <xf numFmtId="0" fontId="272" fillId="47" borderId="193" xfId="90" applyFont="1" applyFill="1" applyBorder="1" applyAlignment="1">
      <alignment horizontal="left"/>
    </xf>
    <xf numFmtId="0" fontId="0" fillId="52" borderId="193" xfId="0" applyFill="1" applyBorder="1" applyAlignment="1">
      <alignment horizontal="center" wrapText="1"/>
    </xf>
    <xf numFmtId="164" fontId="248" fillId="0" borderId="0" xfId="0" applyNumberFormat="1" applyFont="1"/>
    <xf numFmtId="172" fontId="11" fillId="3" borderId="81" xfId="85" applyNumberFormat="1" applyFont="1" applyFill="1" applyBorder="1" applyProtection="1">
      <protection locked="0"/>
    </xf>
    <xf numFmtId="172" fontId="11" fillId="3" borderId="87" xfId="85" applyNumberFormat="1" applyFont="1" applyFill="1" applyBorder="1" applyProtection="1">
      <protection locked="0"/>
    </xf>
    <xf numFmtId="172" fontId="11" fillId="3" borderId="85" xfId="85" applyNumberFormat="1" applyFont="1" applyFill="1" applyBorder="1" applyProtection="1">
      <protection locked="0"/>
    </xf>
    <xf numFmtId="172" fontId="11" fillId="3" borderId="82" xfId="85" applyNumberFormat="1" applyFont="1" applyFill="1" applyBorder="1" applyProtection="1">
      <protection locked="0"/>
    </xf>
    <xf numFmtId="10" fontId="8" fillId="3" borderId="85" xfId="95" applyNumberFormat="1" applyFill="1" applyBorder="1" applyAlignment="1" applyProtection="1">
      <alignment vertical="center"/>
      <protection locked="0"/>
    </xf>
    <xf numFmtId="9" fontId="8" fillId="43" borderId="86" xfId="77" applyFill="1" applyBorder="1" applyAlignment="1" applyProtection="1">
      <alignment vertical="center"/>
    </xf>
    <xf numFmtId="9" fontId="8" fillId="3" borderId="85" xfId="77" applyFill="1" applyBorder="1" applyAlignment="1" applyProtection="1">
      <alignment vertical="center"/>
      <protection locked="0"/>
    </xf>
    <xf numFmtId="172" fontId="11" fillId="3" borderId="100" xfId="85" applyNumberFormat="1" applyFont="1" applyFill="1" applyBorder="1" applyProtection="1">
      <protection locked="0"/>
    </xf>
    <xf numFmtId="0" fontId="254" fillId="0" borderId="198" xfId="85" applyFont="1" applyBorder="1" applyProtection="1">
      <protection locked="0"/>
    </xf>
    <xf numFmtId="172" fontId="11" fillId="3" borderId="202" xfId="85" applyNumberFormat="1" applyFont="1" applyFill="1" applyBorder="1" applyProtection="1">
      <protection locked="0"/>
    </xf>
    <xf numFmtId="172" fontId="11" fillId="3" borderId="205" xfId="85" applyNumberFormat="1" applyFont="1" applyFill="1" applyBorder="1" applyProtection="1">
      <protection locked="0"/>
    </xf>
    <xf numFmtId="172" fontId="11" fillId="3" borderId="204" xfId="85" applyNumberFormat="1" applyFont="1" applyFill="1" applyBorder="1" applyProtection="1">
      <protection locked="0"/>
    </xf>
    <xf numFmtId="172" fontId="11" fillId="3" borderId="201" xfId="85" applyNumberFormat="1" applyFont="1" applyFill="1" applyBorder="1" applyProtection="1">
      <protection locked="0"/>
    </xf>
    <xf numFmtId="172" fontId="11" fillId="3" borderId="206" xfId="85" applyNumberFormat="1" applyFont="1" applyFill="1" applyBorder="1" applyProtection="1">
      <protection locked="0"/>
    </xf>
    <xf numFmtId="10" fontId="8" fillId="3" borderId="201" xfId="95" applyNumberFormat="1" applyFill="1" applyBorder="1" applyAlignment="1" applyProtection="1">
      <alignment vertical="center"/>
      <protection locked="0"/>
    </xf>
    <xf numFmtId="9" fontId="8" fillId="43" borderId="200" xfId="77" applyFill="1" applyBorder="1" applyAlignment="1" applyProtection="1">
      <alignment vertical="center"/>
    </xf>
    <xf numFmtId="9" fontId="8" fillId="3" borderId="201" xfId="77" applyFill="1" applyBorder="1" applyAlignment="1" applyProtection="1">
      <alignment vertical="center"/>
      <protection locked="0"/>
    </xf>
    <xf numFmtId="0" fontId="271" fillId="47" borderId="130" xfId="0" applyFont="1" applyFill="1" applyBorder="1" applyAlignment="1">
      <alignment wrapText="1"/>
    </xf>
    <xf numFmtId="0" fontId="0" fillId="52" borderId="130" xfId="0" applyFill="1" applyBorder="1"/>
    <xf numFmtId="0" fontId="272" fillId="47" borderId="130" xfId="90" applyFont="1" applyFill="1" applyBorder="1" applyAlignment="1">
      <alignment horizontal="left" indent="1"/>
    </xf>
    <xf numFmtId="0" fontId="31" fillId="47" borderId="130" xfId="90" applyFont="1" applyFill="1" applyBorder="1" applyAlignment="1">
      <alignment horizontal="left"/>
    </xf>
    <xf numFmtId="0" fontId="33" fillId="47" borderId="130" xfId="75" applyFont="1" applyFill="1" applyBorder="1"/>
    <xf numFmtId="0" fontId="0" fillId="0" borderId="130" xfId="0" applyBorder="1" applyAlignment="1" applyProtection="1">
      <alignment horizontal="center" vertical="center"/>
      <protection locked="0"/>
    </xf>
    <xf numFmtId="0" fontId="32" fillId="47" borderId="130" xfId="75" applyFont="1" applyFill="1" applyBorder="1"/>
    <xf numFmtId="0" fontId="272" fillId="47" borderId="179"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93"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xf>
    <xf numFmtId="0" fontId="32" fillId="47" borderId="180" xfId="75" applyFont="1" applyFill="1" applyBorder="1"/>
    <xf numFmtId="0" fontId="33" fillId="47" borderId="11"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0" fontId="0" fillId="0" borderId="0" xfId="0" applyNumberFormat="1"/>
    <xf numFmtId="0" fontId="0" fillId="0" borderId="0" xfId="0" applyAlignment="1">
      <alignment horizontal="right" vertical="top" indent="1"/>
    </xf>
    <xf numFmtId="170" fontId="11" fillId="38" borderId="136" xfId="77" applyNumberFormat="1" applyFont="1" applyFill="1" applyBorder="1" applyProtection="1"/>
    <xf numFmtId="170" fontId="9" fillId="0" borderId="0" xfId="0" applyNumberFormat="1" applyFont="1"/>
    <xf numFmtId="170" fontId="11" fillId="38" borderId="76" xfId="77" applyNumberFormat="1" applyFont="1" applyFill="1" applyBorder="1" applyProtection="1"/>
    <xf numFmtId="0" fontId="30" fillId="0" borderId="0" xfId="0" applyFont="1"/>
    <xf numFmtId="170"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80"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3"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2" fontId="0" fillId="131" borderId="59" xfId="0" applyNumberFormat="1" applyFill="1" applyBorder="1" applyAlignment="1" applyProtection="1">
      <alignment horizontal="right" vertical="top"/>
      <protection locked="0"/>
    </xf>
    <xf numFmtId="173" fontId="0" fillId="0" borderId="0" xfId="0" applyNumberFormat="1" applyAlignment="1" applyProtection="1">
      <alignment horizontal="right"/>
      <protection locked="0"/>
    </xf>
    <xf numFmtId="173"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2"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2"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65"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65" fontId="0" fillId="3" borderId="59" xfId="1" applyNumberFormat="1" applyFont="1" applyFill="1" applyBorder="1" applyAlignment="1" applyProtection="1">
      <alignment horizontal="right" vertical="top"/>
      <protection locked="0"/>
    </xf>
    <xf numFmtId="0" fontId="30" fillId="0" borderId="179" xfId="0" applyFont="1" applyBorder="1" applyProtection="1">
      <protection locked="0"/>
    </xf>
    <xf numFmtId="0" fontId="0" fillId="0" borderId="130" xfId="0" applyBorder="1" applyAlignment="1" applyProtection="1">
      <alignment horizontal="left" indent="1"/>
      <protection locked="0"/>
    </xf>
    <xf numFmtId="0" fontId="0" fillId="0" borderId="193" xfId="0" applyBorder="1" applyProtection="1">
      <protection locked="0"/>
    </xf>
    <xf numFmtId="165" fontId="12" fillId="0" borderId="0" xfId="1" applyNumberFormat="1" applyFont="1" applyFill="1" applyBorder="1" applyProtection="1">
      <protection locked="0"/>
    </xf>
    <xf numFmtId="165" fontId="12" fillId="0" borderId="11" xfId="1" applyNumberFormat="1" applyFont="1" applyFill="1" applyBorder="1" applyProtection="1">
      <protection locked="0"/>
    </xf>
    <xf numFmtId="0" fontId="30" fillId="0" borderId="193" xfId="0" applyFont="1" applyBorder="1" applyProtection="1">
      <protection locked="0"/>
    </xf>
    <xf numFmtId="0" fontId="0" fillId="0" borderId="193" xfId="0" applyBorder="1" applyAlignment="1" applyProtection="1">
      <alignment horizontal="left" vertical="top"/>
      <protection locked="0"/>
    </xf>
    <xf numFmtId="0" fontId="27" fillId="0" borderId="193" xfId="0" applyFont="1" applyBorder="1" applyProtection="1">
      <protection locked="0"/>
    </xf>
    <xf numFmtId="0" fontId="9" fillId="0" borderId="193" xfId="0" applyFont="1" applyBorder="1" applyProtection="1">
      <protection locked="0"/>
    </xf>
    <xf numFmtId="0" fontId="281" fillId="0" borderId="193" xfId="0" applyFont="1" applyBorder="1" applyProtection="1">
      <protection locked="0"/>
    </xf>
    <xf numFmtId="0" fontId="9" fillId="0" borderId="193"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80" xfId="0" applyFill="1" applyBorder="1" applyProtection="1">
      <protection locked="0"/>
    </xf>
    <xf numFmtId="0" fontId="0" fillId="3" borderId="193"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2" fontId="9" fillId="52" borderId="71" xfId="0" applyNumberFormat="1" applyFont="1" applyFill="1" applyBorder="1" applyAlignment="1">
      <alignment horizontal="right"/>
    </xf>
    <xf numFmtId="172" fontId="0" fillId="52" borderId="59" xfId="0" applyNumberFormat="1" applyFill="1" applyBorder="1" applyAlignment="1">
      <alignment horizontal="right" vertical="top"/>
    </xf>
    <xf numFmtId="173" fontId="0" fillId="54" borderId="71" xfId="0" applyNumberFormat="1" applyFill="1" applyBorder="1" applyAlignment="1">
      <alignment horizontal="right"/>
    </xf>
    <xf numFmtId="165" fontId="9" fillId="51" borderId="59" xfId="1" applyNumberFormat="1" applyFont="1" applyFill="1" applyBorder="1" applyAlignment="1" applyProtection="1">
      <alignment horizontal="right" vertical="top"/>
    </xf>
    <xf numFmtId="165" fontId="11" fillId="51" borderId="6" xfId="1" applyNumberFormat="1" applyFont="1" applyFill="1" applyBorder="1" applyProtection="1"/>
    <xf numFmtId="165"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65" fontId="11" fillId="38" borderId="6" xfId="1" applyNumberFormat="1" applyFont="1" applyFill="1" applyBorder="1" applyProtection="1"/>
    <xf numFmtId="165" fontId="12" fillId="38" borderId="6" xfId="1" applyNumberFormat="1" applyFont="1" applyFill="1" applyBorder="1" applyProtection="1"/>
    <xf numFmtId="172" fontId="0" fillId="51" borderId="59" xfId="0" applyNumberFormat="1" applyFill="1" applyBorder="1" applyAlignment="1">
      <alignment horizontal="right" vertical="top"/>
    </xf>
    <xf numFmtId="165" fontId="12" fillId="38" borderId="11" xfId="1" applyNumberFormat="1" applyFont="1" applyFill="1" applyBorder="1" applyProtection="1"/>
    <xf numFmtId="165"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80"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2"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65"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2"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2" fontId="0" fillId="3" borderId="62" xfId="0" applyNumberFormat="1" applyFill="1" applyBorder="1" applyAlignment="1" applyProtection="1">
      <alignment horizontal="right" vertical="top"/>
      <protection locked="0"/>
    </xf>
    <xf numFmtId="172" fontId="0" fillId="3" borderId="65" xfId="0" applyNumberFormat="1" applyFill="1" applyBorder="1" applyAlignment="1" applyProtection="1">
      <alignment horizontal="right" vertical="top"/>
      <protection locked="0"/>
    </xf>
    <xf numFmtId="172" fontId="0" fillId="3" borderId="66" xfId="0" applyNumberFormat="1" applyFill="1" applyBorder="1" applyAlignment="1" applyProtection="1">
      <alignment horizontal="right" vertical="top"/>
      <protection locked="0"/>
    </xf>
    <xf numFmtId="172" fontId="0" fillId="3" borderId="60" xfId="0" applyNumberFormat="1" applyFill="1" applyBorder="1" applyAlignment="1" applyProtection="1">
      <alignment horizontal="right" vertical="top"/>
      <protection locked="0"/>
    </xf>
    <xf numFmtId="172" fontId="0" fillId="3" borderId="68" xfId="0" applyNumberFormat="1" applyFill="1" applyBorder="1" applyAlignment="1" applyProtection="1">
      <alignment horizontal="right" vertical="top"/>
      <protection locked="0"/>
    </xf>
    <xf numFmtId="172"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2" fontId="0" fillId="3" borderId="61" xfId="0" applyNumberFormat="1" applyFill="1" applyBorder="1" applyAlignment="1" applyProtection="1">
      <alignment horizontal="right" vertical="top"/>
      <protection locked="0"/>
    </xf>
    <xf numFmtId="172" fontId="0" fillId="3" borderId="64" xfId="0" applyNumberFormat="1" applyFill="1" applyBorder="1" applyAlignment="1" applyProtection="1">
      <alignment horizontal="right" vertical="top"/>
      <protection locked="0"/>
    </xf>
    <xf numFmtId="172"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3"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2" fontId="0" fillId="3" borderId="6" xfId="0" applyNumberFormat="1" applyFill="1" applyBorder="1" applyAlignment="1" applyProtection="1">
      <alignment horizontal="right" vertical="top"/>
      <protection locked="0"/>
    </xf>
    <xf numFmtId="172" fontId="0" fillId="131" borderId="69" xfId="0" applyNumberFormat="1" applyFill="1" applyBorder="1" applyAlignment="1" applyProtection="1">
      <alignment horizontal="right" vertical="top"/>
      <protection locked="0"/>
    </xf>
    <xf numFmtId="172" fontId="0" fillId="52" borderId="63" xfId="0" applyNumberFormat="1" applyFill="1" applyBorder="1" applyAlignment="1">
      <alignment horizontal="right" vertical="top"/>
    </xf>
    <xf numFmtId="165" fontId="11" fillId="52" borderId="59" xfId="2" applyNumberFormat="1" applyFont="1" applyFill="1" applyBorder="1" applyAlignment="1" applyProtection="1">
      <alignment vertical="center"/>
    </xf>
    <xf numFmtId="165" fontId="11" fillId="52" borderId="61" xfId="2" applyNumberFormat="1" applyFont="1" applyFill="1" applyBorder="1" applyAlignment="1" applyProtection="1">
      <alignment vertical="center"/>
    </xf>
    <xf numFmtId="165" fontId="11" fillId="52" borderId="68" xfId="2" applyNumberFormat="1" applyFont="1" applyFill="1" applyBorder="1" applyAlignment="1" applyProtection="1">
      <alignment vertical="center"/>
    </xf>
    <xf numFmtId="165"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2" fontId="11" fillId="52" borderId="102" xfId="2" applyNumberFormat="1" applyFont="1" applyFill="1" applyBorder="1" applyAlignment="1" applyProtection="1">
      <alignment vertical="center"/>
    </xf>
    <xf numFmtId="172" fontId="11" fillId="52" borderId="78" xfId="2" applyNumberFormat="1" applyFont="1" applyFill="1" applyBorder="1" applyAlignment="1" applyProtection="1">
      <alignment vertical="center"/>
    </xf>
    <xf numFmtId="172" fontId="11" fillId="52" borderId="103" xfId="2" applyNumberFormat="1" applyFont="1" applyFill="1" applyBorder="1" applyAlignment="1" applyProtection="1">
      <alignment vertical="center"/>
    </xf>
    <xf numFmtId="172"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2" fontId="11" fillId="52" borderId="103" xfId="2" applyNumberFormat="1" applyFont="1" applyFill="1" applyBorder="1" applyAlignment="1" applyProtection="1">
      <alignment vertical="top"/>
    </xf>
    <xf numFmtId="172" fontId="11" fillId="52" borderId="121" xfId="2" applyNumberFormat="1" applyFont="1" applyFill="1" applyBorder="1" applyAlignment="1" applyProtection="1">
      <alignment vertical="top"/>
    </xf>
    <xf numFmtId="172" fontId="9" fillId="52" borderId="71" xfId="0" applyNumberFormat="1" applyFont="1" applyFill="1" applyBorder="1" applyAlignment="1">
      <alignment horizontal="right" vertical="top"/>
    </xf>
    <xf numFmtId="172" fontId="0" fillId="52" borderId="72" xfId="0" applyNumberFormat="1" applyFill="1" applyBorder="1" applyAlignment="1">
      <alignment horizontal="right" vertical="top"/>
    </xf>
    <xf numFmtId="172" fontId="0" fillId="52" borderId="73" xfId="0" applyNumberFormat="1" applyFill="1" applyBorder="1" applyAlignment="1">
      <alignment horizontal="right" vertical="top"/>
    </xf>
    <xf numFmtId="172" fontId="0" fillId="52" borderId="84" xfId="0" applyNumberFormat="1" applyFill="1" applyBorder="1" applyAlignment="1">
      <alignment horizontal="right" vertical="top"/>
    </xf>
    <xf numFmtId="172" fontId="0" fillId="52" borderId="6" xfId="0" applyNumberFormat="1" applyFill="1" applyBorder="1" applyAlignment="1">
      <alignment horizontal="right" vertical="top"/>
    </xf>
    <xf numFmtId="172" fontId="0" fillId="52" borderId="69" xfId="0" applyNumberFormat="1" applyFill="1" applyBorder="1" applyAlignment="1">
      <alignment horizontal="right" vertical="top"/>
    </xf>
    <xf numFmtId="172" fontId="0" fillId="52" borderId="139" xfId="0" applyNumberFormat="1" applyFill="1" applyBorder="1" applyAlignment="1">
      <alignment horizontal="right" vertical="top"/>
    </xf>
    <xf numFmtId="172" fontId="0" fillId="52" borderId="141" xfId="0" applyNumberFormat="1" applyFill="1" applyBorder="1" applyAlignment="1">
      <alignment horizontal="right" vertical="top"/>
    </xf>
    <xf numFmtId="172" fontId="0" fillId="52" borderId="140" xfId="0" applyNumberFormat="1" applyFill="1" applyBorder="1" applyAlignment="1">
      <alignment horizontal="right" vertical="top"/>
    </xf>
    <xf numFmtId="165" fontId="11" fillId="52" borderId="6" xfId="1" applyNumberFormat="1" applyFont="1" applyFill="1" applyBorder="1" applyProtection="1"/>
    <xf numFmtId="172" fontId="0" fillId="54" borderId="71" xfId="0" applyNumberFormat="1" applyFill="1" applyBorder="1" applyAlignment="1">
      <alignment horizontal="right" vertical="top"/>
    </xf>
    <xf numFmtId="172" fontId="0" fillId="51" borderId="63" xfId="0" applyNumberFormat="1" applyFill="1" applyBorder="1" applyAlignment="1">
      <alignment horizontal="right" vertical="top"/>
    </xf>
    <xf numFmtId="172"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79"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2" fontId="11" fillId="131" borderId="6" xfId="75" applyNumberFormat="1" applyFont="1" applyFill="1" applyBorder="1" applyProtection="1">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2" fontId="0" fillId="131" borderId="62" xfId="0" applyNumberFormat="1" applyFill="1" applyBorder="1" applyAlignment="1" applyProtection="1">
      <alignment horizontal="right" vertical="top"/>
      <protection locked="0"/>
    </xf>
    <xf numFmtId="172"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68" fontId="38" fillId="48" borderId="0" xfId="94" applyProtection="1">
      <alignment vertical="center"/>
      <protection locked="0"/>
    </xf>
    <xf numFmtId="168"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2" fontId="9" fillId="52" borderId="72" xfId="0" applyNumberFormat="1" applyFont="1" applyFill="1" applyBorder="1" applyAlignment="1">
      <alignment horizontal="right" vertical="top"/>
    </xf>
    <xf numFmtId="172"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68" fontId="12" fillId="0" borderId="0" xfId="0" applyNumberFormat="1" applyFont="1" applyAlignment="1" applyProtection="1">
      <alignment horizontal="left" vertical="center"/>
      <protection locked="0"/>
    </xf>
    <xf numFmtId="0" fontId="28" fillId="0" borderId="0" xfId="0" applyFont="1" applyProtection="1">
      <protection locked="0"/>
    </xf>
    <xf numFmtId="173" fontId="0" fillId="0" borderId="0" xfId="0" applyNumberFormat="1" applyAlignment="1" applyProtection="1">
      <alignment horizontal="left" vertical="top"/>
      <protection locked="0"/>
    </xf>
    <xf numFmtId="168"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2"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2"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2" fontId="11" fillId="0" borderId="0" xfId="1" applyNumberFormat="1" applyFont="1" applyFill="1" applyBorder="1" applyProtection="1">
      <protection locked="0"/>
    </xf>
    <xf numFmtId="172"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68" fontId="11" fillId="42" borderId="0" xfId="0" applyNumberFormat="1" applyFont="1" applyFill="1" applyAlignment="1" applyProtection="1">
      <alignment horizontal="left" vertical="center" indent="1"/>
      <protection locked="0"/>
    </xf>
    <xf numFmtId="172" fontId="12" fillId="42" borderId="28" xfId="1" applyNumberFormat="1" applyFont="1" applyFill="1" applyBorder="1" applyProtection="1">
      <protection locked="0"/>
    </xf>
    <xf numFmtId="172" fontId="12" fillId="42" borderId="28" xfId="2" applyNumberFormat="1" applyFont="1" applyFill="1" applyBorder="1" applyAlignment="1" applyProtection="1">
      <alignment horizontal="right" vertical="center"/>
      <protection locked="0"/>
    </xf>
    <xf numFmtId="168"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2" fontId="11" fillId="42" borderId="0" xfId="2" applyNumberFormat="1" applyFont="1" applyFill="1" applyBorder="1" applyAlignment="1" applyProtection="1">
      <alignment horizontal="right" vertical="center"/>
      <protection locked="0"/>
    </xf>
    <xf numFmtId="172" fontId="0" fillId="0" borderId="0" xfId="1" applyNumberFormat="1" applyFont="1" applyFill="1" applyBorder="1" applyAlignment="1" applyProtection="1">
      <alignment horizontal="right"/>
      <protection locked="0"/>
    </xf>
    <xf numFmtId="172"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2"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78" fontId="0" fillId="51" borderId="71" xfId="1" applyNumberFormat="1" applyFont="1" applyFill="1" applyBorder="1" applyAlignment="1" applyProtection="1">
      <alignment horizontal="right"/>
    </xf>
    <xf numFmtId="172" fontId="12" fillId="52" borderId="71" xfId="2" applyNumberFormat="1" applyFont="1" applyFill="1" applyBorder="1" applyAlignment="1" applyProtection="1">
      <alignment horizontal="right" vertical="center"/>
    </xf>
    <xf numFmtId="172" fontId="12" fillId="52" borderId="73" xfId="2" applyNumberFormat="1" applyFont="1" applyFill="1" applyBorder="1" applyAlignment="1" applyProtection="1">
      <alignment horizontal="right" vertical="center"/>
    </xf>
    <xf numFmtId="172" fontId="11" fillId="52" borderId="71" xfId="2" applyNumberFormat="1" applyFont="1" applyFill="1" applyBorder="1" applyAlignment="1" applyProtection="1">
      <alignment horizontal="right" vertical="center"/>
    </xf>
    <xf numFmtId="172"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68" fontId="38" fillId="0" borderId="0" xfId="0" applyNumberFormat="1" applyFont="1" applyAlignment="1" applyProtection="1">
      <alignment vertical="center"/>
      <protection locked="0"/>
    </xf>
    <xf numFmtId="168"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96"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97" xfId="0" applyNumberFormat="1" applyFont="1" applyFill="1" applyBorder="1" applyAlignment="1" applyProtection="1">
      <alignment horizontal="center" vertical="center"/>
      <protection locked="0"/>
    </xf>
    <xf numFmtId="1" fontId="9" fillId="2" borderId="195"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98"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98"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98"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2" fontId="8" fillId="3" borderId="71" xfId="51696" applyNumberFormat="1" applyFill="1" applyBorder="1" applyProtection="1">
      <alignment vertical="center"/>
      <protection locked="0"/>
    </xf>
    <xf numFmtId="172" fontId="8" fillId="3" borderId="72" xfId="51696" applyNumberFormat="1" applyFill="1" applyBorder="1" applyProtection="1">
      <alignment vertical="center"/>
      <protection locked="0"/>
    </xf>
    <xf numFmtId="172" fontId="8" fillId="3" borderId="104" xfId="51696" applyNumberFormat="1" applyFill="1" applyBorder="1" applyProtection="1">
      <alignment vertical="center"/>
      <protection locked="0"/>
    </xf>
    <xf numFmtId="172" fontId="8" fillId="3" borderId="199" xfId="51696" applyNumberFormat="1" applyFill="1" applyBorder="1" applyProtection="1">
      <alignment vertical="center"/>
      <protection locked="0"/>
    </xf>
    <xf numFmtId="172" fontId="8" fillId="3" borderId="177" xfId="51696" applyNumberFormat="1" applyFill="1" applyBorder="1" applyProtection="1">
      <alignment vertical="center"/>
      <protection locked="0"/>
    </xf>
    <xf numFmtId="172" fontId="8" fillId="3" borderId="65" xfId="51696" applyNumberFormat="1" applyFill="1" applyBorder="1" applyProtection="1">
      <alignment vertical="center"/>
      <protection locked="0"/>
    </xf>
    <xf numFmtId="172" fontId="8" fillId="3" borderId="66" xfId="51696" applyNumberFormat="1" applyFill="1" applyBorder="1" applyProtection="1">
      <alignment vertical="center"/>
      <protection locked="0"/>
    </xf>
    <xf numFmtId="172" fontId="8" fillId="3" borderId="92" xfId="51696" applyNumberFormat="1" applyFill="1" applyBorder="1" applyProtection="1">
      <alignment vertical="center"/>
      <protection locked="0"/>
    </xf>
    <xf numFmtId="172" fontId="8" fillId="3" borderId="200" xfId="51696" applyNumberFormat="1" applyFill="1" applyBorder="1" applyProtection="1">
      <alignment vertical="center"/>
      <protection locked="0"/>
    </xf>
    <xf numFmtId="172" fontId="8" fillId="3" borderId="86"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98"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201"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67"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67"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1" fontId="11" fillId="0" borderId="0" xfId="48236" applyNumberFormat="1" applyProtection="1">
      <protection locked="0"/>
    </xf>
    <xf numFmtId="171" fontId="11" fillId="0" borderId="198"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67"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2" fontId="8" fillId="42" borderId="0" xfId="51696" applyNumberFormat="1" applyFill="1" applyBorder="1" applyProtection="1">
      <alignment vertical="center"/>
      <protection locked="0"/>
    </xf>
    <xf numFmtId="172" fontId="8" fillId="42" borderId="198" xfId="51696" applyNumberFormat="1" applyFill="1" applyBorder="1" applyProtection="1">
      <alignment vertical="center"/>
      <protection locked="0"/>
    </xf>
    <xf numFmtId="10" fontId="8" fillId="3" borderId="59" xfId="51697" applyNumberFormat="1" applyBorder="1">
      <alignment vertical="center"/>
      <protection locked="0"/>
    </xf>
    <xf numFmtId="10" fontId="8" fillId="3" borderId="60" xfId="51697" applyNumberFormat="1" applyBorder="1">
      <alignment vertical="center"/>
      <protection locked="0"/>
    </xf>
    <xf numFmtId="10" fontId="8" fillId="3" borderId="96" xfId="51697" applyNumberFormat="1" applyBorder="1">
      <alignment vertical="center"/>
      <protection locked="0"/>
    </xf>
    <xf numFmtId="10" fontId="8" fillId="3" borderId="201" xfId="51697" applyNumberFormat="1" applyBorder="1">
      <alignment vertical="center"/>
      <protection locked="0"/>
    </xf>
    <xf numFmtId="10" fontId="8" fillId="3" borderId="85" xfId="51697" applyNumberFormat="1" applyBorder="1">
      <alignment vertical="center"/>
      <protection locked="0"/>
    </xf>
    <xf numFmtId="0" fontId="11" fillId="3" borderId="107" xfId="84" applyFont="1" applyFill="1" applyBorder="1" applyAlignment="1" applyProtection="1">
      <alignment wrapText="1"/>
      <protection locked="0"/>
    </xf>
    <xf numFmtId="169" fontId="11" fillId="0" borderId="0" xfId="85" applyNumberFormat="1" applyFont="1" applyProtection="1">
      <protection locked="0"/>
    </xf>
    <xf numFmtId="169" fontId="11" fillId="0" borderId="198" xfId="85" applyNumberFormat="1" applyFont="1" applyBorder="1" applyProtection="1">
      <protection locked="0"/>
    </xf>
    <xf numFmtId="169" fontId="11" fillId="0" borderId="0" xfId="48236" applyNumberFormat="1" applyProtection="1">
      <protection locked="0"/>
    </xf>
    <xf numFmtId="169" fontId="11" fillId="0" borderId="198"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68" fontId="37" fillId="0" borderId="0" xfId="0" applyNumberFormat="1" applyFont="1" applyAlignment="1" applyProtection="1">
      <alignment vertical="center"/>
      <protection locked="0"/>
    </xf>
    <xf numFmtId="168" fontId="39" fillId="49" borderId="0" xfId="96" applyAlignment="1" applyProtection="1">
      <alignment vertical="center"/>
      <protection locked="0"/>
    </xf>
    <xf numFmtId="168" fontId="39" fillId="49" borderId="198" xfId="96" applyBorder="1" applyAlignment="1" applyProtection="1">
      <alignment vertical="center"/>
      <protection locked="0"/>
    </xf>
    <xf numFmtId="168" fontId="39" fillId="0" borderId="0" xfId="96" applyFill="1" applyAlignment="1" applyProtection="1">
      <alignment vertical="center"/>
      <protection locked="0"/>
    </xf>
    <xf numFmtId="168" fontId="39" fillId="42" borderId="0" xfId="96" applyFill="1" applyAlignment="1" applyProtection="1">
      <alignment vertical="center"/>
      <protection locked="0"/>
    </xf>
    <xf numFmtId="168" fontId="37" fillId="42" borderId="0" xfId="0" applyNumberFormat="1" applyFont="1" applyFill="1" applyAlignment="1" applyProtection="1">
      <alignment vertical="center"/>
      <protection locked="0"/>
    </xf>
    <xf numFmtId="172" fontId="8" fillId="43" borderId="71" xfId="51696" applyNumberFormat="1" applyBorder="1">
      <alignment vertical="center"/>
    </xf>
    <xf numFmtId="172" fontId="8" fillId="43" borderId="72" xfId="51696" applyNumberFormat="1" applyBorder="1">
      <alignment vertical="center"/>
    </xf>
    <xf numFmtId="172" fontId="8" fillId="43" borderId="104" xfId="51696" applyNumberFormat="1" applyBorder="1">
      <alignment vertical="center"/>
    </xf>
    <xf numFmtId="172" fontId="8" fillId="43" borderId="199" xfId="51696" applyNumberFormat="1" applyBorder="1">
      <alignment vertical="center"/>
    </xf>
    <xf numFmtId="172" fontId="8" fillId="43" borderId="177" xfId="51696" applyNumberFormat="1" applyBorder="1">
      <alignment vertical="center"/>
    </xf>
    <xf numFmtId="172" fontId="8" fillId="43" borderId="65" xfId="51696" applyNumberFormat="1" applyBorder="1">
      <alignment vertical="center"/>
    </xf>
    <xf numFmtId="172" fontId="8" fillId="43" borderId="66" xfId="51696" applyNumberFormat="1" applyBorder="1">
      <alignment vertical="center"/>
    </xf>
    <xf numFmtId="172" fontId="8" fillId="43" borderId="92" xfId="51696" applyNumberFormat="1" applyBorder="1">
      <alignment vertical="center"/>
    </xf>
    <xf numFmtId="172" fontId="8" fillId="43" borderId="200" xfId="51696" applyNumberFormat="1" applyBorder="1">
      <alignment vertical="center"/>
    </xf>
    <xf numFmtId="172" fontId="8" fillId="43" borderId="86" xfId="51696" applyNumberFormat="1" applyBorder="1">
      <alignment vertical="center"/>
    </xf>
    <xf numFmtId="0" fontId="11" fillId="52" borderId="0" xfId="85" applyFont="1" applyFill="1"/>
    <xf numFmtId="0" fontId="11" fillId="52" borderId="198" xfId="85" applyFont="1" applyFill="1" applyBorder="1"/>
    <xf numFmtId="172" fontId="11" fillId="51" borderId="62" xfId="85" applyNumberFormat="1" applyFont="1" applyFill="1" applyBorder="1"/>
    <xf numFmtId="172" fontId="11" fillId="51" borderId="63" xfId="85" applyNumberFormat="1" applyFont="1" applyFill="1" applyBorder="1"/>
    <xf numFmtId="172" fontId="11" fillId="51" borderId="94" xfId="85" applyNumberFormat="1" applyFont="1" applyFill="1" applyBorder="1"/>
    <xf numFmtId="172" fontId="11" fillId="51" borderId="202" xfId="85" applyNumberFormat="1" applyFont="1" applyFill="1" applyBorder="1"/>
    <xf numFmtId="172" fontId="11" fillId="51" borderId="81" xfId="85" applyNumberFormat="1" applyFont="1" applyFill="1" applyBorder="1"/>
    <xf numFmtId="172" fontId="11" fillId="51" borderId="101" xfId="85" applyNumberFormat="1" applyFont="1" applyFill="1" applyBorder="1"/>
    <xf numFmtId="172" fontId="11" fillId="51" borderId="203" xfId="85" applyNumberFormat="1" applyFont="1" applyFill="1" applyBorder="1"/>
    <xf numFmtId="172" fontId="11" fillId="52" borderId="62" xfId="85" applyNumberFormat="1" applyFont="1" applyFill="1" applyBorder="1"/>
    <xf numFmtId="172" fontId="11" fillId="52" borderId="100" xfId="85" applyNumberFormat="1" applyFont="1" applyFill="1" applyBorder="1"/>
    <xf numFmtId="172" fontId="11" fillId="52" borderId="204" xfId="85" applyNumberFormat="1" applyFont="1" applyFill="1" applyBorder="1"/>
    <xf numFmtId="172" fontId="11" fillId="52" borderId="81" xfId="85" applyNumberFormat="1" applyFont="1" applyFill="1" applyBorder="1"/>
    <xf numFmtId="172" fontId="8" fillId="43" borderId="59" xfId="51696" applyNumberFormat="1" applyBorder="1">
      <alignment vertical="center"/>
    </xf>
    <xf numFmtId="172" fontId="8" fillId="43" borderId="60" xfId="51696" applyNumberFormat="1" applyBorder="1">
      <alignment vertical="center"/>
    </xf>
    <xf numFmtId="172" fontId="8" fillId="43" borderId="96" xfId="51696" applyNumberFormat="1" applyBorder="1">
      <alignment vertical="center"/>
    </xf>
    <xf numFmtId="172" fontId="8" fillId="43" borderId="201" xfId="51696" applyNumberFormat="1" applyBorder="1">
      <alignment vertical="center"/>
    </xf>
    <xf numFmtId="172" fontId="8" fillId="43" borderId="85" xfId="51696" applyNumberFormat="1" applyBorder="1">
      <alignment vertical="center"/>
    </xf>
    <xf numFmtId="172" fontId="11" fillId="51" borderId="68" xfId="85" applyNumberFormat="1" applyFont="1" applyFill="1" applyBorder="1"/>
    <xf numFmtId="172" fontId="11" fillId="51" borderId="69" xfId="85" applyNumberFormat="1" applyFont="1" applyFill="1" applyBorder="1"/>
    <xf numFmtId="172" fontId="11" fillId="51" borderId="110" xfId="85" applyNumberFormat="1" applyFont="1" applyFill="1" applyBorder="1"/>
    <xf numFmtId="172" fontId="11" fillId="51" borderId="206" xfId="85" applyNumberFormat="1" applyFont="1" applyFill="1" applyBorder="1"/>
    <xf numFmtId="172" fontId="11" fillId="51" borderId="82" xfId="85" applyNumberFormat="1" applyFont="1" applyFill="1" applyBorder="1"/>
    <xf numFmtId="172" fontId="11" fillId="51" borderId="59" xfId="85" applyNumberFormat="1" applyFont="1" applyFill="1" applyBorder="1"/>
    <xf numFmtId="172" fontId="11" fillId="51" borderId="60" xfId="85" applyNumberFormat="1" applyFont="1" applyFill="1" applyBorder="1"/>
    <xf numFmtId="172" fontId="11" fillId="51" borderId="96" xfId="85" applyNumberFormat="1" applyFont="1" applyFill="1" applyBorder="1"/>
    <xf numFmtId="172" fontId="11" fillId="51" borderId="201" xfId="85" applyNumberFormat="1" applyFont="1" applyFill="1" applyBorder="1"/>
    <xf numFmtId="172" fontId="11" fillId="51" borderId="85" xfId="85" applyNumberFormat="1" applyFont="1" applyFill="1" applyBorder="1"/>
    <xf numFmtId="172" fontId="8" fillId="51" borderId="71" xfId="51696" applyNumberFormat="1" applyFill="1" applyBorder="1">
      <alignment vertical="center"/>
    </xf>
    <xf numFmtId="172" fontId="8" fillId="51" borderId="135" xfId="51696" applyNumberFormat="1" applyFill="1" applyBorder="1">
      <alignment vertical="center"/>
    </xf>
    <xf numFmtId="172" fontId="8" fillId="51" borderId="207" xfId="51696" applyNumberFormat="1" applyFill="1" applyBorder="1">
      <alignment vertical="center"/>
    </xf>
    <xf numFmtId="172" fontId="8" fillId="51" borderId="177" xfId="51696" applyNumberFormat="1" applyFill="1" applyBorder="1">
      <alignment vertical="center"/>
    </xf>
    <xf numFmtId="172" fontId="8" fillId="43" borderId="135" xfId="51696" applyNumberFormat="1" applyBorder="1">
      <alignment vertical="center"/>
    </xf>
    <xf numFmtId="172" fontId="8" fillId="43" borderId="207" xfId="51696" applyNumberFormat="1" applyBorder="1">
      <alignment vertical="center"/>
    </xf>
    <xf numFmtId="172" fontId="11" fillId="44" borderId="59" xfId="85" applyNumberFormat="1" applyFont="1" applyFill="1" applyBorder="1"/>
    <xf numFmtId="172" fontId="11" fillId="44" borderId="60" xfId="85" applyNumberFormat="1" applyFont="1" applyFill="1" applyBorder="1"/>
    <xf numFmtId="172" fontId="11" fillId="44" borderId="96" xfId="85" applyNumberFormat="1" applyFont="1" applyFill="1" applyBorder="1"/>
    <xf numFmtId="172" fontId="11" fillId="44" borderId="201" xfId="85" applyNumberFormat="1" applyFont="1" applyFill="1" applyBorder="1"/>
    <xf numFmtId="172" fontId="11" fillId="44" borderId="85" xfId="85" applyNumberFormat="1" applyFont="1" applyFill="1" applyBorder="1"/>
    <xf numFmtId="172" fontId="11" fillId="51" borderId="65" xfId="85" applyNumberFormat="1" applyFont="1" applyFill="1" applyBorder="1"/>
    <xf numFmtId="172" fontId="11" fillId="51" borderId="66" xfId="85" applyNumberFormat="1" applyFont="1" applyFill="1" applyBorder="1"/>
    <xf numFmtId="172" fontId="11" fillId="51" borderId="92" xfId="85" applyNumberFormat="1" applyFont="1" applyFill="1" applyBorder="1"/>
    <xf numFmtId="172" fontId="11" fillId="51" borderId="200" xfId="85" applyNumberFormat="1" applyFont="1" applyFill="1" applyBorder="1"/>
    <xf numFmtId="172" fontId="11" fillId="51" borderId="86" xfId="85" applyNumberFormat="1" applyFont="1" applyFill="1" applyBorder="1"/>
    <xf numFmtId="172" fontId="8" fillId="51" borderId="59" xfId="51696" applyNumberFormat="1" applyFill="1" applyBorder="1">
      <alignment vertical="center"/>
    </xf>
    <xf numFmtId="172" fontId="8" fillId="51" borderId="102" xfId="51696" applyNumberFormat="1" applyFill="1" applyBorder="1">
      <alignment vertical="center"/>
    </xf>
    <xf numFmtId="172" fontId="8" fillId="51" borderId="208" xfId="51696" applyNumberFormat="1" applyFill="1" applyBorder="1">
      <alignment vertical="center"/>
    </xf>
    <xf numFmtId="172" fontId="8" fillId="51" borderId="85" xfId="51696" applyNumberFormat="1" applyFill="1" applyBorder="1">
      <alignment vertical="center"/>
    </xf>
    <xf numFmtId="172" fontId="8" fillId="51" borderId="74" xfId="51696" applyNumberFormat="1" applyFill="1" applyBorder="1">
      <alignment vertical="center"/>
    </xf>
    <xf numFmtId="172" fontId="8" fillId="51" borderId="181" xfId="51696" applyNumberFormat="1" applyFill="1" applyBorder="1">
      <alignment vertical="center"/>
    </xf>
    <xf numFmtId="172" fontId="8" fillId="51" borderId="0" xfId="51696" applyNumberFormat="1" applyFill="1" applyBorder="1">
      <alignment vertical="center"/>
    </xf>
    <xf numFmtId="172" fontId="8" fillId="51" borderId="198" xfId="51696" applyNumberFormat="1" applyFill="1" applyBorder="1">
      <alignment vertical="center"/>
    </xf>
    <xf numFmtId="172" fontId="8" fillId="51" borderId="60" xfId="51696" applyNumberFormat="1" applyFill="1" applyBorder="1">
      <alignment vertical="center"/>
    </xf>
    <xf numFmtId="172" fontId="8" fillId="51" borderId="96" xfId="51696" applyNumberFormat="1" applyFill="1" applyBorder="1">
      <alignment vertical="center"/>
    </xf>
    <xf numFmtId="172" fontId="8" fillId="51" borderId="201" xfId="51696" applyNumberFormat="1" applyFill="1" applyBorder="1">
      <alignment vertical="center"/>
    </xf>
    <xf numFmtId="172" fontId="8" fillId="51" borderId="72" xfId="51696" applyNumberFormat="1" applyFill="1" applyBorder="1">
      <alignment vertical="center"/>
    </xf>
    <xf numFmtId="172" fontId="8" fillId="51" borderId="104" xfId="51696" applyNumberFormat="1" applyFill="1" applyBorder="1">
      <alignment vertical="center"/>
    </xf>
    <xf numFmtId="172" fontId="8" fillId="51" borderId="199" xfId="51696" applyNumberFormat="1" applyFill="1" applyBorder="1">
      <alignment vertical="center"/>
    </xf>
    <xf numFmtId="172" fontId="8" fillId="43" borderId="62" xfId="51696" applyNumberFormat="1" applyBorder="1">
      <alignment vertical="center"/>
    </xf>
    <xf numFmtId="172" fontId="8" fillId="43" borderId="100" xfId="51696" applyNumberFormat="1" applyBorder="1">
      <alignment vertical="center"/>
    </xf>
    <xf numFmtId="172" fontId="8" fillId="43" borderId="204" xfId="51696" applyNumberFormat="1" applyBorder="1">
      <alignment vertical="center"/>
    </xf>
    <xf numFmtId="172" fontId="8" fillId="43" borderId="81" xfId="51696" applyNumberFormat="1" applyBorder="1">
      <alignment vertical="center"/>
    </xf>
    <xf numFmtId="172" fontId="9" fillId="43" borderId="62" xfId="51696" applyNumberFormat="1" applyFont="1" applyBorder="1">
      <alignment vertical="center"/>
    </xf>
    <xf numFmtId="172" fontId="9" fillId="43" borderId="100" xfId="51696" applyNumberFormat="1" applyFont="1" applyBorder="1">
      <alignment vertical="center"/>
    </xf>
    <xf numFmtId="172" fontId="9" fillId="43" borderId="204" xfId="51696" applyNumberFormat="1" applyFont="1" applyBorder="1">
      <alignment vertical="center"/>
    </xf>
    <xf numFmtId="172" fontId="9" fillId="43" borderId="81" xfId="51696" applyNumberFormat="1" applyFont="1" applyBorder="1">
      <alignment vertical="center"/>
    </xf>
    <xf numFmtId="172"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2" fontId="0" fillId="0" borderId="0" xfId="0" applyNumberFormat="1" applyAlignment="1" applyProtection="1">
      <alignment horizontal="left" vertical="top"/>
      <protection locked="0"/>
    </xf>
    <xf numFmtId="10" fontId="0" fillId="0" borderId="0" xfId="77" applyNumberFormat="1" applyFont="1" applyProtection="1">
      <protection locked="0"/>
    </xf>
    <xf numFmtId="172"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2" fontId="9" fillId="51" borderId="71" xfId="1" applyNumberFormat="1" applyFont="1" applyFill="1" applyBorder="1" applyAlignment="1" applyProtection="1">
      <alignment horizontal="right"/>
    </xf>
    <xf numFmtId="172" fontId="11" fillId="51" borderId="59" xfId="1" applyNumberFormat="1" applyFont="1" applyFill="1" applyBorder="1" applyProtection="1"/>
    <xf numFmtId="172" fontId="11" fillId="51" borderId="62" xfId="1" applyNumberFormat="1" applyFont="1" applyFill="1" applyBorder="1" applyProtection="1"/>
    <xf numFmtId="172" fontId="9" fillId="52" borderId="71" xfId="1" applyNumberFormat="1" applyFont="1" applyFill="1" applyBorder="1" applyAlignment="1" applyProtection="1">
      <alignment horizontal="right"/>
    </xf>
    <xf numFmtId="172" fontId="0" fillId="51" borderId="62" xfId="1" applyNumberFormat="1" applyFont="1" applyFill="1" applyBorder="1" applyAlignment="1" applyProtection="1">
      <alignment horizontal="right"/>
    </xf>
    <xf numFmtId="172" fontId="11" fillId="38" borderId="106" xfId="1" applyNumberFormat="1" applyFont="1" applyFill="1" applyBorder="1" applyProtection="1"/>
    <xf numFmtId="172"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2" fontId="0" fillId="52" borderId="59" xfId="0" applyNumberFormat="1" applyFill="1" applyBorder="1"/>
    <xf numFmtId="172" fontId="0" fillId="52" borderId="60" xfId="0" applyNumberFormat="1" applyFill="1" applyBorder="1"/>
    <xf numFmtId="172" fontId="0" fillId="52" borderId="74" xfId="0" applyNumberFormat="1" applyFill="1" applyBorder="1"/>
    <xf numFmtId="172" fontId="0" fillId="52" borderId="75" xfId="0" applyNumberFormat="1" applyFill="1" applyBorder="1"/>
    <xf numFmtId="172" fontId="0" fillId="51" borderId="71" xfId="0" applyNumberFormat="1" applyFill="1" applyBorder="1"/>
    <xf numFmtId="170" fontId="0" fillId="52" borderId="71" xfId="0" applyNumberFormat="1" applyFill="1" applyBorder="1"/>
    <xf numFmtId="170" fontId="0" fillId="52" borderId="72" xfId="0" applyNumberFormat="1" applyFill="1" applyBorder="1"/>
    <xf numFmtId="170" fontId="0" fillId="51" borderId="68" xfId="0" applyNumberFormat="1" applyFill="1" applyBorder="1"/>
    <xf numFmtId="170" fontId="0" fillId="51" borderId="69" xfId="0" applyNumberFormat="1" applyFill="1" applyBorder="1"/>
    <xf numFmtId="170" fontId="0" fillId="52" borderId="71" xfId="0" applyNumberFormat="1" applyFill="1" applyBorder="1" applyAlignment="1">
      <alignment horizontal="right"/>
    </xf>
    <xf numFmtId="170"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3" fontId="0" fillId="52" borderId="60" xfId="0" applyNumberFormat="1" applyFill="1" applyBorder="1" applyAlignment="1">
      <alignment horizontal="right" vertical="top"/>
    </xf>
    <xf numFmtId="172" fontId="0" fillId="52" borderId="74" xfId="0" applyNumberFormat="1" applyFill="1" applyBorder="1" applyAlignment="1">
      <alignment horizontal="right" vertical="top"/>
    </xf>
    <xf numFmtId="172" fontId="0" fillId="52" borderId="75" xfId="0" applyNumberFormat="1" applyFill="1" applyBorder="1" applyAlignment="1">
      <alignment horizontal="right" vertical="top"/>
    </xf>
    <xf numFmtId="172" fontId="8" fillId="43" borderId="114" xfId="51696" applyNumberFormat="1" applyBorder="1">
      <alignment vertical="center"/>
    </xf>
    <xf numFmtId="172" fontId="8" fillId="43" borderId="68" xfId="51696" applyNumberFormat="1" applyBorder="1">
      <alignment vertical="center"/>
    </xf>
    <xf numFmtId="172" fontId="8" fillId="43" borderId="69" xfId="51696" applyNumberFormat="1" applyBorder="1">
      <alignment vertical="center"/>
    </xf>
    <xf numFmtId="172" fontId="8" fillId="43" borderId="110" xfId="51696" applyNumberFormat="1" applyBorder="1">
      <alignment vertical="center"/>
    </xf>
    <xf numFmtId="172" fontId="8" fillId="43" borderId="117" xfId="51696" applyNumberFormat="1" applyBorder="1">
      <alignment vertical="center"/>
    </xf>
    <xf numFmtId="172" fontId="8" fillId="43" borderId="182" xfId="51696" applyNumberFormat="1" applyBorder="1">
      <alignment vertical="center"/>
    </xf>
    <xf numFmtId="172" fontId="8" fillId="43" borderId="183" xfId="51696" applyNumberFormat="1" applyBorder="1">
      <alignment vertical="center"/>
    </xf>
    <xf numFmtId="172" fontId="8" fillId="43" borderId="184" xfId="51696" applyNumberFormat="1" applyBorder="1">
      <alignment vertical="center"/>
    </xf>
    <xf numFmtId="172" fontId="8" fillId="43" borderId="185" xfId="51696" applyNumberFormat="1" applyBorder="1">
      <alignment vertical="center"/>
    </xf>
    <xf numFmtId="172" fontId="8" fillId="43" borderId="132" xfId="51696" applyNumberFormat="1" applyBorder="1">
      <alignment vertical="center"/>
    </xf>
    <xf numFmtId="172" fontId="8" fillId="43" borderId="133" xfId="51696" applyNumberFormat="1" applyBorder="1">
      <alignment vertical="center"/>
    </xf>
    <xf numFmtId="172" fontId="8" fillId="43" borderId="186" xfId="51696" applyNumberFormat="1" applyBorder="1">
      <alignment vertical="center"/>
    </xf>
    <xf numFmtId="172" fontId="8" fillId="43" borderId="187" xfId="51696" applyNumberFormat="1" applyBorder="1">
      <alignment vertical="center"/>
    </xf>
    <xf numFmtId="172" fontId="8" fillId="43" borderId="105" xfId="51696" applyNumberFormat="1" applyBorder="1">
      <alignment vertical="center"/>
    </xf>
    <xf numFmtId="172" fontId="8" fillId="43" borderId="106" xfId="51696" applyNumberFormat="1" applyBorder="1">
      <alignment vertical="center"/>
    </xf>
    <xf numFmtId="172" fontId="8" fillId="43" borderId="91" xfId="51696" applyNumberFormat="1" applyBorder="1">
      <alignment vertical="center"/>
    </xf>
    <xf numFmtId="172" fontId="8" fillId="43" borderId="115" xfId="51696" applyNumberFormat="1" applyBorder="1">
      <alignment vertical="center"/>
    </xf>
    <xf numFmtId="0" fontId="11" fillId="0" borderId="188" xfId="85" applyFont="1" applyBorder="1"/>
    <xf numFmtId="172" fontId="8" fillId="43" borderId="116" xfId="51696" applyNumberFormat="1" applyBorder="1">
      <alignment vertical="center"/>
    </xf>
    <xf numFmtId="172" fontId="8" fillId="43" borderId="63" xfId="51696" applyNumberFormat="1" applyBorder="1">
      <alignment vertical="center"/>
    </xf>
    <xf numFmtId="172" fontId="8" fillId="43" borderId="94" xfId="51696" applyNumberFormat="1" applyBorder="1">
      <alignment vertical="center"/>
    </xf>
    <xf numFmtId="172"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89" xfId="77" applyFill="1" applyBorder="1" applyAlignment="1" applyProtection="1">
      <alignment vertical="center"/>
    </xf>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0" fillId="42" borderId="0" xfId="0" applyFill="1" applyAlignment="1" applyProtection="1">
      <alignment horizontal="right" vertical="top"/>
      <protection locked="0"/>
    </xf>
    <xf numFmtId="0" fontId="0" fillId="42" borderId="0" xfId="0" applyFill="1" applyAlignment="1" applyProtection="1">
      <alignment horizontal="center" vertical="top"/>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2" fontId="11" fillId="131" borderId="60" xfId="2" applyNumberFormat="1" applyFont="1" applyFill="1" applyBorder="1" applyProtection="1">
      <protection locked="0"/>
    </xf>
    <xf numFmtId="172" fontId="11" fillId="131" borderId="68" xfId="2" applyNumberFormat="1" applyFont="1" applyFill="1" applyBorder="1" applyProtection="1">
      <protection locked="0"/>
    </xf>
    <xf numFmtId="172"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2" fontId="11" fillId="131" borderId="59" xfId="2" applyNumberFormat="1" applyFont="1" applyFill="1" applyBorder="1" applyProtection="1">
      <protection locked="0"/>
    </xf>
    <xf numFmtId="172" fontId="11" fillId="3" borderId="76" xfId="2" applyNumberFormat="1" applyFont="1" applyFill="1" applyBorder="1" applyProtection="1">
      <protection locked="0"/>
    </xf>
    <xf numFmtId="172" fontId="11" fillId="3" borderId="87" xfId="2" applyNumberFormat="1" applyFont="1" applyFill="1" applyBorder="1" applyProtection="1">
      <protection locked="0"/>
    </xf>
    <xf numFmtId="0" fontId="9" fillId="0" borderId="0" xfId="0" applyFont="1" applyAlignment="1" applyProtection="1">
      <alignment vertical="top"/>
      <protection locked="0"/>
    </xf>
    <xf numFmtId="172" fontId="11" fillId="131" borderId="71" xfId="2" applyNumberFormat="1" applyFont="1" applyFill="1" applyBorder="1" applyProtection="1">
      <protection locked="0"/>
    </xf>
    <xf numFmtId="172" fontId="11" fillId="131" borderId="6" xfId="2" applyNumberFormat="1" applyFont="1" applyFill="1" applyBorder="1" applyProtection="1">
      <protection locked="0"/>
    </xf>
    <xf numFmtId="172" fontId="12" fillId="3" borderId="74" xfId="2" applyNumberFormat="1" applyFont="1" applyFill="1" applyBorder="1" applyProtection="1">
      <protection locked="0"/>
    </xf>
    <xf numFmtId="172" fontId="12" fillId="3" borderId="75" xfId="2" applyNumberFormat="1" applyFont="1" applyFill="1" applyBorder="1" applyProtection="1">
      <protection locked="0"/>
    </xf>
    <xf numFmtId="172"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2"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2" fontId="12" fillId="0" borderId="0" xfId="2" applyNumberFormat="1" applyFont="1" applyFill="1" applyBorder="1" applyProtection="1">
      <protection locked="0"/>
    </xf>
    <xf numFmtId="0" fontId="28" fillId="0" borderId="0" xfId="0" applyFont="1" applyAlignment="1" applyProtection="1">
      <alignment horizontal="center"/>
      <protection locked="0"/>
    </xf>
    <xf numFmtId="252" fontId="0" fillId="0" borderId="0" xfId="0" applyNumberFormat="1" applyProtection="1">
      <protection locked="0"/>
    </xf>
    <xf numFmtId="172" fontId="0" fillId="0" borderId="0" xfId="0" applyNumberFormat="1" applyProtection="1">
      <protection locked="0"/>
    </xf>
    <xf numFmtId="172" fontId="26" fillId="39" borderId="6" xfId="75" applyNumberFormat="1" applyFont="1" applyFill="1" applyBorder="1"/>
    <xf numFmtId="172" fontId="12" fillId="52" borderId="59" xfId="2" applyNumberFormat="1" applyFont="1" applyFill="1" applyBorder="1" applyProtection="1"/>
    <xf numFmtId="172" fontId="12" fillId="52" borderId="60" xfId="2" applyNumberFormat="1" applyFont="1" applyFill="1" applyBorder="1" applyProtection="1"/>
    <xf numFmtId="172" fontId="12" fillId="52" borderId="74" xfId="2" applyNumberFormat="1" applyFont="1" applyFill="1" applyBorder="1" applyProtection="1"/>
    <xf numFmtId="172" fontId="12" fillId="52" borderId="136" xfId="2" applyNumberFormat="1" applyFont="1" applyFill="1" applyBorder="1" applyProtection="1"/>
    <xf numFmtId="172" fontId="12" fillId="52" borderId="71" xfId="2" applyNumberFormat="1" applyFont="1" applyFill="1" applyBorder="1" applyProtection="1"/>
    <xf numFmtId="172" fontId="12" fillId="52" borderId="177" xfId="2" applyNumberFormat="1" applyFont="1" applyFill="1" applyBorder="1" applyProtection="1"/>
    <xf numFmtId="172"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77"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178" fontId="0" fillId="52" borderId="6" xfId="0" applyNumberFormat="1" applyFill="1" applyBorder="1" applyAlignment="1">
      <alignment horizontal="right" vertical="top"/>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0"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2"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2" fontId="0" fillId="0" borderId="0" xfId="0" applyNumberFormat="1" applyAlignment="1" applyProtection="1">
      <alignment horizontal="right" vertical="center"/>
      <protection locked="0"/>
    </xf>
    <xf numFmtId="168" fontId="12" fillId="0" borderId="0" xfId="0" applyNumberFormat="1" applyFont="1" applyAlignment="1" applyProtection="1">
      <alignment vertical="center"/>
      <protection locked="0"/>
    </xf>
    <xf numFmtId="172" fontId="11" fillId="0" borderId="0" xfId="0" applyNumberFormat="1" applyFont="1" applyAlignment="1" applyProtection="1">
      <alignment horizontal="left" vertical="center" indent="1"/>
      <protection locked="0"/>
    </xf>
    <xf numFmtId="168"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2"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2" fontId="0" fillId="52" borderId="71" xfId="0" applyNumberFormat="1" applyFill="1" applyBorder="1" applyAlignment="1">
      <alignment horizontal="right" vertical="center"/>
    </xf>
    <xf numFmtId="172" fontId="0" fillId="52" borderId="72" xfId="0" applyNumberFormat="1" applyFill="1" applyBorder="1" applyAlignment="1">
      <alignment horizontal="right" vertical="center"/>
    </xf>
    <xf numFmtId="178" fontId="0" fillId="51" borderId="71" xfId="0" applyNumberFormat="1" applyFill="1" applyBorder="1" applyAlignment="1">
      <alignment horizontal="right" vertical="top"/>
    </xf>
    <xf numFmtId="172" fontId="11" fillId="52" borderId="62" xfId="2" applyNumberFormat="1" applyFont="1" applyFill="1" applyBorder="1" applyProtection="1"/>
    <xf numFmtId="0" fontId="3" fillId="0" borderId="192"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75" fontId="272" fillId="47" borderId="0" xfId="90" applyNumberFormat="1" applyFont="1" applyFill="1" applyAlignment="1" applyProtection="1">
      <alignment horizontal="left"/>
      <protection locked="0"/>
    </xf>
    <xf numFmtId="0" fontId="282" fillId="135" borderId="180"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78"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3" fontId="289" fillId="0" borderId="0" xfId="75" applyNumberFormat="1" applyFont="1" applyAlignment="1" applyProtection="1">
      <alignment horizontal="center" vertical="center"/>
      <protection locked="0"/>
    </xf>
    <xf numFmtId="173" fontId="283" fillId="0" borderId="0" xfId="75" applyNumberFormat="1" applyFont="1" applyAlignment="1" applyProtection="1">
      <alignment horizontal="center" vertical="center"/>
      <protection locked="0"/>
    </xf>
    <xf numFmtId="173" fontId="286"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3" fontId="3" fillId="0" borderId="0" xfId="51694" applyNumberFormat="1" applyAlignment="1" applyProtection="1">
      <alignment horizontal="center" vertical="center"/>
      <protection locked="0"/>
    </xf>
    <xf numFmtId="173"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79" xfId="51694" applyFont="1" applyBorder="1" applyAlignment="1" applyProtection="1">
      <alignment horizontal="left"/>
      <protection locked="0"/>
    </xf>
    <xf numFmtId="0" fontId="285" fillId="0" borderId="180" xfId="51694" applyFont="1" applyBorder="1" applyAlignment="1" applyProtection="1">
      <alignment horizontal="left" vertical="center"/>
      <protection locked="0"/>
    </xf>
    <xf numFmtId="173" fontId="283" fillId="36" borderId="6" xfId="75" applyNumberFormat="1" applyFont="1" applyFill="1" applyBorder="1" applyAlignment="1" applyProtection="1">
      <alignment horizontal="center" vertical="center"/>
      <protection locked="0"/>
    </xf>
    <xf numFmtId="173" fontId="283" fillId="131" borderId="6" xfId="75" applyNumberFormat="1" applyFont="1" applyFill="1" applyBorder="1" applyAlignment="1" applyProtection="1">
      <alignment horizontal="center" vertical="center"/>
      <protection locked="0"/>
    </xf>
    <xf numFmtId="173"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93" xfId="51694" applyFont="1" applyBorder="1" applyAlignment="1" applyProtection="1">
      <alignment horizontal="left" vertical="center"/>
      <protection locked="0"/>
    </xf>
    <xf numFmtId="173" fontId="282" fillId="0" borderId="28" xfId="51694" applyNumberFormat="1" applyFont="1" applyBorder="1" applyAlignment="1" applyProtection="1">
      <alignment horizontal="center" vertical="center"/>
      <protection locked="0"/>
    </xf>
    <xf numFmtId="173" fontId="282" fillId="0" borderId="0" xfId="51694" applyNumberFormat="1" applyFont="1" applyAlignment="1" applyProtection="1">
      <alignment horizontal="center" vertical="center"/>
      <protection locked="0"/>
    </xf>
    <xf numFmtId="173" fontId="284" fillId="0" borderId="0" xfId="51694" applyNumberFormat="1" applyFont="1" applyAlignment="1" applyProtection="1">
      <alignment horizontal="center" vertical="center"/>
      <protection locked="0"/>
    </xf>
    <xf numFmtId="0" fontId="285" fillId="0" borderId="193"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3"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79" xfId="51694" applyFont="1" applyBorder="1" applyAlignment="1" applyProtection="1">
      <alignment horizontal="left" vertical="center"/>
      <protection locked="0"/>
    </xf>
    <xf numFmtId="173" fontId="3" fillId="0" borderId="0" xfId="51694" applyNumberFormat="1" applyAlignment="1" applyProtection="1">
      <alignment horizontal="center"/>
      <protection locked="0"/>
    </xf>
    <xf numFmtId="173"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93"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3" fontId="283" fillId="0" borderId="0" xfId="75" applyNumberFormat="1" applyFont="1" applyAlignment="1" applyProtection="1">
      <alignment horizontal="center"/>
      <protection locked="0"/>
    </xf>
    <xf numFmtId="173" fontId="286" fillId="0" borderId="0" xfId="75" applyNumberFormat="1" applyFont="1" applyAlignment="1" applyProtection="1">
      <alignment horizontal="center"/>
      <protection locked="0"/>
    </xf>
    <xf numFmtId="0" fontId="282" fillId="0" borderId="179" xfId="51694" applyFont="1" applyBorder="1" applyAlignment="1" applyProtection="1">
      <alignment horizontal="left"/>
      <protection locked="0"/>
    </xf>
    <xf numFmtId="0" fontId="285" fillId="0" borderId="180" xfId="51694" applyFont="1" applyBorder="1" applyAlignment="1" applyProtection="1">
      <alignment horizontal="left"/>
      <protection locked="0"/>
    </xf>
    <xf numFmtId="0" fontId="282" fillId="0" borderId="193"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1" fillId="0" borderId="6" xfId="51694" applyFont="1" applyBorder="1" applyAlignment="1" applyProtection="1">
      <alignment vertical="center" wrapText="1"/>
      <protection locked="0"/>
    </xf>
    <xf numFmtId="0" fontId="285" fillId="0" borderId="193" xfId="51694" applyFont="1" applyBorder="1" applyAlignment="1" applyProtection="1">
      <alignment vertical="center"/>
      <protection locked="0"/>
    </xf>
    <xf numFmtId="0" fontId="3" fillId="0" borderId="11" xfId="51694" applyBorder="1" applyAlignment="1" applyProtection="1">
      <alignment vertical="center"/>
      <protection locked="0"/>
    </xf>
    <xf numFmtId="173" fontId="283" fillId="0" borderId="193" xfId="75" applyNumberFormat="1" applyFont="1" applyBorder="1" applyAlignment="1" applyProtection="1">
      <alignment horizontal="center" vertical="center"/>
      <protection locked="0"/>
    </xf>
    <xf numFmtId="173" fontId="3" fillId="0" borderId="11" xfId="51694" applyNumberFormat="1" applyBorder="1" applyAlignment="1" applyProtection="1">
      <alignment horizontal="center" vertical="center"/>
      <protection locked="0"/>
    </xf>
    <xf numFmtId="0" fontId="285" fillId="0" borderId="193" xfId="51694" quotePrefix="1" applyFont="1" applyBorder="1" applyAlignment="1" applyProtection="1">
      <alignment vertical="center"/>
      <protection locked="0"/>
    </xf>
    <xf numFmtId="0" fontId="284" fillId="0" borderId="193" xfId="51694" applyFont="1" applyBorder="1" applyProtection="1">
      <protection locked="0"/>
    </xf>
    <xf numFmtId="0" fontId="285"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3" fontId="3" fillId="0" borderId="142" xfId="51694" applyNumberFormat="1" applyBorder="1" applyAlignment="1" applyProtection="1">
      <alignment horizontal="center"/>
      <protection locked="0"/>
    </xf>
    <xf numFmtId="0" fontId="3" fillId="0" borderId="6" xfId="51694" applyBorder="1" applyAlignment="1" applyProtection="1">
      <alignment wrapText="1"/>
      <protection locked="0"/>
    </xf>
    <xf numFmtId="0" fontId="3" fillId="0" borderId="0" xfId="51694" applyAlignment="1" applyProtection="1">
      <alignment horizontal="left" vertical="center"/>
      <protection locked="0"/>
    </xf>
    <xf numFmtId="173" fontId="283" fillId="0" borderId="130" xfId="75" applyNumberFormat="1" applyFont="1" applyBorder="1" applyAlignment="1" applyProtection="1">
      <alignment horizontal="center" vertical="center"/>
      <protection locked="0"/>
    </xf>
    <xf numFmtId="173" fontId="3" fillId="0" borderId="130" xfId="51694" applyNumberFormat="1" applyBorder="1" applyAlignment="1" applyProtection="1">
      <alignment horizontal="center" vertical="center"/>
      <protection locked="0"/>
    </xf>
    <xf numFmtId="0" fontId="3" fillId="0" borderId="180" xfId="51694" applyBorder="1" applyAlignment="1" applyProtection="1">
      <alignment horizontal="left" vertical="center"/>
      <protection locked="0"/>
    </xf>
    <xf numFmtId="0" fontId="3" fillId="0" borderId="193"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3" fontId="283" fillId="0" borderId="142" xfId="75" applyNumberFormat="1" applyFont="1" applyBorder="1" applyAlignment="1" applyProtection="1">
      <alignment horizontal="center"/>
      <protection locked="0"/>
    </xf>
    <xf numFmtId="173" fontId="283" fillId="139" borderId="6" xfId="75" applyNumberFormat="1" applyFont="1" applyFill="1" applyBorder="1" applyAlignment="1" applyProtection="1">
      <alignment horizontal="center" vertical="center"/>
      <protection locked="0"/>
    </xf>
    <xf numFmtId="0" fontId="282" fillId="52" borderId="135" xfId="51694" applyFont="1" applyFill="1" applyBorder="1" applyAlignment="1" applyProtection="1">
      <alignment vertical="center"/>
      <protection locked="0"/>
    </xf>
    <xf numFmtId="0" fontId="3" fillId="52" borderId="138" xfId="51694" applyFill="1" applyBorder="1" applyAlignment="1" applyProtection="1">
      <alignment vertical="center"/>
      <protection locked="0"/>
    </xf>
    <xf numFmtId="173" fontId="3" fillId="0" borderId="193" xfId="51694" applyNumberFormat="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0" borderId="0" xfId="51694" applyFont="1" applyAlignment="1" applyProtection="1">
      <alignment vertical="center"/>
      <protection locked="0"/>
    </xf>
    <xf numFmtId="173" fontId="284" fillId="0" borderId="0" xfId="51694" applyNumberFormat="1" applyFont="1" applyAlignment="1" applyProtection="1">
      <alignment horizont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78" fontId="289" fillId="0" borderId="0" xfId="51694" applyNumberFormat="1" applyFont="1" applyAlignment="1" applyProtection="1">
      <alignment horizontal="center"/>
      <protection locked="0"/>
    </xf>
    <xf numFmtId="178" fontId="283" fillId="0" borderId="0" xfId="51694" applyNumberFormat="1" applyFont="1" applyAlignment="1" applyProtection="1">
      <alignment horizontal="center"/>
      <protection locked="0"/>
    </xf>
    <xf numFmtId="178"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3" fontId="296" fillId="0" borderId="193" xfId="51694" applyNumberFormat="1" applyFont="1" applyBorder="1" applyAlignment="1" applyProtection="1">
      <alignment horizontal="center" vertical="center"/>
      <protection locked="0"/>
    </xf>
    <xf numFmtId="173" fontId="296" fillId="0" borderId="0" xfId="75" applyNumberFormat="1" applyFont="1" applyAlignment="1" applyProtection="1">
      <alignment horizontal="center" vertical="center"/>
      <protection locked="0"/>
    </xf>
    <xf numFmtId="173" fontId="297" fillId="0" borderId="0" xfId="51694" applyNumberFormat="1" applyFont="1" applyAlignment="1" applyProtection="1">
      <alignment horizontal="center" vertical="center"/>
      <protection locked="0"/>
    </xf>
    <xf numFmtId="173"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3"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3" fontId="283" fillId="52" borderId="6" xfId="75" applyNumberFormat="1" applyFont="1" applyFill="1" applyBorder="1" applyAlignment="1">
      <alignment horizontal="center" vertical="center"/>
    </xf>
    <xf numFmtId="173" fontId="282" fillId="52" borderId="6" xfId="51694" applyNumberFormat="1" applyFont="1" applyFill="1" applyBorder="1" applyAlignment="1">
      <alignment horizontal="center" vertical="center"/>
    </xf>
    <xf numFmtId="173" fontId="289" fillId="52" borderId="6" xfId="75" applyNumberFormat="1" applyFont="1" applyFill="1" applyBorder="1" applyAlignment="1">
      <alignment horizontal="center" vertical="center"/>
    </xf>
    <xf numFmtId="178" fontId="283" fillId="0" borderId="6" xfId="51694" applyNumberFormat="1" applyFont="1" applyBorder="1" applyAlignment="1">
      <alignment horizontal="center"/>
    </xf>
    <xf numFmtId="173" fontId="297" fillId="0" borderId="6" xfId="51694" applyNumberFormat="1" applyFont="1" applyBorder="1" applyAlignment="1">
      <alignment horizontal="center" vertical="center"/>
    </xf>
    <xf numFmtId="178" fontId="283" fillId="52" borderId="6" xfId="51694" applyNumberFormat="1" applyFont="1" applyFill="1" applyBorder="1" applyAlignment="1">
      <alignment horizontal="center"/>
    </xf>
    <xf numFmtId="173" fontId="297" fillId="52" borderId="6" xfId="51694" applyNumberFormat="1" applyFont="1" applyFill="1" applyBorder="1" applyAlignment="1">
      <alignment horizontal="center" vertical="center"/>
    </xf>
    <xf numFmtId="173" fontId="283" fillId="52" borderId="6" xfId="51694" applyNumberFormat="1" applyFont="1" applyFill="1" applyBorder="1" applyAlignment="1">
      <alignment horizontal="center" vertical="center"/>
    </xf>
    <xf numFmtId="173"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3"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79"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80" xfId="0" applyFill="1" applyBorder="1" applyAlignment="1" applyProtection="1">
      <alignment wrapText="1"/>
      <protection locked="0"/>
    </xf>
    <xf numFmtId="0" fontId="0" fillId="3" borderId="193"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2"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2" fontId="0" fillId="0" borderId="0" xfId="0" applyNumberFormat="1" applyAlignment="1" applyProtection="1">
      <alignment horizontal="right"/>
      <protection locked="0"/>
    </xf>
    <xf numFmtId="168"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68" fontId="294" fillId="0" borderId="0" xfId="51698" applyNumberFormat="1" applyFont="1" applyAlignment="1" applyProtection="1">
      <alignment vertical="center"/>
      <protection locked="0"/>
    </xf>
    <xf numFmtId="0" fontId="8" fillId="0" borderId="0" xfId="51698" applyFont="1" applyProtection="1">
      <protection locked="0"/>
    </xf>
    <xf numFmtId="0" fontId="294" fillId="0" borderId="0" xfId="51698" applyFont="1" applyProtection="1">
      <protection locked="0"/>
    </xf>
    <xf numFmtId="364"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0" fontId="11" fillId="137" borderId="6" xfId="0" applyFont="1" applyFill="1" applyBorder="1" applyProtection="1">
      <protection locked="0"/>
    </xf>
    <xf numFmtId="173"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5" fontId="11" fillId="0" borderId="0" xfId="0" applyNumberFormat="1" applyFont="1" applyProtection="1">
      <protection locked="0"/>
    </xf>
    <xf numFmtId="0" fontId="11" fillId="53" borderId="6" xfId="0" applyFont="1" applyFill="1" applyBorder="1" applyProtection="1">
      <protection locked="0"/>
    </xf>
    <xf numFmtId="364" fontId="30" fillId="0" borderId="0" xfId="0" applyNumberFormat="1" applyFont="1" applyProtection="1">
      <protection locked="0"/>
    </xf>
    <xf numFmtId="10" fontId="11" fillId="0" borderId="0" xfId="51704" applyFont="1" applyFill="1" applyAlignment="1" applyProtection="1">
      <protection locked="0"/>
    </xf>
    <xf numFmtId="172" fontId="11" fillId="0" borderId="0" xfId="3428" applyNumberFormat="1" applyFont="1" applyFill="1" applyProtection="1">
      <protection locked="0"/>
    </xf>
    <xf numFmtId="173" fontId="11" fillId="0" borderId="0" xfId="0" applyNumberFormat="1" applyFont="1" applyProtection="1">
      <protection locked="0"/>
    </xf>
    <xf numFmtId="364"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2" fontId="11" fillId="52" borderId="6" xfId="3428" applyNumberFormat="1" applyFont="1" applyFill="1" applyBorder="1" applyProtection="1"/>
    <xf numFmtId="173" fontId="11" fillId="52" borderId="6" xfId="0" applyNumberFormat="1" applyFont="1" applyFill="1" applyBorder="1"/>
    <xf numFmtId="173" fontId="286" fillId="0" borderId="0" xfId="75" applyNumberFormat="1" applyFont="1" applyAlignment="1" applyProtection="1">
      <alignment horizontal="center" vertical="center" wrapText="1"/>
      <protection locked="0"/>
    </xf>
    <xf numFmtId="173" fontId="3" fillId="101" borderId="11" xfId="51694" applyNumberFormat="1" applyFill="1" applyBorder="1" applyAlignment="1" applyProtection="1">
      <alignment horizontal="center" vertical="center"/>
      <protection locked="0"/>
    </xf>
    <xf numFmtId="173" fontId="3" fillId="101" borderId="0" xfId="51694" applyNumberFormat="1" applyFill="1" applyAlignment="1" applyProtection="1">
      <alignment horizontal="center" vertical="center"/>
      <protection locked="0"/>
    </xf>
    <xf numFmtId="0" fontId="0" fillId="0" borderId="0" xfId="0" applyAlignment="1">
      <alignment horizontal="center"/>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0" fontId="0" fillId="0" borderId="0" xfId="0" applyAlignment="1">
      <alignment horizontal="left" vertical="center" wrapText="1" inden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0" fontId="0" fillId="0" borderId="100" xfId="0" applyBorder="1" applyAlignment="1">
      <alignment horizontal="left" vertical="center" wrapText="1"/>
    </xf>
    <xf numFmtId="0" fontId="0" fillId="0" borderId="95"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75" xfId="0" applyBorder="1" applyAlignment="1">
      <alignment horizontal="left" vertical="center" wrapText="1" indent="1"/>
    </xf>
    <xf numFmtId="0" fontId="0" fillId="0" borderId="176" xfId="0" applyBorder="1" applyAlignment="1">
      <alignment horizontal="left" vertical="center" wrapText="1" indent="1"/>
    </xf>
    <xf numFmtId="0" fontId="0" fillId="0" borderId="79" xfId="0" applyBorder="1" applyAlignment="1">
      <alignment horizontal="left" vertical="center" wrapText="1"/>
    </xf>
    <xf numFmtId="0" fontId="0" fillId="0" borderId="98" xfId="0" applyBorder="1" applyAlignment="1">
      <alignment horizontal="left" vertical="center" wrapText="1"/>
    </xf>
    <xf numFmtId="0" fontId="0" fillId="0" borderId="80"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0" fontId="0" fillId="0" borderId="97" xfId="0" applyBorder="1" applyAlignment="1">
      <alignment horizontal="left" vertical="center" wrapText="1"/>
    </xf>
    <xf numFmtId="1" fontId="9" fillId="0" borderId="156" xfId="0" applyNumberFormat="1" applyFont="1" applyBorder="1" applyAlignment="1">
      <alignment horizontal="center" vertical="center"/>
    </xf>
    <xf numFmtId="1" fontId="9" fillId="0" borderId="157" xfId="0" applyNumberFormat="1" applyFont="1" applyBorder="1" applyAlignment="1">
      <alignment horizontal="center" vertical="center"/>
    </xf>
    <xf numFmtId="1" fontId="9" fillId="0" borderId="158" xfId="0" applyNumberFormat="1" applyFont="1" applyBorder="1" applyAlignment="1">
      <alignment horizontal="center" vertical="center"/>
    </xf>
    <xf numFmtId="0" fontId="0" fillId="0" borderId="173" xfId="0" applyBorder="1" applyAlignment="1">
      <alignment horizontal="center" vertical="center" wrapText="1"/>
    </xf>
    <xf numFmtId="0" fontId="0" fillId="0" borderId="174" xfId="0" applyBorder="1" applyAlignment="1">
      <alignment horizontal="center" vertical="center" wrapText="1"/>
    </xf>
    <xf numFmtId="173" fontId="0" fillId="117" borderId="102" xfId="0" applyNumberFormat="1" applyFill="1" applyBorder="1" applyAlignment="1">
      <alignment horizontal="center"/>
    </xf>
    <xf numFmtId="173" fontId="0" fillId="117" borderId="96" xfId="0" applyNumberFormat="1" applyFill="1" applyBorder="1" applyAlignment="1">
      <alignment horizontal="center"/>
    </xf>
    <xf numFmtId="173" fontId="0" fillId="117" borderId="61" xfId="0" applyNumberFormat="1" applyFill="1" applyBorder="1" applyAlignment="1">
      <alignment horizontal="center"/>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79"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80"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0" borderId="0" xfId="85" applyFont="1" applyAlignment="1">
      <alignment horizontal="left" vertical="center" wrapText="1"/>
    </xf>
    <xf numFmtId="0" fontId="12" fillId="0" borderId="0" xfId="85" applyFont="1" applyAlignment="1">
      <alignment horizontal="left" vertical="center" wrapText="1"/>
    </xf>
    <xf numFmtId="168" fontId="11" fillId="3" borderId="100" xfId="0" applyNumberFormat="1" applyFont="1" applyFill="1" applyBorder="1" applyAlignment="1">
      <alignment horizontal="left" vertical="center" indent="1"/>
    </xf>
    <xf numFmtId="168" fontId="11" fillId="3" borderId="101" xfId="0" applyNumberFormat="1" applyFont="1" applyFill="1" applyBorder="1" applyAlignment="1">
      <alignment horizontal="left" vertical="center" indent="1"/>
    </xf>
    <xf numFmtId="168" fontId="11" fillId="3" borderId="95" xfId="0" applyNumberFormat="1" applyFont="1" applyFill="1" applyBorder="1" applyAlignment="1">
      <alignment horizontal="left" vertical="center" indent="1"/>
    </xf>
    <xf numFmtId="168" fontId="11" fillId="3" borderId="62" xfId="0" applyNumberFormat="1" applyFont="1" applyFill="1" applyBorder="1" applyAlignment="1">
      <alignment horizontal="left" vertical="center" indent="1"/>
    </xf>
    <xf numFmtId="168" fontId="11" fillId="3" borderId="63" xfId="0" applyNumberFormat="1" applyFont="1" applyFill="1" applyBorder="1" applyAlignment="1">
      <alignment horizontal="left" vertical="center" indent="1"/>
    </xf>
    <xf numFmtId="168" fontId="11" fillId="3" borderId="64" xfId="0" applyNumberFormat="1" applyFont="1" applyFill="1" applyBorder="1" applyAlignment="1">
      <alignment horizontal="left" vertical="center" indent="1"/>
    </xf>
    <xf numFmtId="168" fontId="11" fillId="3" borderId="65" xfId="0" applyNumberFormat="1" applyFont="1" applyFill="1" applyBorder="1" applyAlignment="1">
      <alignment horizontal="left" vertical="center" indent="1"/>
    </xf>
    <xf numFmtId="168" fontId="11" fillId="3" borderId="66" xfId="0" applyNumberFormat="1" applyFont="1" applyFill="1" applyBorder="1" applyAlignment="1">
      <alignment horizontal="left" vertical="center" indent="1"/>
    </xf>
    <xf numFmtId="168" fontId="11" fillId="3" borderId="67" xfId="0" applyNumberFormat="1" applyFont="1" applyFill="1" applyBorder="1" applyAlignment="1">
      <alignment horizontal="left" vertical="center" indent="1"/>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0" fontId="11" fillId="0" borderId="142" xfId="85" applyFont="1" applyBorder="1" applyAlignment="1">
      <alignment horizontal="left" vertical="center" wrapText="1"/>
    </xf>
    <xf numFmtId="0" fontId="248" fillId="116" borderId="0" xfId="0" applyFont="1" applyFill="1" applyAlignment="1" applyProtection="1">
      <alignment horizontal="left" vertical="top" wrapText="1"/>
      <protection locked="0"/>
    </xf>
    <xf numFmtId="0" fontId="282" fillId="135" borderId="178"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80"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78"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173" fontId="283" fillId="0" borderId="6" xfId="51694" applyNumberFormat="1"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93"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78" xfId="0" applyFill="1" applyBorder="1" applyAlignment="1" applyProtection="1">
      <alignment horizontal="center" vertical="top" wrapText="1"/>
      <protection locked="0"/>
    </xf>
    <xf numFmtId="0" fontId="0" fillId="53" borderId="192"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95">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CC"/>
      <color rgb="FFFFFFAB"/>
      <color rgb="FFC0C0C0"/>
      <color rgb="FFFFFFCC"/>
      <color rgb="FFCCFFFF"/>
      <color rgb="FFFFCC99"/>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2199501</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1057428</xdr:colOff>
      <xdr:row>0</xdr:row>
      <xdr:rowOff>563450</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347383</xdr:colOff>
      <xdr:row>0</xdr:row>
      <xdr:rowOff>201705</xdr:rowOff>
    </xdr:from>
    <xdr:to>
      <xdr:col>9</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85" zoomScaleNormal="85" workbookViewId="0">
      <selection sqref="A1:XFD1"/>
    </sheetView>
  </sheetViews>
  <sheetFormatPr defaultRowHeight="12.35"/>
  <cols>
    <col min="1" max="1" width="8.3671875" customWidth="1"/>
    <col min="2" max="2" width="41.47265625" customWidth="1"/>
    <col min="3" max="6" width="14.1015625" customWidth="1"/>
    <col min="7" max="7" width="40.89453125" style="36" customWidth="1"/>
    <col min="8" max="8" width="3.47265625" customWidth="1"/>
    <col min="9" max="9" width="14.1015625" customWidth="1"/>
  </cols>
  <sheetData>
    <row r="1" spans="1:10" s="1234" customFormat="1" ht="56.85" customHeight="1"/>
    <row r="2" spans="1:10" ht="20">
      <c r="A2" s="157" t="s">
        <v>0</v>
      </c>
      <c r="B2" s="158"/>
      <c r="C2" s="158"/>
      <c r="D2" s="159"/>
      <c r="E2" s="160"/>
      <c r="F2" s="158"/>
      <c r="G2" s="161"/>
      <c r="H2" s="158"/>
      <c r="I2" s="158"/>
    </row>
    <row r="3" spans="1:10" ht="20">
      <c r="A3" s="157" t="str">
        <f>Licensee</f>
        <v>Cadent-WM</v>
      </c>
      <c r="B3" s="158"/>
      <c r="C3" s="158"/>
      <c r="D3" s="160"/>
      <c r="E3" s="160"/>
      <c r="F3" s="158"/>
      <c r="G3" s="161"/>
      <c r="H3" s="158"/>
      <c r="I3" s="158"/>
    </row>
    <row r="4" spans="1:10" ht="20">
      <c r="A4" s="157" t="s">
        <v>1</v>
      </c>
      <c r="B4" s="158"/>
      <c r="C4" s="158"/>
      <c r="D4" s="160"/>
      <c r="E4" s="160"/>
      <c r="F4" s="158"/>
      <c r="G4" s="161"/>
      <c r="H4" s="158"/>
      <c r="I4" s="158"/>
    </row>
    <row r="5" spans="1:10" ht="20">
      <c r="A5" s="240"/>
      <c r="B5" s="241"/>
      <c r="C5" s="241"/>
      <c r="D5" s="242"/>
      <c r="E5" s="242"/>
      <c r="F5" s="241"/>
      <c r="G5" s="416"/>
      <c r="H5" s="241"/>
      <c r="I5" s="241"/>
    </row>
    <row r="6" spans="1:10" ht="13.7">
      <c r="A6" s="8"/>
      <c r="B6" s="295" t="s">
        <v>2</v>
      </c>
      <c r="C6" s="296">
        <v>2022</v>
      </c>
      <c r="D6" s="242"/>
      <c r="E6" s="242"/>
      <c r="H6" s="417"/>
    </row>
    <row r="7" spans="1:10" ht="13.5" customHeight="1">
      <c r="A7" s="8"/>
      <c r="B7" s="295" t="s">
        <v>3</v>
      </c>
      <c r="C7" s="297" t="s">
        <v>80</v>
      </c>
      <c r="D7" s="242"/>
      <c r="E7" s="242"/>
      <c r="F7" s="298"/>
      <c r="G7" s="418" t="s">
        <v>5</v>
      </c>
      <c r="H7" s="417"/>
    </row>
    <row r="8" spans="1:10" ht="13.5" customHeight="1">
      <c r="A8" s="8"/>
      <c r="B8" s="295" t="s">
        <v>6</v>
      </c>
      <c r="C8" s="299" t="str">
        <f>INDEX(Data!$A$56:$A$84,MATCH($C$7,Data!$B$56:$B$84,0),0)&amp;"2"</f>
        <v>GD2</v>
      </c>
      <c r="D8" s="242"/>
      <c r="E8" s="242"/>
      <c r="F8" s="300"/>
      <c r="G8" s="418" t="s">
        <v>7</v>
      </c>
      <c r="H8" s="417"/>
    </row>
    <row r="9" spans="1:10" ht="25">
      <c r="A9" s="8"/>
      <c r="B9" s="301" t="s">
        <v>8</v>
      </c>
      <c r="C9" s="302">
        <v>2023</v>
      </c>
      <c r="D9" s="242"/>
      <c r="E9" s="242"/>
      <c r="F9" s="303"/>
      <c r="G9" s="419" t="s">
        <v>9</v>
      </c>
      <c r="H9" s="417"/>
    </row>
    <row r="10" spans="1:10" ht="13.7">
      <c r="A10" s="8"/>
      <c r="B10" s="295" t="s">
        <v>10</v>
      </c>
      <c r="C10" s="302">
        <v>1</v>
      </c>
      <c r="D10" s="242"/>
      <c r="E10" s="242"/>
      <c r="F10" s="304"/>
      <c r="G10" s="418" t="s">
        <v>11</v>
      </c>
      <c r="H10" s="417"/>
    </row>
    <row r="11" spans="1:10" ht="13.7">
      <c r="A11" s="8"/>
      <c r="B11" s="295" t="s">
        <v>12</v>
      </c>
      <c r="C11" s="305">
        <v>45197</v>
      </c>
      <c r="D11" s="242"/>
      <c r="E11" s="242"/>
      <c r="F11" s="306"/>
      <c r="G11" s="418" t="s">
        <v>13</v>
      </c>
      <c r="H11" s="417"/>
    </row>
    <row r="12" spans="1:10" ht="13.7">
      <c r="A12" s="8"/>
      <c r="D12" s="242"/>
      <c r="E12" s="242"/>
      <c r="F12" s="307"/>
      <c r="G12" s="418" t="s">
        <v>14</v>
      </c>
      <c r="H12" s="417"/>
    </row>
    <row r="13" spans="1:10" ht="13.7">
      <c r="A13" s="8"/>
      <c r="D13" s="242"/>
      <c r="E13" s="242"/>
      <c r="F13" s="308"/>
      <c r="G13" s="418" t="s">
        <v>15</v>
      </c>
      <c r="H13" s="417"/>
    </row>
    <row r="14" spans="1:10">
      <c r="A14" s="8"/>
      <c r="D14" s="242"/>
      <c r="E14" s="242"/>
      <c r="F14" s="2"/>
      <c r="G14" s="420"/>
    </row>
    <row r="15" spans="1:10">
      <c r="C15" s="242"/>
      <c r="F15" s="242"/>
      <c r="G15"/>
      <c r="H15" s="242"/>
      <c r="J15" s="242"/>
    </row>
    <row r="16" spans="1:10">
      <c r="C16" s="242"/>
      <c r="F16" s="242"/>
      <c r="G16"/>
      <c r="H16" s="242"/>
      <c r="J16" s="242"/>
    </row>
    <row r="17" spans="3:10">
      <c r="C17" s="242"/>
      <c r="F17" s="242"/>
      <c r="G17"/>
      <c r="H17" s="242"/>
      <c r="J17" s="242"/>
    </row>
    <row r="18" spans="3:10">
      <c r="C18" s="242"/>
      <c r="F18" s="242"/>
      <c r="G18"/>
      <c r="H18" s="242"/>
      <c r="J18" s="242"/>
    </row>
    <row r="19" spans="3:10">
      <c r="C19" s="242"/>
      <c r="F19" s="242"/>
      <c r="G19"/>
      <c r="H19" s="242"/>
      <c r="J19" s="242"/>
    </row>
    <row r="20" spans="3:10">
      <c r="C20" s="242"/>
      <c r="F20" s="242"/>
      <c r="G20"/>
      <c r="H20" s="242"/>
      <c r="J20" s="242"/>
    </row>
    <row r="21" spans="3:10">
      <c r="C21" s="242"/>
      <c r="F21" s="242"/>
      <c r="G21"/>
      <c r="H21" s="242"/>
      <c r="J21" s="242"/>
    </row>
    <row r="22" spans="3:10">
      <c r="C22" s="242"/>
      <c r="F22" s="242"/>
      <c r="G22"/>
      <c r="H22" s="242"/>
      <c r="J22" s="242"/>
    </row>
    <row r="23" spans="3:10">
      <c r="C23" s="242"/>
      <c r="F23" s="242"/>
      <c r="G23"/>
      <c r="H23" s="242"/>
      <c r="J23" s="242"/>
    </row>
    <row r="24" spans="3:10">
      <c r="C24" s="242"/>
      <c r="F24" s="242"/>
      <c r="G24"/>
      <c r="H24" s="242"/>
      <c r="J24" s="242"/>
    </row>
    <row r="25" spans="3:10">
      <c r="C25" s="242"/>
      <c r="F25" s="242"/>
      <c r="G25"/>
      <c r="H25" s="242"/>
      <c r="J25" s="242"/>
    </row>
    <row r="26" spans="3:10">
      <c r="C26" s="242"/>
      <c r="F26" s="242"/>
      <c r="G26"/>
      <c r="H26" s="242"/>
      <c r="J26" s="242"/>
    </row>
    <row r="27" spans="3:10">
      <c r="C27" s="242"/>
      <c r="F27" s="242"/>
      <c r="G27"/>
      <c r="H27" s="242"/>
      <c r="J27" s="242"/>
    </row>
    <row r="87" spans="1:1">
      <c r="A87" s="13"/>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Data!$F$16:$L$16</xm:f>
          </x14:formula1>
          <xm:sqref>C9</xm:sqref>
        </x14:dataValidation>
        <x14:dataValidation type="list" allowBlank="1" showInputMessage="1" showErrorMessage="1" xr:uid="{00000000-0002-0000-0000-000001000000}">
          <x14:formula1>
            <xm:f>Data!$B$56:$B$84</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7"/>
  <sheetViews>
    <sheetView zoomScale="70" zoomScaleNormal="70" workbookViewId="0"/>
  </sheetViews>
  <sheetFormatPr defaultColWidth="0" defaultRowHeight="12.35" zeroHeight="1" outlineLevelRow="1" outlineLevelCol="1"/>
  <cols>
    <col min="1" max="1" width="9.3671875" style="166" customWidth="1"/>
    <col min="2" max="2" width="5.3671875" style="166" customWidth="1"/>
    <col min="3" max="3" width="13.1015625" style="166" customWidth="1"/>
    <col min="4" max="4" width="16.3671875" style="166" customWidth="1"/>
    <col min="5" max="5" width="17.1015625" style="166" customWidth="1"/>
    <col min="6" max="6" width="16.62890625" style="166" customWidth="1"/>
    <col min="7" max="7" width="6" style="166" customWidth="1"/>
    <col min="8" max="8" width="7.47265625" style="166" customWidth="1"/>
    <col min="9" max="9" width="14.734375" style="166" customWidth="1"/>
    <col min="10" max="11" width="2.89453125" style="166" customWidth="1"/>
    <col min="12" max="12" width="9.1015625" style="166" customWidth="1"/>
    <col min="13" max="20" width="10.89453125" style="166" customWidth="1" outlineLevel="1"/>
    <col min="21" max="21" width="10.89453125" style="166" customWidth="1"/>
    <col min="22" max="22" width="10.89453125" style="166" customWidth="1" outlineLevel="1"/>
    <col min="23" max="23" width="5" style="166" customWidth="1"/>
    <col min="24" max="16373" width="0" style="166" hidden="1"/>
    <col min="16374" max="16384" width="9.1015625" style="166" hidden="1"/>
  </cols>
  <sheetData>
    <row r="1" spans="1:34" ht="20.350000000000001">
      <c r="A1" s="449" t="s">
        <v>255</v>
      </c>
      <c r="B1" s="451"/>
      <c r="C1" s="451"/>
      <c r="D1" s="452"/>
      <c r="E1" s="452"/>
      <c r="F1" s="452"/>
      <c r="G1" s="452"/>
      <c r="H1" s="718"/>
      <c r="I1" s="718"/>
      <c r="J1" s="453"/>
      <c r="K1" s="453"/>
      <c r="L1" s="453"/>
      <c r="M1" s="453"/>
      <c r="N1" s="453"/>
      <c r="O1" s="453"/>
      <c r="P1" s="453"/>
      <c r="Q1" s="453"/>
      <c r="R1" s="453"/>
      <c r="S1" s="453"/>
      <c r="T1" s="453"/>
      <c r="U1" s="453"/>
      <c r="V1" s="453"/>
      <c r="W1" s="574"/>
    </row>
    <row r="2" spans="1:34" ht="20.350000000000001">
      <c r="A2" s="454" t="str">
        <f>Licensee</f>
        <v>Cadent-WM</v>
      </c>
      <c r="B2" s="456"/>
      <c r="C2" s="456"/>
      <c r="D2" s="457"/>
      <c r="E2" s="457"/>
      <c r="F2" s="457"/>
      <c r="G2" s="457"/>
      <c r="H2" s="458"/>
      <c r="I2" s="458"/>
      <c r="J2" s="458"/>
      <c r="K2" s="458"/>
      <c r="L2" s="458"/>
      <c r="M2" s="458"/>
      <c r="N2" s="458"/>
      <c r="O2" s="458"/>
      <c r="P2" s="458"/>
      <c r="Q2" s="458"/>
      <c r="R2" s="458"/>
      <c r="S2" s="458"/>
      <c r="T2" s="458"/>
      <c r="U2" s="458"/>
      <c r="V2" s="458"/>
      <c r="W2" s="459"/>
    </row>
    <row r="3" spans="1:34" ht="20.350000000000001">
      <c r="A3" s="674">
        <f>Reporting_Year</f>
        <v>2023</v>
      </c>
      <c r="B3" s="675"/>
      <c r="C3" s="719"/>
      <c r="D3" s="719"/>
      <c r="E3" s="719"/>
      <c r="F3" s="719"/>
      <c r="G3" s="460"/>
      <c r="H3" s="461"/>
      <c r="I3" s="461"/>
      <c r="J3" s="461"/>
      <c r="K3" s="461"/>
      <c r="L3" s="461"/>
      <c r="M3" s="461"/>
      <c r="N3" s="461"/>
      <c r="O3" s="461"/>
      <c r="P3" s="461"/>
      <c r="Q3" s="461"/>
      <c r="R3" s="461"/>
      <c r="S3" s="461"/>
      <c r="T3" s="461"/>
      <c r="U3" s="461"/>
      <c r="V3" s="461"/>
      <c r="W3" s="462"/>
    </row>
    <row r="4" spans="1:34" s="53" customFormat="1" ht="15.35">
      <c r="A4" s="385"/>
      <c r="B4" s="668" t="s">
        <v>601</v>
      </c>
      <c r="C4" s="223"/>
      <c r="D4" s="720"/>
      <c r="E4" s="224"/>
      <c r="F4" s="224"/>
      <c r="G4" s="224"/>
      <c r="H4" s="224"/>
      <c r="I4" s="224"/>
      <c r="J4" s="224"/>
      <c r="K4" s="224"/>
      <c r="L4" s="225"/>
      <c r="M4" s="225"/>
      <c r="N4" s="225"/>
      <c r="O4" s="225"/>
      <c r="P4" s="225"/>
      <c r="Q4" s="225"/>
      <c r="R4" s="225"/>
      <c r="S4" s="225"/>
      <c r="T4" s="225"/>
      <c r="U4" s="225"/>
      <c r="V4" s="55"/>
      <c r="W4" s="55"/>
    </row>
    <row r="5" spans="1:34" s="721" customFormat="1" ht="15">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row>
    <row r="6" spans="1:34" s="721" customFormat="1" ht="15">
      <c r="B6" s="722"/>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row>
    <row r="7" spans="1:34" s="54" customFormat="1" ht="15.35">
      <c r="A7" s="385"/>
      <c r="B7" s="385" t="s">
        <v>425</v>
      </c>
      <c r="C7" s="55"/>
      <c r="D7" s="385"/>
      <c r="E7" s="383"/>
      <c r="F7" s="383"/>
      <c r="G7" s="383"/>
      <c r="H7" s="383"/>
      <c r="I7" s="383"/>
      <c r="J7" s="383"/>
      <c r="K7" s="383"/>
      <c r="L7" s="383"/>
      <c r="M7" s="1288" t="s">
        <v>602</v>
      </c>
      <c r="N7" s="1289"/>
      <c r="O7" s="1289"/>
      <c r="P7" s="1289"/>
      <c r="Q7" s="1290"/>
      <c r="R7" s="1291" t="s">
        <v>603</v>
      </c>
      <c r="S7" s="1292"/>
      <c r="T7" s="1293"/>
      <c r="U7" s="1292"/>
      <c r="V7" s="1294"/>
      <c r="W7" s="383"/>
    </row>
    <row r="8" spans="1:34" s="53" customFormat="1" ht="15.35">
      <c r="A8" s="55"/>
      <c r="B8" s="723"/>
      <c r="C8" s="724"/>
      <c r="D8" s="725"/>
      <c r="E8" s="725"/>
      <c r="F8" s="725"/>
      <c r="G8" s="725"/>
      <c r="H8" s="725"/>
      <c r="I8" s="725"/>
      <c r="J8" s="725"/>
      <c r="K8" s="725"/>
      <c r="L8" s="725"/>
      <c r="M8" s="726" t="str">
        <f t="shared" ref="M8:V8" si="0">IF(M9&lt;=Reporting_Year,"Actuals","Forecast")</f>
        <v>Actuals</v>
      </c>
      <c r="N8" s="727" t="str">
        <f t="shared" si="0"/>
        <v>Actuals</v>
      </c>
      <c r="O8" s="727" t="str">
        <f t="shared" si="0"/>
        <v>Forecast</v>
      </c>
      <c r="P8" s="727" t="str">
        <f t="shared" si="0"/>
        <v>Forecast</v>
      </c>
      <c r="Q8" s="727" t="str">
        <f t="shared" si="0"/>
        <v>Forecast</v>
      </c>
      <c r="R8" s="727" t="str">
        <f t="shared" si="0"/>
        <v>Forecast</v>
      </c>
      <c r="S8" s="727" t="str">
        <f t="shared" si="0"/>
        <v>Forecast</v>
      </c>
      <c r="T8" s="728" t="str">
        <f t="shared" si="0"/>
        <v>Forecast</v>
      </c>
      <c r="U8" s="729" t="str">
        <f t="shared" si="0"/>
        <v>Forecast</v>
      </c>
      <c r="V8" s="729" t="str">
        <f t="shared" si="0"/>
        <v>Forecast</v>
      </c>
      <c r="W8" s="55"/>
    </row>
    <row r="9" spans="1:34" s="53" customFormat="1" ht="15.35">
      <c r="A9" s="725"/>
      <c r="B9" s="725"/>
      <c r="C9" s="725" t="s">
        <v>604</v>
      </c>
      <c r="D9" s="725"/>
      <c r="E9" s="725"/>
      <c r="F9" s="725"/>
      <c r="G9" s="725"/>
      <c r="H9" s="730">
        <f>RIIO_2_start_date - 2022</f>
        <v>0</v>
      </c>
      <c r="I9" s="725"/>
      <c r="J9" s="725"/>
      <c r="K9" s="725"/>
      <c r="L9" s="731" t="s">
        <v>605</v>
      </c>
      <c r="M9" s="732">
        <f>'RFPR cover'!$C$6</f>
        <v>2022</v>
      </c>
      <c r="N9" s="733">
        <f>M9+1</f>
        <v>2023</v>
      </c>
      <c r="O9" s="733">
        <f t="shared" ref="O9:T9" si="1">N9+1</f>
        <v>2024</v>
      </c>
      <c r="P9" s="733">
        <f t="shared" si="1"/>
        <v>2025</v>
      </c>
      <c r="Q9" s="733">
        <f t="shared" si="1"/>
        <v>2026</v>
      </c>
      <c r="R9" s="733">
        <f t="shared" si="1"/>
        <v>2027</v>
      </c>
      <c r="S9" s="734">
        <f t="shared" si="1"/>
        <v>2028</v>
      </c>
      <c r="T9" s="735">
        <f t="shared" si="1"/>
        <v>2029</v>
      </c>
      <c r="U9" s="736">
        <f>T9+1</f>
        <v>2030</v>
      </c>
      <c r="V9" s="733">
        <f>U9+1</f>
        <v>2031</v>
      </c>
      <c r="W9" s="55"/>
    </row>
    <row r="10" spans="1:34" s="725" customFormat="1">
      <c r="O10" s="737"/>
      <c r="P10" s="737"/>
      <c r="Q10" s="737"/>
      <c r="R10" s="737"/>
      <c r="S10" s="737"/>
      <c r="T10" s="738"/>
      <c r="U10" s="739"/>
      <c r="V10" s="737"/>
    </row>
    <row r="11" spans="1:34" s="725" customFormat="1" ht="15.35">
      <c r="B11" s="740" t="s">
        <v>606</v>
      </c>
      <c r="C11" s="741"/>
      <c r="D11" s="741"/>
      <c r="E11" s="742"/>
      <c r="F11" s="742"/>
      <c r="G11" s="741"/>
      <c r="H11" s="741"/>
      <c r="I11" s="741"/>
      <c r="J11" s="741"/>
      <c r="K11" s="741"/>
      <c r="L11" s="741"/>
      <c r="M11" s="741"/>
      <c r="N11" s="741"/>
      <c r="O11" s="741"/>
      <c r="P11" s="741"/>
      <c r="Q11" s="741"/>
      <c r="R11" s="741"/>
      <c r="S11" s="741"/>
      <c r="T11" s="743"/>
      <c r="U11" s="741"/>
      <c r="V11" s="741"/>
    </row>
    <row r="12" spans="1:34" s="725" customFormat="1" ht="13.7">
      <c r="B12" s="744"/>
      <c r="C12" s="745"/>
      <c r="D12" s="746"/>
      <c r="E12" s="746"/>
      <c r="F12" s="746"/>
      <c r="G12" s="746"/>
      <c r="H12" s="746"/>
      <c r="I12" s="724" t="s">
        <v>607</v>
      </c>
      <c r="J12" s="746"/>
      <c r="K12" s="746"/>
      <c r="L12" s="746"/>
      <c r="M12" s="746"/>
      <c r="N12" s="746"/>
      <c r="O12" s="746"/>
      <c r="P12" s="746"/>
      <c r="Q12" s="746"/>
      <c r="R12" s="746"/>
      <c r="S12" s="746"/>
      <c r="T12" s="747"/>
      <c r="U12" s="746"/>
      <c r="V12" s="746"/>
    </row>
    <row r="13" spans="1:34" s="725" customFormat="1" outlineLevel="1">
      <c r="B13" s="748" t="str">
        <f>'R6a - Net Debt input'!B32</f>
        <v>B.</v>
      </c>
      <c r="C13" s="748" t="str">
        <f>'R6a - Net Debt input'!D32</f>
        <v>Bonds</v>
      </c>
      <c r="D13" s="749"/>
      <c r="E13" s="748"/>
      <c r="F13" s="748"/>
      <c r="I13" s="749" t="str">
        <f>'R6a - Net Debt input'!L32</f>
        <v>Bond</v>
      </c>
      <c r="L13" s="750" t="s">
        <v>507</v>
      </c>
      <c r="M13" s="833">
        <v>0</v>
      </c>
      <c r="N13" s="834">
        <v>0</v>
      </c>
      <c r="O13" s="834">
        <v>0</v>
      </c>
      <c r="P13" s="834">
        <v>0</v>
      </c>
      <c r="Q13" s="834">
        <v>0</v>
      </c>
      <c r="R13" s="834">
        <v>0</v>
      </c>
      <c r="S13" s="835">
        <v>0</v>
      </c>
      <c r="T13" s="836">
        <v>0</v>
      </c>
      <c r="U13" s="837">
        <v>0</v>
      </c>
      <c r="V13" s="834">
        <v>0</v>
      </c>
    </row>
    <row r="14" spans="1:34" s="725" customFormat="1" outlineLevel="1">
      <c r="B14" s="748" t="str">
        <f>'R6a - Net Debt input'!B33</f>
        <v>C.</v>
      </c>
      <c r="C14" s="748" t="str">
        <f>'R6a - Net Debt input'!D33</f>
        <v>External Loans</v>
      </c>
      <c r="D14" s="749"/>
      <c r="E14" s="748"/>
      <c r="F14" s="748"/>
      <c r="I14" s="749" t="str">
        <f>'R6a - Net Debt input'!L33</f>
        <v>External Loan</v>
      </c>
      <c r="L14" s="750" t="s">
        <v>507</v>
      </c>
      <c r="M14" s="833">
        <v>48.197342735880099</v>
      </c>
      <c r="N14" s="834">
        <v>89.610350380181714</v>
      </c>
      <c r="O14" s="834">
        <v>56.915674738429026</v>
      </c>
      <c r="P14" s="834">
        <v>41.626285840713464</v>
      </c>
      <c r="Q14" s="834">
        <v>38.743372228186985</v>
      </c>
      <c r="R14" s="834">
        <v>37.028191574945993</v>
      </c>
      <c r="S14" s="835">
        <v>18.320972228186989</v>
      </c>
      <c r="T14" s="836">
        <v>18.320972228186989</v>
      </c>
      <c r="U14" s="837">
        <v>4.7096519771236869</v>
      </c>
      <c r="V14" s="834">
        <v>0</v>
      </c>
    </row>
    <row r="15" spans="1:34" s="725" customFormat="1" outlineLevel="1">
      <c r="B15" s="748" t="str">
        <f>'R6a - Net Debt input'!B34</f>
        <v>D.</v>
      </c>
      <c r="C15" s="748" t="str">
        <f>'R6a - Net Debt input'!D34</f>
        <v>Private Placements</v>
      </c>
      <c r="D15" s="749"/>
      <c r="E15" s="748"/>
      <c r="F15" s="748"/>
      <c r="H15" s="751"/>
      <c r="I15" s="749" t="str">
        <f>'R6a - Net Debt input'!L34</f>
        <v>Private Placement</v>
      </c>
      <c r="L15" s="750" t="s">
        <v>507</v>
      </c>
      <c r="M15" s="833">
        <v>0</v>
      </c>
      <c r="N15" s="834">
        <v>0</v>
      </c>
      <c r="O15" s="834">
        <v>0</v>
      </c>
      <c r="P15" s="834">
        <v>0</v>
      </c>
      <c r="Q15" s="834">
        <v>0</v>
      </c>
      <c r="R15" s="834">
        <v>0</v>
      </c>
      <c r="S15" s="835">
        <v>0</v>
      </c>
      <c r="T15" s="836">
        <v>0</v>
      </c>
      <c r="U15" s="837">
        <v>0</v>
      </c>
      <c r="V15" s="834">
        <v>0</v>
      </c>
    </row>
    <row r="16" spans="1:34" s="725" customFormat="1" outlineLevel="1">
      <c r="B16" s="748" t="str">
        <f>'R6a - Net Debt input'!B35</f>
        <v>E.</v>
      </c>
      <c r="C16" s="748" t="str">
        <f>'R6a - Net Debt input'!D35</f>
        <v>Group company loans (licensee lender)</v>
      </c>
      <c r="D16" s="749"/>
      <c r="E16" s="748"/>
      <c r="F16" s="748"/>
      <c r="I16" s="749" t="str">
        <f>'R6a - Net Debt input'!L35</f>
        <v>Group company loan (licensee lender)</v>
      </c>
      <c r="L16" s="750" t="s">
        <v>507</v>
      </c>
      <c r="M16" s="833">
        <v>0</v>
      </c>
      <c r="N16" s="834">
        <v>0</v>
      </c>
      <c r="O16" s="834">
        <v>0</v>
      </c>
      <c r="P16" s="834">
        <v>0</v>
      </c>
      <c r="Q16" s="834">
        <v>0</v>
      </c>
      <c r="R16" s="834">
        <v>0</v>
      </c>
      <c r="S16" s="835">
        <v>0</v>
      </c>
      <c r="T16" s="836">
        <v>0</v>
      </c>
      <c r="U16" s="837">
        <v>0</v>
      </c>
      <c r="V16" s="834">
        <v>0</v>
      </c>
    </row>
    <row r="17" spans="2:29" s="725" customFormat="1" outlineLevel="1">
      <c r="B17" s="748" t="str">
        <f>'R6a - Net Debt input'!B36</f>
        <v>F.</v>
      </c>
      <c r="C17" s="748" t="str">
        <f>'R6a - Net Debt input'!D36</f>
        <v>Group company loans (licensee borrower)</v>
      </c>
      <c r="D17" s="749"/>
      <c r="E17" s="748"/>
      <c r="F17" s="748"/>
      <c r="I17" s="749" t="str">
        <f>'R6a - Net Debt input'!L36</f>
        <v>Group company loan (licensee borrower)</v>
      </c>
      <c r="L17" s="750" t="s">
        <v>507</v>
      </c>
      <c r="M17" s="833">
        <v>0</v>
      </c>
      <c r="N17" s="834">
        <v>0</v>
      </c>
      <c r="O17" s="834">
        <v>0</v>
      </c>
      <c r="P17" s="834">
        <v>0</v>
      </c>
      <c r="Q17" s="834">
        <v>0</v>
      </c>
      <c r="R17" s="834">
        <v>0</v>
      </c>
      <c r="S17" s="835">
        <v>0</v>
      </c>
      <c r="T17" s="836">
        <v>0</v>
      </c>
      <c r="U17" s="837">
        <v>0</v>
      </c>
      <c r="V17" s="834">
        <v>0</v>
      </c>
    </row>
    <row r="18" spans="2:29" s="725" customFormat="1" outlineLevel="1">
      <c r="B18" s="748" t="str">
        <f>'R6a - Net Debt input'!B37</f>
        <v>G.</v>
      </c>
      <c r="C18" s="748" t="str">
        <f>'R6a - Net Debt input'!D37</f>
        <v>Group Loans from Finco back to back with finco bond issue</v>
      </c>
      <c r="D18" s="749"/>
      <c r="E18" s="748"/>
      <c r="F18" s="748"/>
      <c r="I18" s="749" t="str">
        <f>'R6a - Net Debt input'!L37</f>
        <v>Group Loan from Finco back to back with finco bond issue</v>
      </c>
      <c r="L18" s="750" t="s">
        <v>507</v>
      </c>
      <c r="M18" s="833">
        <v>143.04521032512551</v>
      </c>
      <c r="N18" s="834">
        <v>181.95730572714837</v>
      </c>
      <c r="O18" s="834">
        <v>203.62750735837398</v>
      </c>
      <c r="P18" s="834">
        <v>171.63077657496697</v>
      </c>
      <c r="Q18" s="834">
        <v>167.55504326874924</v>
      </c>
      <c r="R18" s="834">
        <v>169.37601602305261</v>
      </c>
      <c r="S18" s="835">
        <v>160.64669306965189</v>
      </c>
      <c r="T18" s="836">
        <v>153.93591040659985</v>
      </c>
      <c r="U18" s="837">
        <v>159.49326881794983</v>
      </c>
      <c r="V18" s="834">
        <v>142.77100581643032</v>
      </c>
    </row>
    <row r="19" spans="2:29" s="725" customFormat="1">
      <c r="B19" s="748" t="str">
        <f>'R6a - Net Debt input'!B38</f>
        <v>H.</v>
      </c>
      <c r="C19" s="748" t="str">
        <f>'R6a - Net Debt input'!D38</f>
        <v>Swaps Pay Leg</v>
      </c>
      <c r="D19" s="749"/>
      <c r="E19" s="748"/>
      <c r="F19" s="752"/>
      <c r="G19" s="751"/>
      <c r="H19" s="751"/>
      <c r="I19" s="749" t="str">
        <f>'R6a - Net Debt input'!L38</f>
        <v>Swap Pay Leg</v>
      </c>
      <c r="L19" s="750" t="s">
        <v>507</v>
      </c>
      <c r="M19" s="838">
        <v>111.47969843707931</v>
      </c>
      <c r="N19" s="839">
        <v>182.61881028457162</v>
      </c>
      <c r="O19" s="839">
        <v>106.22716520831433</v>
      </c>
      <c r="P19" s="839">
        <v>63.615168054327796</v>
      </c>
      <c r="Q19" s="839">
        <v>59.441646065585061</v>
      </c>
      <c r="R19" s="839">
        <v>52.087364482480361</v>
      </c>
      <c r="S19" s="840">
        <v>54.931339635649181</v>
      </c>
      <c r="T19" s="841">
        <v>66.728212450133213</v>
      </c>
      <c r="U19" s="842">
        <v>51.822647966753465</v>
      </c>
      <c r="V19" s="839">
        <v>28.1460102759543</v>
      </c>
    </row>
    <row r="20" spans="2:29" s="725" customFormat="1">
      <c r="B20" s="748" t="str">
        <f>'R6a - Net Debt input'!B39</f>
        <v>I.</v>
      </c>
      <c r="C20" s="748" t="str">
        <f>'R6a - Net Debt input'!D39</f>
        <v>Swaps Receive Leg</v>
      </c>
      <c r="D20" s="749"/>
      <c r="E20" s="748"/>
      <c r="F20" s="752"/>
      <c r="G20" s="751"/>
      <c r="H20" s="751"/>
      <c r="I20" s="749" t="str">
        <f>'R6a - Net Debt input'!L39</f>
        <v>Swap Receive Leg</v>
      </c>
      <c r="L20" s="750" t="s">
        <v>507</v>
      </c>
      <c r="M20" s="833">
        <v>-40.315473622221326</v>
      </c>
      <c r="N20" s="834">
        <v>-54.557215900000209</v>
      </c>
      <c r="O20" s="834">
        <v>-85.961717949154092</v>
      </c>
      <c r="P20" s="834">
        <v>-91.710810167165008</v>
      </c>
      <c r="Q20" s="834">
        <v>-88.500848100000212</v>
      </c>
      <c r="R20" s="834">
        <v>-86.502988835542496</v>
      </c>
      <c r="S20" s="835">
        <v>-70.112390738459055</v>
      </c>
      <c r="T20" s="836">
        <v>-64.73744016568746</v>
      </c>
      <c r="U20" s="837">
        <v>-45.665009684095182</v>
      </c>
      <c r="V20" s="834">
        <v>-30.095827986282195</v>
      </c>
    </row>
    <row r="21" spans="2:29" s="725" customFormat="1">
      <c r="B21" s="748" t="str">
        <f>'R6a - Net Debt input'!B40</f>
        <v>J.</v>
      </c>
      <c r="C21" s="748" t="str">
        <f>'R6a - Net Debt input'!D40</f>
        <v>Other</v>
      </c>
      <c r="D21" s="749"/>
      <c r="E21" s="748"/>
      <c r="F21" s="752"/>
      <c r="G21" s="751"/>
      <c r="H21" s="751"/>
      <c r="I21" s="749" t="str">
        <f>'R6a - Net Debt input'!L40</f>
        <v>Other</v>
      </c>
      <c r="L21" s="750" t="s">
        <v>507</v>
      </c>
      <c r="M21" s="833">
        <v>0</v>
      </c>
      <c r="N21" s="834">
        <v>0</v>
      </c>
      <c r="O21" s="834">
        <v>0</v>
      </c>
      <c r="P21" s="834">
        <v>0</v>
      </c>
      <c r="Q21" s="834">
        <v>0</v>
      </c>
      <c r="R21" s="834">
        <v>0</v>
      </c>
      <c r="S21" s="835">
        <v>0</v>
      </c>
      <c r="T21" s="836">
        <v>0</v>
      </c>
      <c r="U21" s="837">
        <v>0</v>
      </c>
      <c r="V21" s="834">
        <v>0</v>
      </c>
    </row>
    <row r="22" spans="2:29" s="725" customFormat="1" outlineLevel="1">
      <c r="C22" s="753" t="s">
        <v>450</v>
      </c>
      <c r="M22" s="843" t="str">
        <f t="shared" ref="M22:V22" si="2">IF(ABS(SUM(M13:M21) - M213) &lt;materiality_threshold,"OK","Error")</f>
        <v>OK</v>
      </c>
      <c r="N22" s="843" t="str">
        <f t="shared" si="2"/>
        <v>OK</v>
      </c>
      <c r="O22" s="843" t="str">
        <f t="shared" si="2"/>
        <v>OK</v>
      </c>
      <c r="P22" s="843" t="str">
        <f>IF(ABS(SUM(P13:P21) - P213) &lt;materiality_threshold,"OK","Error")</f>
        <v>OK</v>
      </c>
      <c r="Q22" s="843" t="str">
        <f t="shared" si="2"/>
        <v>OK</v>
      </c>
      <c r="R22" s="843" t="str">
        <f t="shared" si="2"/>
        <v>OK</v>
      </c>
      <c r="S22" s="843" t="str">
        <f t="shared" si="2"/>
        <v>OK</v>
      </c>
      <c r="T22" s="844" t="str">
        <f t="shared" si="2"/>
        <v>OK</v>
      </c>
      <c r="U22" s="843" t="str">
        <f t="shared" si="2"/>
        <v>OK</v>
      </c>
      <c r="V22" s="843" t="str">
        <f t="shared" si="2"/>
        <v>OK</v>
      </c>
      <c r="W22" s="60"/>
      <c r="X22" s="60"/>
      <c r="Y22" s="60"/>
      <c r="Z22" s="60"/>
      <c r="AA22" s="60"/>
      <c r="AB22" s="60"/>
      <c r="AC22" s="60"/>
    </row>
    <row r="23" spans="2:29" s="725" customFormat="1" outlineLevel="1">
      <c r="C23" s="753"/>
      <c r="T23" s="433"/>
      <c r="U23" s="60"/>
      <c r="V23" s="60"/>
      <c r="W23" s="60"/>
      <c r="X23" s="60"/>
      <c r="Y23" s="60"/>
      <c r="Z23" s="60"/>
      <c r="AA23" s="60"/>
      <c r="AB23" s="60"/>
      <c r="AC23" s="60"/>
    </row>
    <row r="24" spans="2:29" s="725" customFormat="1" ht="15.35">
      <c r="B24" s="740" t="s">
        <v>608</v>
      </c>
      <c r="C24" s="741"/>
      <c r="D24" s="741"/>
      <c r="E24" s="742"/>
      <c r="F24" s="742"/>
      <c r="G24" s="741"/>
      <c r="H24" s="741"/>
      <c r="I24" s="741"/>
      <c r="J24" s="741"/>
      <c r="K24" s="741"/>
      <c r="L24" s="741"/>
      <c r="M24" s="741"/>
      <c r="N24" s="741"/>
      <c r="O24" s="741"/>
      <c r="P24" s="741"/>
      <c r="Q24" s="741"/>
      <c r="R24" s="741"/>
      <c r="S24" s="741"/>
      <c r="T24" s="743"/>
      <c r="U24" s="741"/>
      <c r="V24" s="741"/>
    </row>
    <row r="25" spans="2:29" s="725" customFormat="1" ht="13.7">
      <c r="B25" s="744"/>
      <c r="C25" s="745"/>
      <c r="D25" s="746"/>
      <c r="E25" s="746"/>
      <c r="F25" s="746"/>
      <c r="G25" s="746"/>
      <c r="H25" s="746"/>
      <c r="I25" s="746"/>
      <c r="J25" s="746"/>
      <c r="K25" s="746"/>
      <c r="L25" s="746"/>
      <c r="M25" s="746"/>
      <c r="N25" s="746"/>
      <c r="O25" s="746"/>
      <c r="P25" s="746"/>
      <c r="Q25" s="746"/>
      <c r="R25" s="746"/>
      <c r="S25" s="746"/>
      <c r="T25" s="747"/>
      <c r="U25" s="746"/>
      <c r="V25" s="746"/>
    </row>
    <row r="26" spans="2:29" s="725" customFormat="1" outlineLevel="1">
      <c r="B26" s="748" t="str">
        <f t="shared" ref="B26:C34" si="3">B13</f>
        <v>B.</v>
      </c>
      <c r="C26" s="748" t="str">
        <f t="shared" si="3"/>
        <v>Bonds</v>
      </c>
      <c r="D26" s="748"/>
      <c r="E26" s="748"/>
      <c r="F26" s="724"/>
      <c r="L26" s="750" t="s">
        <v>507</v>
      </c>
      <c r="M26" s="754">
        <v>0</v>
      </c>
      <c r="N26" s="755">
        <v>0</v>
      </c>
      <c r="O26" s="755">
        <v>0</v>
      </c>
      <c r="P26" s="755">
        <v>0</v>
      </c>
      <c r="Q26" s="755">
        <v>0</v>
      </c>
      <c r="R26" s="755">
        <v>0</v>
      </c>
      <c r="S26" s="756">
        <v>0</v>
      </c>
      <c r="T26" s="757">
        <v>0</v>
      </c>
      <c r="U26" s="758">
        <v>0</v>
      </c>
      <c r="V26" s="755">
        <v>0</v>
      </c>
    </row>
    <row r="27" spans="2:29" s="725" customFormat="1" outlineLevel="1">
      <c r="B27" s="748" t="str">
        <f t="shared" si="3"/>
        <v>C.</v>
      </c>
      <c r="C27" s="748" t="str">
        <f t="shared" si="3"/>
        <v>External Loans</v>
      </c>
      <c r="D27" s="748"/>
      <c r="E27" s="748"/>
      <c r="F27" s="724"/>
      <c r="L27" s="750" t="s">
        <v>507</v>
      </c>
      <c r="M27" s="754">
        <v>9.8337062500000023</v>
      </c>
      <c r="N27" s="755">
        <v>18.42896189</v>
      </c>
      <c r="O27" s="755">
        <v>29.95520279655738</v>
      </c>
      <c r="P27" s="755">
        <v>36.106913840000004</v>
      </c>
      <c r="Q27" s="755">
        <v>31.753327229999996</v>
      </c>
      <c r="R27" s="755">
        <v>29.378965240000003</v>
      </c>
      <c r="S27" s="756">
        <v>7.2</v>
      </c>
      <c r="T27" s="757">
        <v>7.2</v>
      </c>
      <c r="U27" s="758">
        <v>7.2</v>
      </c>
      <c r="V27" s="755">
        <v>4</v>
      </c>
    </row>
    <row r="28" spans="2:29" s="725" customFormat="1" outlineLevel="1">
      <c r="B28" s="748" t="str">
        <f t="shared" si="3"/>
        <v>D.</v>
      </c>
      <c r="C28" s="748" t="str">
        <f t="shared" si="3"/>
        <v>Private Placements</v>
      </c>
      <c r="D28" s="748"/>
      <c r="E28" s="748"/>
      <c r="F28" s="724"/>
      <c r="L28" s="750" t="s">
        <v>507</v>
      </c>
      <c r="M28" s="754">
        <v>0</v>
      </c>
      <c r="N28" s="755">
        <v>0</v>
      </c>
      <c r="O28" s="755">
        <v>0</v>
      </c>
      <c r="P28" s="755">
        <v>0</v>
      </c>
      <c r="Q28" s="755">
        <v>0</v>
      </c>
      <c r="R28" s="755">
        <v>0</v>
      </c>
      <c r="S28" s="756">
        <v>0</v>
      </c>
      <c r="T28" s="757">
        <v>0</v>
      </c>
      <c r="U28" s="758">
        <v>0</v>
      </c>
      <c r="V28" s="755">
        <v>0</v>
      </c>
    </row>
    <row r="29" spans="2:29" s="725" customFormat="1" outlineLevel="1">
      <c r="B29" s="748" t="str">
        <f t="shared" si="3"/>
        <v>E.</v>
      </c>
      <c r="C29" s="748" t="str">
        <f t="shared" si="3"/>
        <v>Group company loans (licensee lender)</v>
      </c>
      <c r="D29" s="748"/>
      <c r="E29" s="748"/>
      <c r="F29" s="724"/>
      <c r="L29" s="750" t="s">
        <v>507</v>
      </c>
      <c r="M29" s="754">
        <v>0</v>
      </c>
      <c r="N29" s="755">
        <v>0</v>
      </c>
      <c r="O29" s="755">
        <v>0</v>
      </c>
      <c r="P29" s="755">
        <v>0</v>
      </c>
      <c r="Q29" s="755">
        <v>0</v>
      </c>
      <c r="R29" s="755">
        <v>0</v>
      </c>
      <c r="S29" s="756">
        <v>0</v>
      </c>
      <c r="T29" s="757">
        <v>0</v>
      </c>
      <c r="U29" s="758">
        <v>0</v>
      </c>
      <c r="V29" s="755">
        <v>0</v>
      </c>
    </row>
    <row r="30" spans="2:29" s="725" customFormat="1" outlineLevel="1">
      <c r="B30" s="748" t="str">
        <f t="shared" si="3"/>
        <v>F.</v>
      </c>
      <c r="C30" s="748" t="str">
        <f t="shared" si="3"/>
        <v>Group company loans (licensee borrower)</v>
      </c>
      <c r="D30" s="748"/>
      <c r="E30" s="748"/>
      <c r="F30" s="724"/>
      <c r="L30" s="750" t="s">
        <v>507</v>
      </c>
      <c r="M30" s="754">
        <v>0</v>
      </c>
      <c r="N30" s="755">
        <v>0</v>
      </c>
      <c r="O30" s="755">
        <v>0</v>
      </c>
      <c r="P30" s="755">
        <v>0</v>
      </c>
      <c r="Q30" s="755">
        <v>0</v>
      </c>
      <c r="R30" s="755">
        <v>0</v>
      </c>
      <c r="S30" s="756">
        <v>0</v>
      </c>
      <c r="T30" s="757">
        <v>0</v>
      </c>
      <c r="U30" s="758">
        <v>0</v>
      </c>
      <c r="V30" s="755">
        <v>0</v>
      </c>
    </row>
    <row r="31" spans="2:29" s="725" customFormat="1" outlineLevel="1">
      <c r="B31" s="748" t="str">
        <f t="shared" si="3"/>
        <v>G.</v>
      </c>
      <c r="C31" s="748" t="str">
        <f t="shared" si="3"/>
        <v>Group Loans from Finco back to back with finco bond issue</v>
      </c>
      <c r="D31" s="748"/>
      <c r="E31" s="748"/>
      <c r="F31" s="724"/>
      <c r="L31" s="750" t="s">
        <v>507</v>
      </c>
      <c r="M31" s="754">
        <v>119.88925359999999</v>
      </c>
      <c r="N31" s="755">
        <v>119.12272179</v>
      </c>
      <c r="O31" s="755">
        <v>150.19285861611354</v>
      </c>
      <c r="P31" s="755">
        <v>173.10675147610354</v>
      </c>
      <c r="Q31" s="755">
        <v>171.25389861659394</v>
      </c>
      <c r="R31" s="755">
        <v>171.80590362659399</v>
      </c>
      <c r="S31" s="756">
        <v>172.38057486659395</v>
      </c>
      <c r="T31" s="757">
        <v>172.98236614659399</v>
      </c>
      <c r="U31" s="758">
        <v>155.55125943659397</v>
      </c>
      <c r="V31" s="755">
        <v>124.41972766660402</v>
      </c>
    </row>
    <row r="32" spans="2:29" s="725" customFormat="1">
      <c r="B32" s="748" t="str">
        <f t="shared" si="3"/>
        <v>H.</v>
      </c>
      <c r="C32" s="748" t="str">
        <f t="shared" si="3"/>
        <v>Swaps Pay Leg</v>
      </c>
      <c r="D32" s="749"/>
      <c r="E32" s="748"/>
      <c r="F32" s="751"/>
      <c r="G32" s="751"/>
      <c r="H32" s="751"/>
      <c r="L32" s="750" t="s">
        <v>507</v>
      </c>
      <c r="M32" s="759">
        <v>25.418624380000008</v>
      </c>
      <c r="N32" s="760">
        <v>22.830925359999998</v>
      </c>
      <c r="O32" s="760">
        <v>36.870921389999992</v>
      </c>
      <c r="P32" s="760">
        <v>55.236273310000016</v>
      </c>
      <c r="Q32" s="760">
        <v>44.600350540000008</v>
      </c>
      <c r="R32" s="760">
        <v>41.778401130000013</v>
      </c>
      <c r="S32" s="761">
        <v>74.439701940000006</v>
      </c>
      <c r="T32" s="762">
        <v>102.63044695000002</v>
      </c>
      <c r="U32" s="763">
        <v>39.524021960000013</v>
      </c>
      <c r="V32" s="760">
        <v>8.270054690000002</v>
      </c>
    </row>
    <row r="33" spans="2:24" s="725" customFormat="1">
      <c r="B33" s="748" t="str">
        <f t="shared" si="3"/>
        <v>I.</v>
      </c>
      <c r="C33" s="748" t="str">
        <f t="shared" si="3"/>
        <v>Swaps Receive Leg</v>
      </c>
      <c r="D33" s="749"/>
      <c r="E33" s="748"/>
      <c r="F33" s="751"/>
      <c r="G33" s="751"/>
      <c r="H33" s="751"/>
      <c r="L33" s="750" t="s">
        <v>507</v>
      </c>
      <c r="M33" s="754">
        <v>-26.113130309999999</v>
      </c>
      <c r="N33" s="755">
        <v>-54.918364619999998</v>
      </c>
      <c r="O33" s="755">
        <v>-69.723700544849081</v>
      </c>
      <c r="P33" s="755">
        <v>-95.962297316103559</v>
      </c>
      <c r="Q33" s="755">
        <v>-87.128516796594013</v>
      </c>
      <c r="R33" s="755">
        <v>-85.016713696593982</v>
      </c>
      <c r="S33" s="756">
        <v>-67.622552586593997</v>
      </c>
      <c r="T33" s="757">
        <v>-63.688648476594004</v>
      </c>
      <c r="U33" s="758">
        <v>-58.438648476594004</v>
      </c>
      <c r="V33" s="755">
        <v>-32.894031326604001</v>
      </c>
    </row>
    <row r="34" spans="2:24" s="725" customFormat="1">
      <c r="B34" s="748" t="str">
        <f t="shared" si="3"/>
        <v>J.</v>
      </c>
      <c r="C34" s="748" t="str">
        <f t="shared" si="3"/>
        <v>Other</v>
      </c>
      <c r="D34" s="749"/>
      <c r="E34" s="748"/>
      <c r="F34" s="751"/>
      <c r="G34" s="751"/>
      <c r="H34" s="751"/>
      <c r="L34" s="750" t="s">
        <v>507</v>
      </c>
      <c r="M34" s="754">
        <v>0</v>
      </c>
      <c r="N34" s="755">
        <v>0</v>
      </c>
      <c r="O34" s="755">
        <v>0.45</v>
      </c>
      <c r="P34" s="755">
        <v>0.45123288</v>
      </c>
      <c r="Q34" s="755">
        <v>0.45</v>
      </c>
      <c r="R34" s="755">
        <v>0.45</v>
      </c>
      <c r="S34" s="756">
        <v>0.36493149999999996</v>
      </c>
      <c r="T34" s="757">
        <v>0</v>
      </c>
      <c r="U34" s="758">
        <v>0</v>
      </c>
      <c r="V34" s="755">
        <v>0</v>
      </c>
    </row>
    <row r="35" spans="2:24" s="725" customFormat="1" outlineLevel="1">
      <c r="B35" s="764"/>
      <c r="C35" s="724"/>
      <c r="L35" s="765"/>
      <c r="T35" s="766"/>
    </row>
    <row r="36" spans="2:24" s="725" customFormat="1" outlineLevel="1">
      <c r="B36" s="764"/>
      <c r="C36" s="724"/>
      <c r="L36" s="765"/>
      <c r="T36" s="766"/>
    </row>
    <row r="37" spans="2:24" s="725" customFormat="1" ht="15.35">
      <c r="B37" s="740" t="s">
        <v>609</v>
      </c>
      <c r="C37" s="741"/>
      <c r="D37" s="741"/>
      <c r="E37" s="742"/>
      <c r="F37" s="742"/>
      <c r="G37" s="741"/>
      <c r="H37" s="741"/>
      <c r="I37" s="741"/>
      <c r="J37" s="741"/>
      <c r="K37" s="741"/>
      <c r="L37" s="741"/>
      <c r="M37" s="741"/>
      <c r="N37" s="741"/>
      <c r="O37" s="741"/>
      <c r="P37" s="741"/>
      <c r="Q37" s="741"/>
      <c r="R37" s="741"/>
      <c r="S37" s="741"/>
      <c r="T37" s="743"/>
      <c r="U37" s="741"/>
      <c r="V37" s="741"/>
    </row>
    <row r="38" spans="2:24" s="725" customFormat="1" ht="15.35">
      <c r="B38" s="767"/>
      <c r="E38" s="768"/>
      <c r="F38" s="768"/>
      <c r="T38" s="766"/>
    </row>
    <row r="39" spans="2:24" s="725" customFormat="1" outlineLevel="1">
      <c r="B39" s="769" t="s">
        <v>610</v>
      </c>
      <c r="D39" s="768"/>
      <c r="M39" s="770" t="s">
        <v>611</v>
      </c>
      <c r="N39" s="771" t="s">
        <v>611</v>
      </c>
      <c r="O39" s="771" t="s">
        <v>611</v>
      </c>
      <c r="P39" s="771" t="s">
        <v>611</v>
      </c>
      <c r="Q39" s="771" t="s">
        <v>611</v>
      </c>
      <c r="R39" s="771" t="s">
        <v>611</v>
      </c>
      <c r="S39" s="772" t="s">
        <v>611</v>
      </c>
      <c r="T39" s="773" t="s">
        <v>611</v>
      </c>
      <c r="U39" s="774" t="s">
        <v>611</v>
      </c>
      <c r="V39" s="771" t="s">
        <v>611</v>
      </c>
    </row>
    <row r="40" spans="2:24" s="725" customFormat="1" outlineLevel="1">
      <c r="C40" s="775" t="s">
        <v>612</v>
      </c>
      <c r="D40" s="776"/>
      <c r="E40" s="777"/>
      <c r="F40" s="776"/>
      <c r="G40" s="776"/>
      <c r="H40" s="776"/>
      <c r="I40" s="776"/>
      <c r="J40" s="776"/>
      <c r="K40" s="776"/>
      <c r="L40" s="776"/>
      <c r="M40" s="128">
        <v>0</v>
      </c>
      <c r="N40" s="129">
        <v>0</v>
      </c>
      <c r="O40" s="129">
        <v>0</v>
      </c>
      <c r="P40" s="129">
        <v>0</v>
      </c>
      <c r="Q40" s="129">
        <v>0</v>
      </c>
      <c r="R40" s="129">
        <v>0</v>
      </c>
      <c r="S40" s="130">
        <v>0</v>
      </c>
      <c r="T40" s="434">
        <v>0</v>
      </c>
      <c r="U40" s="425">
        <v>0</v>
      </c>
      <c r="V40" s="129">
        <v>0</v>
      </c>
      <c r="X40" s="334"/>
    </row>
    <row r="41" spans="2:24" s="725" customFormat="1" outlineLevel="1">
      <c r="C41" s="775" t="s">
        <v>613</v>
      </c>
      <c r="D41" s="776"/>
      <c r="E41" s="777"/>
      <c r="F41" s="777"/>
      <c r="G41" s="776"/>
      <c r="H41" s="776"/>
      <c r="I41" s="776"/>
      <c r="J41" s="776"/>
      <c r="K41" s="776"/>
      <c r="L41" s="776"/>
      <c r="M41" s="128">
        <v>0</v>
      </c>
      <c r="N41" s="129">
        <v>0</v>
      </c>
      <c r="O41" s="129">
        <v>0</v>
      </c>
      <c r="P41" s="129">
        <v>0</v>
      </c>
      <c r="Q41" s="129">
        <v>0</v>
      </c>
      <c r="R41" s="129">
        <v>0</v>
      </c>
      <c r="S41" s="130">
        <v>0</v>
      </c>
      <c r="T41" s="434">
        <v>0</v>
      </c>
      <c r="U41" s="425">
        <v>0</v>
      </c>
      <c r="V41" s="129">
        <v>0</v>
      </c>
      <c r="X41" s="334"/>
    </row>
    <row r="42" spans="2:24" s="725" customFormat="1" outlineLevel="1">
      <c r="B42" s="748" t="str">
        <f t="shared" ref="B42:C42" si="4">B13</f>
        <v>B.</v>
      </c>
      <c r="C42" s="778" t="str">
        <f t="shared" si="4"/>
        <v>Bonds</v>
      </c>
      <c r="D42" s="778"/>
      <c r="E42" s="779"/>
      <c r="F42" s="779"/>
      <c r="G42" s="776"/>
      <c r="H42" s="776"/>
      <c r="I42" s="776"/>
      <c r="J42" s="776"/>
      <c r="K42" s="776"/>
      <c r="L42" s="776"/>
      <c r="M42" s="845">
        <f t="shared" ref="M42:V44" si="5">M13</f>
        <v>0</v>
      </c>
      <c r="N42" s="846">
        <f t="shared" si="5"/>
        <v>0</v>
      </c>
      <c r="O42" s="846">
        <f t="shared" si="5"/>
        <v>0</v>
      </c>
      <c r="P42" s="846">
        <f>P13</f>
        <v>0</v>
      </c>
      <c r="Q42" s="846">
        <f t="shared" si="5"/>
        <v>0</v>
      </c>
      <c r="R42" s="846">
        <f t="shared" si="5"/>
        <v>0</v>
      </c>
      <c r="S42" s="847">
        <f t="shared" si="5"/>
        <v>0</v>
      </c>
      <c r="T42" s="848">
        <f t="shared" si="5"/>
        <v>0</v>
      </c>
      <c r="U42" s="849">
        <f t="shared" si="5"/>
        <v>0</v>
      </c>
      <c r="V42" s="846">
        <f t="shared" si="5"/>
        <v>0</v>
      </c>
      <c r="X42" s="780">
        <f>X13</f>
        <v>0</v>
      </c>
    </row>
    <row r="43" spans="2:24" s="725" customFormat="1" outlineLevel="1">
      <c r="B43" s="748" t="str">
        <f>B14</f>
        <v>C.</v>
      </c>
      <c r="C43" s="781" t="str">
        <f>C14</f>
        <v>External Loans</v>
      </c>
      <c r="D43" s="778"/>
      <c r="E43" s="779"/>
      <c r="F43" s="779"/>
      <c r="G43" s="776"/>
      <c r="H43" s="776"/>
      <c r="I43" s="776"/>
      <c r="J43" s="776"/>
      <c r="K43" s="776"/>
      <c r="L43" s="776"/>
      <c r="M43" s="845">
        <f t="shared" si="5"/>
        <v>48.197342735880099</v>
      </c>
      <c r="N43" s="846">
        <f t="shared" si="5"/>
        <v>89.610350380181714</v>
      </c>
      <c r="O43" s="846">
        <f t="shared" si="5"/>
        <v>56.915674738429026</v>
      </c>
      <c r="P43" s="846">
        <f t="shared" si="5"/>
        <v>41.626285840713464</v>
      </c>
      <c r="Q43" s="846">
        <f t="shared" si="5"/>
        <v>38.743372228186985</v>
      </c>
      <c r="R43" s="846">
        <f t="shared" si="5"/>
        <v>37.028191574945993</v>
      </c>
      <c r="S43" s="847">
        <f t="shared" si="5"/>
        <v>18.320972228186989</v>
      </c>
      <c r="T43" s="848">
        <f t="shared" si="5"/>
        <v>18.320972228186989</v>
      </c>
      <c r="U43" s="849">
        <f t="shared" si="5"/>
        <v>4.7096519771236869</v>
      </c>
      <c r="V43" s="846">
        <f t="shared" si="5"/>
        <v>0</v>
      </c>
      <c r="X43" s="780">
        <f>X14</f>
        <v>0</v>
      </c>
    </row>
    <row r="44" spans="2:24" s="725" customFormat="1" outlineLevel="1">
      <c r="B44" s="748" t="str">
        <f>B15</f>
        <v>D.</v>
      </c>
      <c r="C44" s="781" t="str">
        <f>C15</f>
        <v>Private Placements</v>
      </c>
      <c r="D44" s="778"/>
      <c r="E44" s="779"/>
      <c r="F44" s="779"/>
      <c r="G44" s="776"/>
      <c r="H44" s="776"/>
      <c r="I44" s="776"/>
      <c r="J44" s="776"/>
      <c r="K44" s="776"/>
      <c r="L44" s="776"/>
      <c r="M44" s="845">
        <f t="shared" si="5"/>
        <v>0</v>
      </c>
      <c r="N44" s="846">
        <f t="shared" si="5"/>
        <v>0</v>
      </c>
      <c r="O44" s="846">
        <f t="shared" si="5"/>
        <v>0</v>
      </c>
      <c r="P44" s="846">
        <f t="shared" si="5"/>
        <v>0</v>
      </c>
      <c r="Q44" s="846">
        <f t="shared" si="5"/>
        <v>0</v>
      </c>
      <c r="R44" s="846">
        <f t="shared" si="5"/>
        <v>0</v>
      </c>
      <c r="S44" s="847">
        <f t="shared" si="5"/>
        <v>0</v>
      </c>
      <c r="T44" s="848">
        <f t="shared" si="5"/>
        <v>0</v>
      </c>
      <c r="U44" s="849">
        <f t="shared" si="5"/>
        <v>0</v>
      </c>
      <c r="V44" s="846">
        <f t="shared" si="5"/>
        <v>0</v>
      </c>
      <c r="X44" s="780">
        <f>X15</f>
        <v>0</v>
      </c>
    </row>
    <row r="45" spans="2:24" s="725" customFormat="1" outlineLevel="1">
      <c r="B45" s="748" t="str">
        <f>B17</f>
        <v>F.</v>
      </c>
      <c r="C45" s="781" t="str">
        <f>C17</f>
        <v>Group company loans (licensee borrower)</v>
      </c>
      <c r="D45" s="778"/>
      <c r="E45" s="779"/>
      <c r="F45" s="779"/>
      <c r="G45" s="776"/>
      <c r="H45" s="776"/>
      <c r="I45" s="776"/>
      <c r="J45" s="776"/>
      <c r="K45" s="776"/>
      <c r="L45" s="776"/>
      <c r="M45" s="845">
        <f t="shared" ref="M45:V46" si="6">M17</f>
        <v>0</v>
      </c>
      <c r="N45" s="849">
        <f t="shared" si="6"/>
        <v>0</v>
      </c>
      <c r="O45" s="849">
        <f t="shared" si="6"/>
        <v>0</v>
      </c>
      <c r="P45" s="849">
        <f t="shared" si="6"/>
        <v>0</v>
      </c>
      <c r="Q45" s="849">
        <f t="shared" si="6"/>
        <v>0</v>
      </c>
      <c r="R45" s="849">
        <f t="shared" si="6"/>
        <v>0</v>
      </c>
      <c r="S45" s="850">
        <f t="shared" si="6"/>
        <v>0</v>
      </c>
      <c r="T45" s="851">
        <f t="shared" si="6"/>
        <v>0</v>
      </c>
      <c r="U45" s="849">
        <f t="shared" si="6"/>
        <v>0</v>
      </c>
      <c r="V45" s="849">
        <f t="shared" si="6"/>
        <v>0</v>
      </c>
      <c r="X45" s="780"/>
    </row>
    <row r="46" spans="2:24" s="725" customFormat="1" outlineLevel="1">
      <c r="B46" s="748" t="str">
        <f>B18</f>
        <v>G.</v>
      </c>
      <c r="C46" s="781" t="str">
        <f>C18</f>
        <v>Group Loans from Finco back to back with finco bond issue</v>
      </c>
      <c r="D46" s="778"/>
      <c r="E46" s="779"/>
      <c r="F46" s="779"/>
      <c r="G46" s="776"/>
      <c r="H46" s="776"/>
      <c r="I46" s="776"/>
      <c r="J46" s="776"/>
      <c r="K46" s="776"/>
      <c r="L46" s="776"/>
      <c r="M46" s="845">
        <f t="shared" si="6"/>
        <v>143.04521032512551</v>
      </c>
      <c r="N46" s="849">
        <f t="shared" si="6"/>
        <v>181.95730572714837</v>
      </c>
      <c r="O46" s="849">
        <f t="shared" si="6"/>
        <v>203.62750735837398</v>
      </c>
      <c r="P46" s="849">
        <f t="shared" si="6"/>
        <v>171.63077657496697</v>
      </c>
      <c r="Q46" s="849">
        <f t="shared" si="6"/>
        <v>167.55504326874924</v>
      </c>
      <c r="R46" s="849">
        <f t="shared" si="6"/>
        <v>169.37601602305261</v>
      </c>
      <c r="S46" s="850">
        <f t="shared" si="6"/>
        <v>160.64669306965189</v>
      </c>
      <c r="T46" s="851">
        <f t="shared" si="6"/>
        <v>153.93591040659985</v>
      </c>
      <c r="U46" s="849">
        <f t="shared" si="6"/>
        <v>159.49326881794983</v>
      </c>
      <c r="V46" s="849">
        <f t="shared" si="6"/>
        <v>142.77100581643032</v>
      </c>
      <c r="X46" s="780"/>
    </row>
    <row r="47" spans="2:24" s="725" customFormat="1" outlineLevel="1">
      <c r="B47" s="748" t="s">
        <v>614</v>
      </c>
      <c r="C47" s="781" t="s">
        <v>615</v>
      </c>
      <c r="D47" s="778"/>
      <c r="E47" s="779"/>
      <c r="F47" s="779"/>
      <c r="G47" s="776"/>
      <c r="H47" s="776"/>
      <c r="I47" s="776"/>
      <c r="J47" s="776"/>
      <c r="K47" s="776"/>
      <c r="L47" s="776"/>
      <c r="M47" s="852">
        <f>SUM(M19,M20)</f>
        <v>71.164224814857988</v>
      </c>
      <c r="N47" s="852">
        <f t="shared" ref="N47:V47" si="7">SUM(N19,N20)</f>
        <v>128.06159438457141</v>
      </c>
      <c r="O47" s="852">
        <f t="shared" si="7"/>
        <v>20.26544725916024</v>
      </c>
      <c r="P47" s="852">
        <f t="shared" si="7"/>
        <v>-28.095642112837211</v>
      </c>
      <c r="Q47" s="852">
        <f t="shared" si="7"/>
        <v>-29.059202034415151</v>
      </c>
      <c r="R47" s="852">
        <f t="shared" si="7"/>
        <v>-34.415624353062135</v>
      </c>
      <c r="S47" s="853">
        <f t="shared" si="7"/>
        <v>-15.181051102809874</v>
      </c>
      <c r="T47" s="854">
        <f t="shared" si="7"/>
        <v>1.9907722844457538</v>
      </c>
      <c r="U47" s="855">
        <f t="shared" si="7"/>
        <v>6.1576382826582829</v>
      </c>
      <c r="V47" s="852">
        <f t="shared" si="7"/>
        <v>-1.9498177103278955</v>
      </c>
      <c r="X47" s="780"/>
    </row>
    <row r="48" spans="2:24" s="725" customFormat="1" outlineLevel="1">
      <c r="B48" s="748" t="str">
        <f>B21</f>
        <v>J.</v>
      </c>
      <c r="C48" s="781" t="str">
        <f>C21</f>
        <v>Other</v>
      </c>
      <c r="D48" s="778"/>
      <c r="E48" s="779"/>
      <c r="F48" s="779"/>
      <c r="G48" s="776"/>
      <c r="H48" s="776"/>
      <c r="I48" s="776"/>
      <c r="J48" s="776"/>
      <c r="K48" s="776"/>
      <c r="L48" s="776"/>
      <c r="M48" s="845">
        <f t="shared" ref="M48:V48" si="8">M21</f>
        <v>0</v>
      </c>
      <c r="N48" s="849">
        <f t="shared" si="8"/>
        <v>0</v>
      </c>
      <c r="O48" s="849">
        <f t="shared" si="8"/>
        <v>0</v>
      </c>
      <c r="P48" s="849">
        <f t="shared" si="8"/>
        <v>0</v>
      </c>
      <c r="Q48" s="849">
        <f t="shared" si="8"/>
        <v>0</v>
      </c>
      <c r="R48" s="849">
        <f t="shared" si="8"/>
        <v>0</v>
      </c>
      <c r="S48" s="850">
        <f t="shared" si="8"/>
        <v>0</v>
      </c>
      <c r="T48" s="851">
        <f t="shared" si="8"/>
        <v>0</v>
      </c>
      <c r="U48" s="849">
        <f t="shared" si="8"/>
        <v>0</v>
      </c>
      <c r="V48" s="849">
        <f t="shared" si="8"/>
        <v>0</v>
      </c>
      <c r="X48" s="780"/>
    </row>
    <row r="49" spans="3:24" s="725" customFormat="1" outlineLevel="1">
      <c r="C49" s="782" t="s">
        <v>1107</v>
      </c>
      <c r="D49" s="783"/>
      <c r="E49" s="784"/>
      <c r="F49" s="784"/>
      <c r="G49" s="776"/>
      <c r="H49" s="776"/>
      <c r="I49" s="776"/>
      <c r="J49" s="776"/>
      <c r="K49" s="776"/>
      <c r="L49" s="776"/>
      <c r="M49" s="128">
        <v>0</v>
      </c>
      <c r="N49" s="129">
        <v>0</v>
      </c>
      <c r="O49" s="129">
        <v>0</v>
      </c>
      <c r="P49" s="129">
        <v>0</v>
      </c>
      <c r="Q49" s="129">
        <v>0</v>
      </c>
      <c r="R49" s="129">
        <v>0</v>
      </c>
      <c r="S49" s="130">
        <v>0</v>
      </c>
      <c r="T49" s="434">
        <v>0</v>
      </c>
      <c r="U49" s="425">
        <v>0</v>
      </c>
      <c r="V49" s="129">
        <v>0</v>
      </c>
      <c r="X49" s="334"/>
    </row>
    <row r="50" spans="3:24" s="725" customFormat="1" outlineLevel="1">
      <c r="C50" s="782" t="s">
        <v>1107</v>
      </c>
      <c r="D50" s="783"/>
      <c r="E50" s="784"/>
      <c r="F50" s="784"/>
      <c r="G50" s="776"/>
      <c r="H50" s="776"/>
      <c r="I50" s="776"/>
      <c r="J50" s="776"/>
      <c r="K50" s="776"/>
      <c r="L50" s="776"/>
      <c r="M50" s="131">
        <v>0</v>
      </c>
      <c r="N50" s="132">
        <v>0</v>
      </c>
      <c r="O50" s="132">
        <v>0</v>
      </c>
      <c r="P50" s="132">
        <v>0</v>
      </c>
      <c r="Q50" s="132">
        <v>0</v>
      </c>
      <c r="R50" s="132">
        <v>0</v>
      </c>
      <c r="S50" s="133">
        <v>0</v>
      </c>
      <c r="T50" s="435">
        <v>0</v>
      </c>
      <c r="U50" s="426">
        <v>0</v>
      </c>
      <c r="V50" s="132">
        <v>0</v>
      </c>
      <c r="X50" s="334"/>
    </row>
    <row r="51" spans="3:24" s="725" customFormat="1" outlineLevel="1">
      <c r="C51" s="782" t="s">
        <v>1107</v>
      </c>
      <c r="D51" s="783"/>
      <c r="E51" s="784"/>
      <c r="F51" s="784"/>
      <c r="G51" s="776"/>
      <c r="H51" s="776"/>
      <c r="I51" s="776"/>
      <c r="J51" s="776"/>
      <c r="K51" s="776"/>
      <c r="L51" s="776"/>
      <c r="M51" s="131">
        <v>0</v>
      </c>
      <c r="N51" s="132">
        <v>0</v>
      </c>
      <c r="O51" s="132">
        <v>0</v>
      </c>
      <c r="P51" s="132">
        <v>0</v>
      </c>
      <c r="Q51" s="132">
        <v>0</v>
      </c>
      <c r="R51" s="132">
        <v>0</v>
      </c>
      <c r="S51" s="133">
        <v>0</v>
      </c>
      <c r="T51" s="435">
        <v>0</v>
      </c>
      <c r="U51" s="426">
        <v>0</v>
      </c>
      <c r="V51" s="132">
        <v>0</v>
      </c>
      <c r="X51" s="334"/>
    </row>
    <row r="52" spans="3:24" s="725" customFormat="1" outlineLevel="1">
      <c r="C52" s="782" t="s">
        <v>1107</v>
      </c>
      <c r="D52" s="783"/>
      <c r="E52" s="784"/>
      <c r="F52" s="784"/>
      <c r="G52" s="776"/>
      <c r="H52" s="776"/>
      <c r="I52" s="776"/>
      <c r="J52" s="776"/>
      <c r="K52" s="776"/>
      <c r="L52" s="776"/>
      <c r="M52" s="131">
        <v>0</v>
      </c>
      <c r="N52" s="132">
        <v>0</v>
      </c>
      <c r="O52" s="132">
        <v>0</v>
      </c>
      <c r="P52" s="132">
        <v>0</v>
      </c>
      <c r="Q52" s="132">
        <v>0</v>
      </c>
      <c r="R52" s="132">
        <v>0</v>
      </c>
      <c r="S52" s="133">
        <v>0</v>
      </c>
      <c r="T52" s="435">
        <v>0</v>
      </c>
      <c r="U52" s="426">
        <v>0</v>
      </c>
      <c r="V52" s="132">
        <v>0</v>
      </c>
      <c r="X52" s="334"/>
    </row>
    <row r="53" spans="3:24" s="725" customFormat="1" outlineLevel="1">
      <c r="C53" s="782" t="s">
        <v>1107</v>
      </c>
      <c r="D53" s="783"/>
      <c r="E53" s="784"/>
      <c r="F53" s="784"/>
      <c r="G53" s="776"/>
      <c r="H53" s="776"/>
      <c r="I53" s="776"/>
      <c r="J53" s="776"/>
      <c r="K53" s="776"/>
      <c r="L53" s="776"/>
      <c r="M53" s="131">
        <v>0</v>
      </c>
      <c r="N53" s="132">
        <v>0</v>
      </c>
      <c r="O53" s="132">
        <v>0</v>
      </c>
      <c r="P53" s="132">
        <v>0</v>
      </c>
      <c r="Q53" s="132">
        <v>0</v>
      </c>
      <c r="R53" s="132">
        <v>0</v>
      </c>
      <c r="S53" s="133">
        <v>0</v>
      </c>
      <c r="T53" s="435">
        <v>0</v>
      </c>
      <c r="U53" s="426">
        <v>0</v>
      </c>
      <c r="V53" s="132">
        <v>0</v>
      </c>
      <c r="X53" s="334"/>
    </row>
    <row r="54" spans="3:24" s="725" customFormat="1" outlineLevel="1">
      <c r="C54" s="782" t="s">
        <v>1107</v>
      </c>
      <c r="D54" s="783"/>
      <c r="E54" s="784"/>
      <c r="F54" s="784"/>
      <c r="G54" s="776"/>
      <c r="H54" s="776"/>
      <c r="I54" s="776"/>
      <c r="J54" s="776"/>
      <c r="K54" s="776"/>
      <c r="L54" s="776"/>
      <c r="M54" s="131">
        <v>0</v>
      </c>
      <c r="N54" s="132">
        <v>0</v>
      </c>
      <c r="O54" s="132">
        <v>0</v>
      </c>
      <c r="P54" s="132">
        <v>0</v>
      </c>
      <c r="Q54" s="132">
        <v>0</v>
      </c>
      <c r="R54" s="132">
        <v>0</v>
      </c>
      <c r="S54" s="133">
        <v>0</v>
      </c>
      <c r="T54" s="435">
        <v>0</v>
      </c>
      <c r="U54" s="426">
        <v>0</v>
      </c>
      <c r="V54" s="132">
        <v>0</v>
      </c>
      <c r="X54" s="334"/>
    </row>
    <row r="55" spans="3:24" s="725" customFormat="1" outlineLevel="1">
      <c r="C55" s="782" t="s">
        <v>1107</v>
      </c>
      <c r="D55" s="783"/>
      <c r="E55" s="784"/>
      <c r="F55" s="784"/>
      <c r="G55" s="776"/>
      <c r="H55" s="776"/>
      <c r="I55" s="776"/>
      <c r="J55" s="776"/>
      <c r="K55" s="776"/>
      <c r="L55" s="776"/>
      <c r="M55" s="131">
        <v>0</v>
      </c>
      <c r="N55" s="132">
        <v>0</v>
      </c>
      <c r="O55" s="132">
        <v>0</v>
      </c>
      <c r="P55" s="132">
        <v>0</v>
      </c>
      <c r="Q55" s="132">
        <v>0</v>
      </c>
      <c r="R55" s="132">
        <v>0</v>
      </c>
      <c r="S55" s="133">
        <v>0</v>
      </c>
      <c r="T55" s="435">
        <v>0</v>
      </c>
      <c r="U55" s="426">
        <v>0</v>
      </c>
      <c r="V55" s="132">
        <v>0</v>
      </c>
      <c r="X55" s="334"/>
    </row>
    <row r="56" spans="3:24" s="725" customFormat="1" outlineLevel="1">
      <c r="C56" s="782" t="s">
        <v>1107</v>
      </c>
      <c r="D56" s="783"/>
      <c r="E56" s="784"/>
      <c r="F56" s="784"/>
      <c r="G56" s="776"/>
      <c r="H56" s="776"/>
      <c r="I56" s="776"/>
      <c r="J56" s="776"/>
      <c r="K56" s="776"/>
      <c r="L56" s="776"/>
      <c r="M56" s="131">
        <v>0</v>
      </c>
      <c r="N56" s="132">
        <v>0</v>
      </c>
      <c r="O56" s="132">
        <v>0</v>
      </c>
      <c r="P56" s="132">
        <v>0</v>
      </c>
      <c r="Q56" s="132">
        <v>0</v>
      </c>
      <c r="R56" s="132">
        <v>0</v>
      </c>
      <c r="S56" s="133">
        <v>0</v>
      </c>
      <c r="T56" s="435">
        <v>0</v>
      </c>
      <c r="U56" s="426">
        <v>0</v>
      </c>
      <c r="V56" s="132">
        <v>0</v>
      </c>
      <c r="X56" s="334"/>
    </row>
    <row r="57" spans="3:24" s="725" customFormat="1" outlineLevel="1">
      <c r="C57" s="782" t="s">
        <v>1107</v>
      </c>
      <c r="D57" s="783"/>
      <c r="E57" s="784"/>
      <c r="F57" s="784"/>
      <c r="G57" s="776"/>
      <c r="H57" s="776"/>
      <c r="I57" s="776"/>
      <c r="J57" s="776"/>
      <c r="K57" s="776"/>
      <c r="L57" s="776"/>
      <c r="M57" s="131">
        <v>0</v>
      </c>
      <c r="N57" s="132">
        <v>0</v>
      </c>
      <c r="O57" s="132">
        <v>0</v>
      </c>
      <c r="P57" s="132">
        <v>0</v>
      </c>
      <c r="Q57" s="132">
        <v>0</v>
      </c>
      <c r="R57" s="132">
        <v>0</v>
      </c>
      <c r="S57" s="133">
        <v>0</v>
      </c>
      <c r="T57" s="435">
        <v>0</v>
      </c>
      <c r="U57" s="426">
        <v>0</v>
      </c>
      <c r="V57" s="132">
        <v>0</v>
      </c>
      <c r="X57" s="334"/>
    </row>
    <row r="58" spans="3:24" s="725" customFormat="1" outlineLevel="1">
      <c r="C58" s="782" t="s">
        <v>1107</v>
      </c>
      <c r="D58" s="783"/>
      <c r="E58" s="784"/>
      <c r="F58" s="784"/>
      <c r="G58" s="776"/>
      <c r="H58" s="776"/>
      <c r="I58" s="776"/>
      <c r="J58" s="776"/>
      <c r="K58" s="776"/>
      <c r="L58" s="776"/>
      <c r="M58" s="131">
        <v>0</v>
      </c>
      <c r="N58" s="132">
        <v>0</v>
      </c>
      <c r="O58" s="132">
        <v>0</v>
      </c>
      <c r="P58" s="132">
        <v>0</v>
      </c>
      <c r="Q58" s="132">
        <v>0</v>
      </c>
      <c r="R58" s="132">
        <v>0</v>
      </c>
      <c r="S58" s="133">
        <v>0</v>
      </c>
      <c r="T58" s="435">
        <v>0</v>
      </c>
      <c r="U58" s="426">
        <v>0</v>
      </c>
      <c r="V58" s="132">
        <v>0</v>
      </c>
      <c r="X58" s="334"/>
    </row>
    <row r="59" spans="3:24" s="725" customFormat="1" outlineLevel="1">
      <c r="C59" s="785" t="s">
        <v>616</v>
      </c>
      <c r="D59" s="776"/>
      <c r="E59" s="777"/>
      <c r="F59" s="777"/>
      <c r="G59" s="776"/>
      <c r="H59" s="776"/>
      <c r="I59" s="776"/>
      <c r="J59" s="776"/>
      <c r="K59" s="776"/>
      <c r="L59" s="776"/>
      <c r="M59" s="856">
        <f t="shared" ref="M59:V59" si="9">SUM(M40:M58)</f>
        <v>262.40677787586355</v>
      </c>
      <c r="N59" s="857">
        <f t="shared" si="9"/>
        <v>399.62925049190153</v>
      </c>
      <c r="O59" s="857">
        <f t="shared" si="9"/>
        <v>280.80862935596321</v>
      </c>
      <c r="P59" s="857">
        <f t="shared" si="9"/>
        <v>185.16142030284323</v>
      </c>
      <c r="Q59" s="857">
        <f t="shared" si="9"/>
        <v>177.23921346252109</v>
      </c>
      <c r="R59" s="857">
        <f t="shared" si="9"/>
        <v>171.98858324493648</v>
      </c>
      <c r="S59" s="858">
        <f t="shared" si="9"/>
        <v>163.78661419502902</v>
      </c>
      <c r="T59" s="859">
        <f t="shared" si="9"/>
        <v>174.24765491923262</v>
      </c>
      <c r="U59" s="860">
        <f t="shared" si="9"/>
        <v>170.36055907773181</v>
      </c>
      <c r="V59" s="857">
        <f t="shared" si="9"/>
        <v>140.82118810610243</v>
      </c>
      <c r="X59" s="786">
        <f>SUM(X40:X49)</f>
        <v>0</v>
      </c>
    </row>
    <row r="60" spans="3:24" s="725" customFormat="1" outlineLevel="1">
      <c r="C60" s="775" t="s">
        <v>617</v>
      </c>
      <c r="D60" s="776"/>
      <c r="E60" s="777"/>
      <c r="F60" s="777"/>
      <c r="G60" s="776"/>
      <c r="H60" s="776"/>
      <c r="I60" s="776"/>
      <c r="J60" s="776"/>
      <c r="K60" s="776"/>
      <c r="L60" s="776"/>
      <c r="M60" s="128">
        <v>0</v>
      </c>
      <c r="N60" s="128">
        <v>0</v>
      </c>
      <c r="O60" s="128">
        <v>0</v>
      </c>
      <c r="P60" s="128">
        <v>0</v>
      </c>
      <c r="Q60" s="128">
        <v>0</v>
      </c>
      <c r="R60" s="128">
        <v>0</v>
      </c>
      <c r="S60" s="432">
        <v>0</v>
      </c>
      <c r="T60" s="436">
        <v>0</v>
      </c>
      <c r="U60" s="425">
        <v>0</v>
      </c>
      <c r="V60" s="128">
        <v>0</v>
      </c>
      <c r="X60" s="334"/>
    </row>
    <row r="61" spans="3:24" s="725" customFormat="1" outlineLevel="1">
      <c r="C61" s="775" t="s">
        <v>618</v>
      </c>
      <c r="D61" s="776"/>
      <c r="E61" s="777"/>
      <c r="F61" s="777"/>
      <c r="G61" s="776"/>
      <c r="H61" s="776"/>
      <c r="I61" s="776"/>
      <c r="J61" s="776"/>
      <c r="K61" s="776"/>
      <c r="L61" s="776"/>
      <c r="M61" s="128">
        <v>0.28329284999999998</v>
      </c>
      <c r="N61" s="128">
        <v>0.30700746999999995</v>
      </c>
      <c r="O61" s="128">
        <v>0.12367397933369759</v>
      </c>
      <c r="P61" s="128">
        <v>0.1</v>
      </c>
      <c r="Q61" s="128">
        <v>0.1</v>
      </c>
      <c r="R61" s="128">
        <v>0</v>
      </c>
      <c r="S61" s="432">
        <v>0</v>
      </c>
      <c r="T61" s="436">
        <v>0</v>
      </c>
      <c r="U61" s="425">
        <v>0</v>
      </c>
      <c r="V61" s="128">
        <v>0</v>
      </c>
      <c r="X61" s="334"/>
    </row>
    <row r="62" spans="3:24" s="725" customFormat="1" outlineLevel="1">
      <c r="C62" s="775" t="s">
        <v>619</v>
      </c>
      <c r="D62" s="776"/>
      <c r="E62" s="777"/>
      <c r="F62" s="777"/>
      <c r="G62" s="776"/>
      <c r="H62" s="776"/>
      <c r="I62" s="776"/>
      <c r="J62" s="776"/>
      <c r="K62" s="776"/>
      <c r="L62" s="776"/>
      <c r="M62" s="128">
        <v>0</v>
      </c>
      <c r="N62" s="128">
        <v>0</v>
      </c>
      <c r="O62" s="128">
        <v>0</v>
      </c>
      <c r="P62" s="128">
        <v>0</v>
      </c>
      <c r="Q62" s="128">
        <v>0</v>
      </c>
      <c r="R62" s="128">
        <v>0</v>
      </c>
      <c r="S62" s="432">
        <v>0</v>
      </c>
      <c r="T62" s="436">
        <v>0</v>
      </c>
      <c r="U62" s="425">
        <v>0</v>
      </c>
      <c r="V62" s="128">
        <v>0</v>
      </c>
      <c r="X62" s="334"/>
    </row>
    <row r="63" spans="3:24" s="725" customFormat="1" outlineLevel="1">
      <c r="C63" s="775" t="s">
        <v>620</v>
      </c>
      <c r="D63" s="776"/>
      <c r="E63" s="777"/>
      <c r="F63" s="777"/>
      <c r="G63" s="776"/>
      <c r="H63" s="776"/>
      <c r="I63" s="776"/>
      <c r="J63" s="776"/>
      <c r="K63" s="776"/>
      <c r="L63" s="776"/>
      <c r="M63" s="128">
        <v>0</v>
      </c>
      <c r="N63" s="128">
        <v>0</v>
      </c>
      <c r="O63" s="128">
        <v>0</v>
      </c>
      <c r="P63" s="128">
        <v>0</v>
      </c>
      <c r="Q63" s="128">
        <v>0</v>
      </c>
      <c r="R63" s="128">
        <v>0</v>
      </c>
      <c r="S63" s="432">
        <v>0</v>
      </c>
      <c r="T63" s="436">
        <v>0</v>
      </c>
      <c r="U63" s="425">
        <v>0</v>
      </c>
      <c r="V63" s="128">
        <v>0</v>
      </c>
      <c r="X63" s="334"/>
    </row>
    <row r="64" spans="3:24" s="725" customFormat="1" outlineLevel="1">
      <c r="C64" s="775" t="s">
        <v>621</v>
      </c>
      <c r="D64" s="776"/>
      <c r="E64" s="777"/>
      <c r="F64" s="777"/>
      <c r="G64" s="776"/>
      <c r="H64" s="776"/>
      <c r="I64" s="776"/>
      <c r="J64" s="776"/>
      <c r="K64" s="776"/>
      <c r="L64" s="776"/>
      <c r="M64" s="128">
        <v>0.2824158799999999</v>
      </c>
      <c r="N64" s="128">
        <v>3.0097344699999997</v>
      </c>
      <c r="O64" s="128">
        <v>0.57600000000000007</v>
      </c>
      <c r="P64" s="128">
        <v>0.57600000000000007</v>
      </c>
      <c r="Q64" s="128">
        <v>0.57600000000000007</v>
      </c>
      <c r="R64" s="128">
        <v>0.57600000000000007</v>
      </c>
      <c r="S64" s="432">
        <v>0.57600000000000007</v>
      </c>
      <c r="T64" s="436">
        <v>0.57600000000000007</v>
      </c>
      <c r="U64" s="425">
        <v>0.57600000000000007</v>
      </c>
      <c r="V64" s="128">
        <v>0.57600000000000007</v>
      </c>
      <c r="X64" s="334"/>
    </row>
    <row r="65" spans="3:24" s="725" customFormat="1" outlineLevel="1">
      <c r="C65" s="775" t="s">
        <v>622</v>
      </c>
      <c r="D65" s="776"/>
      <c r="E65" s="777"/>
      <c r="F65" s="777"/>
      <c r="G65" s="776"/>
      <c r="H65" s="776"/>
      <c r="I65" s="776"/>
      <c r="J65" s="776"/>
      <c r="K65" s="776"/>
      <c r="L65" s="776"/>
      <c r="M65" s="128">
        <v>0</v>
      </c>
      <c r="N65" s="128">
        <v>0</v>
      </c>
      <c r="O65" s="128">
        <v>0</v>
      </c>
      <c r="P65" s="128">
        <v>0</v>
      </c>
      <c r="Q65" s="128">
        <v>0</v>
      </c>
      <c r="R65" s="128">
        <v>0</v>
      </c>
      <c r="S65" s="432">
        <v>0</v>
      </c>
      <c r="T65" s="436">
        <v>0</v>
      </c>
      <c r="U65" s="425">
        <v>0</v>
      </c>
      <c r="V65" s="128">
        <v>0</v>
      </c>
      <c r="X65" s="334"/>
    </row>
    <row r="66" spans="3:24" s="725" customFormat="1" outlineLevel="1">
      <c r="C66" s="775" t="s">
        <v>623</v>
      </c>
      <c r="D66" s="776"/>
      <c r="E66" s="784"/>
      <c r="F66" s="784"/>
      <c r="G66" s="776"/>
      <c r="H66" s="776"/>
      <c r="I66" s="776"/>
      <c r="J66" s="776"/>
      <c r="K66" s="776"/>
      <c r="L66" s="776"/>
      <c r="M66" s="128">
        <v>0</v>
      </c>
      <c r="N66" s="128">
        <v>0</v>
      </c>
      <c r="O66" s="128">
        <v>0</v>
      </c>
      <c r="P66" s="128">
        <v>0</v>
      </c>
      <c r="Q66" s="128">
        <v>0</v>
      </c>
      <c r="R66" s="128">
        <v>0</v>
      </c>
      <c r="S66" s="432">
        <v>0</v>
      </c>
      <c r="T66" s="436">
        <v>0</v>
      </c>
      <c r="U66" s="425">
        <v>0</v>
      </c>
      <c r="V66" s="128">
        <v>0</v>
      </c>
      <c r="X66" s="334"/>
    </row>
    <row r="67" spans="3:24" s="725" customFormat="1" outlineLevel="1">
      <c r="C67" s="775" t="s">
        <v>624</v>
      </c>
      <c r="D67" s="776"/>
      <c r="E67" s="784"/>
      <c r="F67" s="784"/>
      <c r="G67" s="776"/>
      <c r="H67" s="776"/>
      <c r="I67" s="776"/>
      <c r="J67" s="776"/>
      <c r="K67" s="776"/>
      <c r="L67" s="776"/>
      <c r="M67" s="128">
        <v>0</v>
      </c>
      <c r="N67" s="128">
        <v>0</v>
      </c>
      <c r="O67" s="128">
        <v>0</v>
      </c>
      <c r="P67" s="128">
        <v>0</v>
      </c>
      <c r="Q67" s="128">
        <v>0</v>
      </c>
      <c r="R67" s="128">
        <v>0</v>
      </c>
      <c r="S67" s="432">
        <v>0</v>
      </c>
      <c r="T67" s="436">
        <v>0</v>
      </c>
      <c r="U67" s="425">
        <v>0</v>
      </c>
      <c r="V67" s="128">
        <v>0</v>
      </c>
      <c r="X67" s="334"/>
    </row>
    <row r="68" spans="3:24" s="725" customFormat="1" outlineLevel="1">
      <c r="C68" s="782" t="s">
        <v>1108</v>
      </c>
      <c r="D68" s="783"/>
      <c r="E68" s="784"/>
      <c r="F68" s="784"/>
      <c r="G68" s="776"/>
      <c r="H68" s="776"/>
      <c r="I68" s="776"/>
      <c r="J68" s="776"/>
      <c r="K68" s="776"/>
      <c r="L68" s="776"/>
      <c r="M68" s="128">
        <v>2.0715935500000002</v>
      </c>
      <c r="N68" s="128">
        <v>0.47992902999999987</v>
      </c>
      <c r="O68" s="128">
        <v>1.2374999999999998</v>
      </c>
      <c r="P68" s="128">
        <v>1.2374999999999998</v>
      </c>
      <c r="Q68" s="128">
        <v>1.2374999999999998</v>
      </c>
      <c r="R68" s="128">
        <v>1.2374999999999998</v>
      </c>
      <c r="S68" s="432">
        <v>1.2374999999999998</v>
      </c>
      <c r="T68" s="436">
        <v>1.2374999999999998</v>
      </c>
      <c r="U68" s="425">
        <v>1.9375</v>
      </c>
      <c r="V68" s="128">
        <v>1.9375</v>
      </c>
      <c r="X68" s="334"/>
    </row>
    <row r="69" spans="3:24" s="725" customFormat="1" outlineLevel="1">
      <c r="C69" s="782" t="s">
        <v>1109</v>
      </c>
      <c r="D69" s="783"/>
      <c r="E69" s="784"/>
      <c r="F69" s="784"/>
      <c r="G69" s="776"/>
      <c r="H69" s="776"/>
      <c r="I69" s="776"/>
      <c r="J69" s="776"/>
      <c r="K69" s="776"/>
      <c r="L69" s="776"/>
      <c r="M69" s="128">
        <v>2.2028046199999936</v>
      </c>
      <c r="N69" s="128">
        <v>4.8071688899999998</v>
      </c>
      <c r="O69" s="128">
        <v>3.1727730733687753</v>
      </c>
      <c r="P69" s="128">
        <v>3.3667712339047156</v>
      </c>
      <c r="Q69" s="128">
        <v>3.3205459932282699</v>
      </c>
      <c r="R69" s="128">
        <v>3.3296618089194285</v>
      </c>
      <c r="S69" s="432">
        <v>3.6350051472190636</v>
      </c>
      <c r="T69" s="436">
        <v>3.6360595606183592</v>
      </c>
      <c r="U69" s="425">
        <v>4.5689592172420905</v>
      </c>
      <c r="V69" s="128">
        <v>4.6581528681159741</v>
      </c>
      <c r="X69" s="334"/>
    </row>
    <row r="70" spans="3:24" s="725" customFormat="1" outlineLevel="1">
      <c r="C70" s="782" t="s">
        <v>1110</v>
      </c>
      <c r="D70" s="783"/>
      <c r="E70" s="784"/>
      <c r="F70" s="784"/>
      <c r="G70" s="776"/>
      <c r="H70" s="776"/>
      <c r="I70" s="776"/>
      <c r="J70" s="776"/>
      <c r="K70" s="776"/>
      <c r="L70" s="776"/>
      <c r="M70" s="128">
        <v>77.819520879999999</v>
      </c>
      <c r="N70" s="128">
        <v>-158</v>
      </c>
      <c r="O70" s="128">
        <v>0</v>
      </c>
      <c r="P70" s="128">
        <v>0</v>
      </c>
      <c r="Q70" s="128">
        <v>0</v>
      </c>
      <c r="R70" s="128">
        <v>0</v>
      </c>
      <c r="S70" s="432">
        <v>0</v>
      </c>
      <c r="T70" s="436">
        <v>0</v>
      </c>
      <c r="U70" s="425">
        <v>0</v>
      </c>
      <c r="V70" s="128">
        <v>0</v>
      </c>
      <c r="X70" s="334"/>
    </row>
    <row r="71" spans="3:24" s="725" customFormat="1" outlineLevel="1">
      <c r="C71" s="782" t="s">
        <v>1111</v>
      </c>
      <c r="D71" s="783"/>
      <c r="E71" s="784"/>
      <c r="F71" s="784"/>
      <c r="G71" s="776"/>
      <c r="H71" s="776"/>
      <c r="I71" s="776"/>
      <c r="J71" s="776"/>
      <c r="K71" s="776"/>
      <c r="L71" s="776"/>
      <c r="M71" s="128">
        <v>0</v>
      </c>
      <c r="N71" s="128">
        <v>0</v>
      </c>
      <c r="O71" s="128">
        <v>0</v>
      </c>
      <c r="P71" s="128">
        <v>0</v>
      </c>
      <c r="Q71" s="128">
        <v>0</v>
      </c>
      <c r="R71" s="128">
        <v>0</v>
      </c>
      <c r="S71" s="432">
        <v>0</v>
      </c>
      <c r="T71" s="436">
        <v>0</v>
      </c>
      <c r="U71" s="425">
        <v>0</v>
      </c>
      <c r="V71" s="128">
        <v>0</v>
      </c>
      <c r="X71" s="334"/>
    </row>
    <row r="72" spans="3:24" s="725" customFormat="1" outlineLevel="1">
      <c r="C72" s="782" t="s">
        <v>1112</v>
      </c>
      <c r="D72" s="783"/>
      <c r="E72" s="784"/>
      <c r="F72" s="784"/>
      <c r="G72" s="776"/>
      <c r="H72" s="776"/>
      <c r="I72" s="776"/>
      <c r="J72" s="776"/>
      <c r="K72" s="776"/>
      <c r="L72" s="776"/>
      <c r="M72" s="128">
        <v>8.356848999999987E-2</v>
      </c>
      <c r="N72" s="128">
        <v>0</v>
      </c>
      <c r="O72" s="128">
        <v>0</v>
      </c>
      <c r="P72" s="128">
        <v>0</v>
      </c>
      <c r="Q72" s="128">
        <v>0</v>
      </c>
      <c r="R72" s="128">
        <v>0</v>
      </c>
      <c r="S72" s="432">
        <v>0</v>
      </c>
      <c r="T72" s="436">
        <v>0</v>
      </c>
      <c r="U72" s="425">
        <v>0</v>
      </c>
      <c r="V72" s="128">
        <v>0</v>
      </c>
      <c r="X72" s="334"/>
    </row>
    <row r="73" spans="3:24" s="725" customFormat="1" outlineLevel="1">
      <c r="C73" s="782" t="s">
        <v>1113</v>
      </c>
      <c r="D73" s="783"/>
      <c r="E73" s="784"/>
      <c r="F73" s="784"/>
      <c r="G73" s="776"/>
      <c r="H73" s="776"/>
      <c r="I73" s="776"/>
      <c r="J73" s="776"/>
      <c r="K73" s="776"/>
      <c r="L73" s="776"/>
      <c r="M73" s="128">
        <v>-5.1306416658636884</v>
      </c>
      <c r="N73" s="128">
        <v>1.9080176180983983</v>
      </c>
      <c r="O73" s="128">
        <v>0</v>
      </c>
      <c r="P73" s="128">
        <v>0</v>
      </c>
      <c r="Q73" s="128">
        <v>0</v>
      </c>
      <c r="R73" s="128">
        <v>0</v>
      </c>
      <c r="S73" s="432">
        <v>0</v>
      </c>
      <c r="T73" s="436">
        <v>0</v>
      </c>
      <c r="U73" s="425">
        <v>0</v>
      </c>
      <c r="V73" s="128">
        <v>0</v>
      </c>
      <c r="X73" s="334"/>
    </row>
    <row r="74" spans="3:24" s="725" customFormat="1" outlineLevel="1">
      <c r="C74" s="782" t="s">
        <v>1114</v>
      </c>
      <c r="D74" s="783"/>
      <c r="E74" s="784"/>
      <c r="F74" s="784"/>
      <c r="G74" s="776"/>
      <c r="H74" s="776"/>
      <c r="I74" s="776"/>
      <c r="J74" s="776"/>
      <c r="K74" s="776"/>
      <c r="L74" s="776"/>
      <c r="M74" s="128">
        <v>-13.819698439999998</v>
      </c>
      <c r="N74" s="128">
        <v>-14.963229609999999</v>
      </c>
      <c r="O74" s="128">
        <v>-15.924119960612465</v>
      </c>
      <c r="P74" s="128">
        <v>-3.3696381577296339</v>
      </c>
      <c r="Q74" s="128">
        <v>-3.2317871291445792</v>
      </c>
      <c r="R74" s="128">
        <v>-4.0239993791731523</v>
      </c>
      <c r="S74" s="432">
        <v>-5.3863195624922664</v>
      </c>
      <c r="T74" s="436">
        <v>-6.5059967502672222</v>
      </c>
      <c r="U74" s="425">
        <v>-7.838763557430573</v>
      </c>
      <c r="V74" s="128">
        <v>-9.1375961505129695</v>
      </c>
      <c r="X74" s="334"/>
    </row>
    <row r="75" spans="3:24" s="725" customFormat="1" outlineLevel="1">
      <c r="C75" s="785" t="s">
        <v>626</v>
      </c>
      <c r="D75" s="776"/>
      <c r="E75" s="787"/>
      <c r="F75" s="787"/>
      <c r="G75" s="776"/>
      <c r="H75" s="776"/>
      <c r="I75" s="776"/>
      <c r="J75" s="776"/>
      <c r="K75" s="776"/>
      <c r="L75" s="776"/>
      <c r="M75" s="833">
        <f>SUM(M59:M74)</f>
        <v>326.19963403999981</v>
      </c>
      <c r="N75" s="834">
        <f t="shared" ref="N75:V75" si="10">SUM(N59:N74)</f>
        <v>237.17787835999991</v>
      </c>
      <c r="O75" s="834">
        <f t="shared" si="10"/>
        <v>269.99445644805326</v>
      </c>
      <c r="P75" s="834">
        <f t="shared" si="10"/>
        <v>187.07205337901831</v>
      </c>
      <c r="Q75" s="834">
        <f t="shared" si="10"/>
        <v>179.24147232660479</v>
      </c>
      <c r="R75" s="834">
        <f t="shared" si="10"/>
        <v>173.10774567468277</v>
      </c>
      <c r="S75" s="835">
        <f t="shared" si="10"/>
        <v>163.84879977975581</v>
      </c>
      <c r="T75" s="836">
        <f t="shared" si="10"/>
        <v>173.19121772958374</v>
      </c>
      <c r="U75" s="837">
        <f t="shared" si="10"/>
        <v>169.6042547375433</v>
      </c>
      <c r="V75" s="834">
        <f t="shared" si="10"/>
        <v>138.85524482370542</v>
      </c>
      <c r="X75" s="786">
        <f>SUM(X59:X67)</f>
        <v>0</v>
      </c>
    </row>
    <row r="76" spans="3:24" s="725" customFormat="1" outlineLevel="1">
      <c r="C76" s="788"/>
      <c r="D76" s="789"/>
      <c r="E76" s="790"/>
      <c r="F76" s="790"/>
      <c r="G76" s="789"/>
      <c r="H76" s="789"/>
      <c r="I76" s="789"/>
      <c r="J76" s="789"/>
      <c r="K76" s="789"/>
      <c r="L76" s="789"/>
      <c r="M76" s="791"/>
      <c r="N76" s="791"/>
      <c r="O76" s="791"/>
      <c r="P76" s="791"/>
      <c r="Q76" s="791"/>
      <c r="R76" s="791"/>
      <c r="S76" s="791"/>
      <c r="T76" s="792"/>
      <c r="U76" s="791"/>
      <c r="V76" s="791"/>
      <c r="X76" s="791"/>
    </row>
    <row r="77" spans="3:24" s="725" customFormat="1" outlineLevel="1">
      <c r="C77" s="793" t="s">
        <v>627</v>
      </c>
      <c r="D77" s="794"/>
      <c r="E77" s="794"/>
      <c r="F77" s="795"/>
      <c r="G77" s="794"/>
      <c r="H77" s="794"/>
      <c r="I77" s="794"/>
      <c r="J77" s="794"/>
      <c r="K77" s="794"/>
      <c r="L77" s="794"/>
      <c r="M77" s="791"/>
      <c r="N77" s="791"/>
      <c r="O77" s="791"/>
      <c r="P77" s="791"/>
      <c r="Q77" s="791"/>
      <c r="R77" s="791"/>
      <c r="S77" s="791"/>
      <c r="T77" s="792"/>
      <c r="U77" s="791"/>
      <c r="V77" s="791"/>
      <c r="X77" s="791"/>
    </row>
    <row r="78" spans="3:24" s="725" customFormat="1" outlineLevel="1">
      <c r="C78" s="775" t="s">
        <v>628</v>
      </c>
      <c r="D78" s="776"/>
      <c r="E78" s="777"/>
      <c r="F78" s="777"/>
      <c r="G78" s="776"/>
      <c r="H78" s="776"/>
      <c r="I78" s="776"/>
      <c r="J78" s="776"/>
      <c r="K78" s="776"/>
      <c r="L78" s="777"/>
      <c r="M78" s="125">
        <v>0</v>
      </c>
      <c r="N78" s="126">
        <v>0</v>
      </c>
      <c r="O78" s="126">
        <v>0</v>
      </c>
      <c r="P78" s="126">
        <v>0</v>
      </c>
      <c r="Q78" s="126">
        <v>0</v>
      </c>
      <c r="R78" s="126">
        <v>0</v>
      </c>
      <c r="S78" s="127">
        <v>0</v>
      </c>
      <c r="T78" s="437">
        <v>0</v>
      </c>
      <c r="U78" s="427">
        <v>0</v>
      </c>
      <c r="V78" s="126">
        <v>0</v>
      </c>
      <c r="X78" s="334"/>
    </row>
    <row r="79" spans="3:24" s="725" customFormat="1" outlineLevel="1">
      <c r="C79" s="777" t="s">
        <v>629</v>
      </c>
      <c r="D79" s="776"/>
      <c r="E79" s="777"/>
      <c r="F79" s="777"/>
      <c r="G79" s="776"/>
      <c r="H79" s="776"/>
      <c r="I79" s="776"/>
      <c r="J79" s="776"/>
      <c r="K79" s="776"/>
      <c r="L79" s="777"/>
      <c r="M79" s="128">
        <v>0</v>
      </c>
      <c r="N79" s="129">
        <v>0</v>
      </c>
      <c r="O79" s="129">
        <v>0</v>
      </c>
      <c r="P79" s="129">
        <v>0</v>
      </c>
      <c r="Q79" s="129">
        <v>0</v>
      </c>
      <c r="R79" s="129">
        <v>0</v>
      </c>
      <c r="S79" s="130">
        <v>0</v>
      </c>
      <c r="T79" s="434">
        <v>0</v>
      </c>
      <c r="U79" s="425">
        <v>0</v>
      </c>
      <c r="V79" s="129">
        <v>0</v>
      </c>
      <c r="X79" s="334"/>
    </row>
    <row r="80" spans="3:24" s="725" customFormat="1" outlineLevel="1">
      <c r="C80" s="777" t="s">
        <v>630</v>
      </c>
      <c r="D80" s="776"/>
      <c r="E80" s="777"/>
      <c r="F80" s="777"/>
      <c r="G80" s="776"/>
      <c r="H80" s="776"/>
      <c r="I80" s="776"/>
      <c r="J80" s="776"/>
      <c r="K80" s="776"/>
      <c r="L80" s="777"/>
      <c r="M80" s="128">
        <v>0</v>
      </c>
      <c r="N80" s="129">
        <v>0</v>
      </c>
      <c r="O80" s="129">
        <v>0</v>
      </c>
      <c r="P80" s="129">
        <v>0</v>
      </c>
      <c r="Q80" s="129">
        <v>0</v>
      </c>
      <c r="R80" s="129">
        <v>0</v>
      </c>
      <c r="S80" s="130">
        <v>0</v>
      </c>
      <c r="T80" s="434">
        <v>0</v>
      </c>
      <c r="U80" s="425">
        <v>0</v>
      </c>
      <c r="V80" s="129">
        <v>0</v>
      </c>
      <c r="X80" s="334"/>
    </row>
    <row r="81" spans="2:24" s="725" customFormat="1" outlineLevel="1">
      <c r="B81" s="748" t="str">
        <f>B16</f>
        <v>E.</v>
      </c>
      <c r="C81" s="781" t="str">
        <f>C16</f>
        <v>Group company loans (licensee lender)</v>
      </c>
      <c r="D81" s="778"/>
      <c r="E81" s="779"/>
      <c r="F81" s="779"/>
      <c r="G81" s="776"/>
      <c r="H81" s="776"/>
      <c r="I81" s="776"/>
      <c r="J81" s="776"/>
      <c r="K81" s="776"/>
      <c r="L81" s="777"/>
      <c r="M81" s="861">
        <f t="shared" ref="M81:V81" si="11">M16</f>
        <v>0</v>
      </c>
      <c r="N81" s="862">
        <f t="shared" si="11"/>
        <v>0</v>
      </c>
      <c r="O81" s="862">
        <f t="shared" si="11"/>
        <v>0</v>
      </c>
      <c r="P81" s="862">
        <f t="shared" si="11"/>
        <v>0</v>
      </c>
      <c r="Q81" s="862">
        <f t="shared" si="11"/>
        <v>0</v>
      </c>
      <c r="R81" s="862">
        <f t="shared" si="11"/>
        <v>0</v>
      </c>
      <c r="S81" s="863">
        <f t="shared" si="11"/>
        <v>0</v>
      </c>
      <c r="T81" s="864">
        <f t="shared" si="11"/>
        <v>0</v>
      </c>
      <c r="U81" s="865">
        <f t="shared" si="11"/>
        <v>0</v>
      </c>
      <c r="V81" s="862">
        <f t="shared" si="11"/>
        <v>0</v>
      </c>
      <c r="X81" s="796">
        <f>X16</f>
        <v>0</v>
      </c>
    </row>
    <row r="82" spans="2:24" s="725" customFormat="1" outlineLevel="1">
      <c r="C82" s="785" t="s">
        <v>631</v>
      </c>
      <c r="D82" s="776"/>
      <c r="E82" s="777"/>
      <c r="F82" s="777"/>
      <c r="G82" s="776"/>
      <c r="H82" s="776"/>
      <c r="I82" s="776"/>
      <c r="J82" s="776"/>
      <c r="K82" s="776"/>
      <c r="L82" s="777"/>
      <c r="M82" s="856">
        <f t="shared" ref="M82:X82" si="12">SUM(M78:M81)</f>
        <v>0</v>
      </c>
      <c r="N82" s="857">
        <f t="shared" si="12"/>
        <v>0</v>
      </c>
      <c r="O82" s="857">
        <f t="shared" si="12"/>
        <v>0</v>
      </c>
      <c r="P82" s="857">
        <f t="shared" si="12"/>
        <v>0</v>
      </c>
      <c r="Q82" s="857">
        <f t="shared" si="12"/>
        <v>0</v>
      </c>
      <c r="R82" s="857">
        <f t="shared" si="12"/>
        <v>0</v>
      </c>
      <c r="S82" s="858">
        <f t="shared" si="12"/>
        <v>0</v>
      </c>
      <c r="T82" s="859">
        <f t="shared" si="12"/>
        <v>0</v>
      </c>
      <c r="U82" s="860">
        <f t="shared" si="12"/>
        <v>0</v>
      </c>
      <c r="V82" s="857">
        <f t="shared" si="12"/>
        <v>0</v>
      </c>
      <c r="X82" s="786">
        <f t="shared" si="12"/>
        <v>0</v>
      </c>
    </row>
    <row r="83" spans="2:24" s="725" customFormat="1" outlineLevel="1">
      <c r="C83" s="775" t="s">
        <v>632</v>
      </c>
      <c r="D83" s="776"/>
      <c r="E83" s="777"/>
      <c r="F83" s="777"/>
      <c r="G83" s="776"/>
      <c r="H83" s="776"/>
      <c r="I83" s="776"/>
      <c r="J83" s="776"/>
      <c r="K83" s="776"/>
      <c r="L83" s="777"/>
      <c r="M83" s="128">
        <v>-9</v>
      </c>
      <c r="N83" s="128">
        <v>-29</v>
      </c>
      <c r="O83" s="128">
        <v>-29</v>
      </c>
      <c r="P83" s="128">
        <v>-29</v>
      </c>
      <c r="Q83" s="128">
        <v>-29</v>
      </c>
      <c r="R83" s="128">
        <v>-29.616249999999997</v>
      </c>
      <c r="S83" s="432">
        <v>-30.069044435942505</v>
      </c>
      <c r="T83" s="434">
        <v>-30.671046100869034</v>
      </c>
      <c r="U83" s="425">
        <v>-31.284467022886435</v>
      </c>
      <c r="V83" s="129">
        <v>-31.910156363344186</v>
      </c>
      <c r="X83" s="334"/>
    </row>
    <row r="84" spans="2:24" s="725" customFormat="1" outlineLevel="1">
      <c r="C84" s="775" t="s">
        <v>633</v>
      </c>
      <c r="D84" s="776"/>
      <c r="E84" s="777"/>
      <c r="F84" s="777"/>
      <c r="G84" s="776"/>
      <c r="H84" s="776"/>
      <c r="I84" s="776"/>
      <c r="J84" s="776"/>
      <c r="K84" s="776"/>
      <c r="L84" s="777"/>
      <c r="M84" s="128">
        <v>-0.68099082999999994</v>
      </c>
      <c r="N84" s="128">
        <v>2.2581284099999999</v>
      </c>
      <c r="O84" s="128">
        <v>0</v>
      </c>
      <c r="P84" s="128">
        <v>0</v>
      </c>
      <c r="Q84" s="128">
        <v>0</v>
      </c>
      <c r="R84" s="128">
        <v>0</v>
      </c>
      <c r="S84" s="432">
        <v>0</v>
      </c>
      <c r="T84" s="434">
        <v>0</v>
      </c>
      <c r="U84" s="425">
        <v>0</v>
      </c>
      <c r="V84" s="129">
        <v>0</v>
      </c>
      <c r="X84" s="334"/>
    </row>
    <row r="85" spans="2:24" s="725" customFormat="1" outlineLevel="1">
      <c r="C85" s="775" t="s">
        <v>634</v>
      </c>
      <c r="D85" s="776"/>
      <c r="E85" s="784"/>
      <c r="F85" s="784"/>
      <c r="G85" s="776"/>
      <c r="H85" s="776"/>
      <c r="I85" s="776"/>
      <c r="J85" s="776"/>
      <c r="K85" s="776"/>
      <c r="L85" s="776"/>
      <c r="M85" s="128">
        <v>0</v>
      </c>
      <c r="N85" s="128">
        <v>0</v>
      </c>
      <c r="O85" s="128">
        <v>0</v>
      </c>
      <c r="P85" s="128">
        <v>0</v>
      </c>
      <c r="Q85" s="128">
        <v>0</v>
      </c>
      <c r="R85" s="128">
        <v>0</v>
      </c>
      <c r="S85" s="432">
        <v>0</v>
      </c>
      <c r="T85" s="434">
        <v>0</v>
      </c>
      <c r="U85" s="425">
        <v>0</v>
      </c>
      <c r="V85" s="129">
        <v>0</v>
      </c>
      <c r="X85" s="334"/>
    </row>
    <row r="86" spans="2:24" s="725" customFormat="1" outlineLevel="1">
      <c r="C86" s="782" t="s">
        <v>1115</v>
      </c>
      <c r="D86" s="783"/>
      <c r="E86" s="784"/>
      <c r="F86" s="784"/>
      <c r="G86" s="776"/>
      <c r="H86" s="776"/>
      <c r="I86" s="776"/>
      <c r="J86" s="776"/>
      <c r="K86" s="776"/>
      <c r="L86" s="777"/>
      <c r="M86" s="401">
        <v>-0.16517507999999997</v>
      </c>
      <c r="N86" s="401">
        <v>-5.4610124200000003</v>
      </c>
      <c r="O86" s="128">
        <v>-14.720138630136987</v>
      </c>
      <c r="P86" s="128">
        <v>-23.05961110173795</v>
      </c>
      <c r="Q86" s="128">
        <v>-17.939761101737954</v>
      </c>
      <c r="R86" s="128">
        <v>0</v>
      </c>
      <c r="S86" s="432">
        <v>0</v>
      </c>
      <c r="T86" s="438">
        <v>0</v>
      </c>
      <c r="U86" s="428">
        <v>0</v>
      </c>
      <c r="V86" s="135">
        <v>0</v>
      </c>
      <c r="X86" s="334"/>
    </row>
    <row r="87" spans="2:24" s="725" customFormat="1" outlineLevel="1">
      <c r="C87" s="785" t="s">
        <v>635</v>
      </c>
      <c r="D87" s="776"/>
      <c r="E87" s="777"/>
      <c r="F87" s="777"/>
      <c r="G87" s="776"/>
      <c r="H87" s="776"/>
      <c r="I87" s="776"/>
      <c r="J87" s="776"/>
      <c r="K87" s="776"/>
      <c r="L87" s="777"/>
      <c r="M87" s="833">
        <f>SUM(M82:M86)</f>
        <v>-9.8461659099999999</v>
      </c>
      <c r="N87" s="834">
        <f t="shared" ref="N87:X87" si="13">SUM(N82:N86)</f>
        <v>-32.202884009999998</v>
      </c>
      <c r="O87" s="834">
        <f t="shared" si="13"/>
        <v>-43.720138630136987</v>
      </c>
      <c r="P87" s="834">
        <f t="shared" si="13"/>
        <v>-52.05961110173795</v>
      </c>
      <c r="Q87" s="834">
        <f t="shared" si="13"/>
        <v>-46.939761101737957</v>
      </c>
      <c r="R87" s="834">
        <f t="shared" si="13"/>
        <v>-29.616249999999997</v>
      </c>
      <c r="S87" s="835">
        <f t="shared" si="13"/>
        <v>-30.069044435942505</v>
      </c>
      <c r="T87" s="836">
        <f t="shared" si="13"/>
        <v>-30.671046100869034</v>
      </c>
      <c r="U87" s="837">
        <f t="shared" si="13"/>
        <v>-31.284467022886435</v>
      </c>
      <c r="V87" s="834">
        <f t="shared" si="13"/>
        <v>-31.910156363344186</v>
      </c>
      <c r="X87" s="786">
        <f t="shared" si="13"/>
        <v>0</v>
      </c>
    </row>
    <row r="88" spans="2:24" s="725" customFormat="1" outlineLevel="1">
      <c r="C88" s="797"/>
      <c r="D88" s="789"/>
      <c r="E88" s="790"/>
      <c r="F88" s="790"/>
      <c r="G88" s="789"/>
      <c r="H88" s="789"/>
      <c r="I88" s="789"/>
      <c r="J88" s="789"/>
      <c r="K88" s="789"/>
      <c r="L88" s="790"/>
      <c r="M88" s="791"/>
      <c r="N88" s="791"/>
      <c r="O88" s="791"/>
      <c r="P88" s="791"/>
      <c r="Q88" s="791"/>
      <c r="R88" s="791"/>
      <c r="S88" s="791"/>
      <c r="T88" s="792"/>
      <c r="U88" s="791"/>
      <c r="V88" s="791"/>
      <c r="X88" s="791"/>
    </row>
    <row r="89" spans="2:24" s="725" customFormat="1" outlineLevel="1">
      <c r="C89" s="798" t="s">
        <v>636</v>
      </c>
      <c r="D89" s="799"/>
      <c r="E89" s="799"/>
      <c r="F89" s="799"/>
      <c r="G89" s="794"/>
      <c r="H89" s="794"/>
      <c r="I89" s="794"/>
      <c r="J89" s="794"/>
      <c r="K89" s="794"/>
      <c r="L89" s="795"/>
      <c r="T89" s="766"/>
    </row>
    <row r="90" spans="2:24" s="725" customFormat="1" outlineLevel="1">
      <c r="C90" s="800" t="s">
        <v>637</v>
      </c>
      <c r="D90" s="800"/>
      <c r="E90" s="800"/>
      <c r="F90" s="800"/>
      <c r="G90" s="776"/>
      <c r="H90" s="776"/>
      <c r="I90" s="776"/>
      <c r="J90" s="776"/>
      <c r="K90" s="776"/>
      <c r="L90" s="776"/>
      <c r="M90" s="866">
        <f>M75</f>
        <v>326.19963403999981</v>
      </c>
      <c r="N90" s="867">
        <f t="shared" ref="N90:X90" si="14">N75</f>
        <v>237.17787835999991</v>
      </c>
      <c r="O90" s="867">
        <f t="shared" si="14"/>
        <v>269.99445644805326</v>
      </c>
      <c r="P90" s="867">
        <f t="shared" si="14"/>
        <v>187.07205337901831</v>
      </c>
      <c r="Q90" s="867">
        <f t="shared" si="14"/>
        <v>179.24147232660479</v>
      </c>
      <c r="R90" s="867">
        <f t="shared" si="14"/>
        <v>173.10774567468277</v>
      </c>
      <c r="S90" s="868">
        <f t="shared" si="14"/>
        <v>163.84879977975581</v>
      </c>
      <c r="T90" s="869">
        <f t="shared" si="14"/>
        <v>173.19121772958374</v>
      </c>
      <c r="U90" s="870">
        <f t="shared" si="14"/>
        <v>169.6042547375433</v>
      </c>
      <c r="V90" s="867">
        <f t="shared" si="14"/>
        <v>138.85524482370542</v>
      </c>
      <c r="X90" s="780">
        <f t="shared" si="14"/>
        <v>0</v>
      </c>
    </row>
    <row r="91" spans="2:24" s="725" customFormat="1" ht="12.75" customHeight="1" outlineLevel="1">
      <c r="C91" s="800" t="s">
        <v>638</v>
      </c>
      <c r="D91" s="801"/>
      <c r="E91" s="801"/>
      <c r="F91" s="801"/>
      <c r="G91" s="776"/>
      <c r="H91" s="776"/>
      <c r="I91" s="776"/>
      <c r="J91" s="776"/>
      <c r="K91" s="776"/>
      <c r="L91" s="776"/>
      <c r="M91" s="845">
        <f t="shared" ref="M91:X91" si="15">M87</f>
        <v>-9.8461659099999999</v>
      </c>
      <c r="N91" s="846">
        <f t="shared" si="15"/>
        <v>-32.202884009999998</v>
      </c>
      <c r="O91" s="846">
        <f t="shared" si="15"/>
        <v>-43.720138630136987</v>
      </c>
      <c r="P91" s="846">
        <f t="shared" si="15"/>
        <v>-52.05961110173795</v>
      </c>
      <c r="Q91" s="846">
        <f t="shared" si="15"/>
        <v>-46.939761101737957</v>
      </c>
      <c r="R91" s="846">
        <f t="shared" si="15"/>
        <v>-29.616249999999997</v>
      </c>
      <c r="S91" s="847">
        <f t="shared" si="15"/>
        <v>-30.069044435942505</v>
      </c>
      <c r="T91" s="848">
        <f t="shared" si="15"/>
        <v>-30.671046100869034</v>
      </c>
      <c r="U91" s="849">
        <f t="shared" si="15"/>
        <v>-31.284467022886435</v>
      </c>
      <c r="V91" s="846">
        <f t="shared" si="15"/>
        <v>-31.910156363344186</v>
      </c>
      <c r="X91" s="780">
        <f t="shared" si="15"/>
        <v>0</v>
      </c>
    </row>
    <row r="92" spans="2:24" s="725" customFormat="1" outlineLevel="1">
      <c r="C92" s="800" t="s">
        <v>639</v>
      </c>
      <c r="D92" s="800"/>
      <c r="E92" s="800"/>
      <c r="F92" s="800"/>
      <c r="G92" s="776"/>
      <c r="H92" s="776"/>
      <c r="I92" s="776"/>
      <c r="J92" s="776"/>
      <c r="K92" s="776"/>
      <c r="L92" s="776"/>
      <c r="M92" s="838">
        <f>SUM(M90:M91)</f>
        <v>316.35346812999978</v>
      </c>
      <c r="N92" s="839">
        <f t="shared" ref="N92:X92" si="16">SUM(N90:N91)</f>
        <v>204.97499434999992</v>
      </c>
      <c r="O92" s="839">
        <f t="shared" si="16"/>
        <v>226.27431781791626</v>
      </c>
      <c r="P92" s="839">
        <f t="shared" si="16"/>
        <v>135.01244227728037</v>
      </c>
      <c r="Q92" s="839">
        <f t="shared" si="16"/>
        <v>132.30171122486684</v>
      </c>
      <c r="R92" s="839">
        <f t="shared" si="16"/>
        <v>143.49149567468277</v>
      </c>
      <c r="S92" s="840">
        <f t="shared" si="16"/>
        <v>133.77975534381329</v>
      </c>
      <c r="T92" s="841">
        <f t="shared" si="16"/>
        <v>142.52017162871471</v>
      </c>
      <c r="U92" s="842">
        <f t="shared" si="16"/>
        <v>138.31978771465685</v>
      </c>
      <c r="V92" s="839">
        <f t="shared" si="16"/>
        <v>106.94508846036123</v>
      </c>
      <c r="X92" s="786">
        <f t="shared" si="16"/>
        <v>0</v>
      </c>
    </row>
    <row r="93" spans="2:24" s="725" customFormat="1" outlineLevel="1">
      <c r="C93" s="789"/>
      <c r="D93" s="789"/>
      <c r="E93" s="789"/>
      <c r="F93" s="789"/>
      <c r="G93" s="789"/>
      <c r="H93" s="789"/>
      <c r="I93" s="789"/>
      <c r="J93" s="789"/>
      <c r="K93" s="789"/>
      <c r="L93" s="789"/>
      <c r="T93" s="766"/>
    </row>
    <row r="94" spans="2:24" s="725" customFormat="1" outlineLevel="1">
      <c r="B94" s="802"/>
      <c r="C94" s="803" t="s">
        <v>640</v>
      </c>
      <c r="D94" s="803"/>
      <c r="E94" s="794"/>
      <c r="F94" s="794"/>
      <c r="G94" s="794"/>
      <c r="H94" s="794"/>
      <c r="I94" s="794"/>
      <c r="J94" s="794"/>
      <c r="K94" s="794"/>
      <c r="L94" s="794"/>
      <c r="T94" s="766"/>
    </row>
    <row r="95" spans="2:24" s="725" customFormat="1" outlineLevel="1">
      <c r="B95" s="802"/>
      <c r="C95" s="776" t="s">
        <v>641</v>
      </c>
      <c r="D95" s="776"/>
      <c r="E95" s="776"/>
      <c r="F95" s="776"/>
      <c r="G95" s="776"/>
      <c r="H95" s="776"/>
      <c r="I95" s="776"/>
      <c r="J95" s="776"/>
      <c r="K95" s="776"/>
      <c r="L95" s="776"/>
      <c r="M95" s="145">
        <v>0</v>
      </c>
      <c r="N95" s="146">
        <v>0</v>
      </c>
      <c r="O95" s="146">
        <v>0</v>
      </c>
      <c r="P95" s="146">
        <v>0</v>
      </c>
      <c r="Q95" s="146">
        <v>0</v>
      </c>
      <c r="R95" s="146">
        <v>0</v>
      </c>
      <c r="S95" s="147">
        <v>0</v>
      </c>
      <c r="T95" s="439">
        <v>0</v>
      </c>
      <c r="U95" s="429">
        <v>0</v>
      </c>
      <c r="V95" s="146">
        <v>0</v>
      </c>
    </row>
    <row r="96" spans="2:24" s="725" customFormat="1" outlineLevel="1">
      <c r="B96" s="802"/>
      <c r="C96" s="776" t="s">
        <v>642</v>
      </c>
      <c r="D96" s="776"/>
      <c r="E96" s="776"/>
      <c r="F96" s="776"/>
      <c r="G96" s="776"/>
      <c r="H96" s="776"/>
      <c r="I96" s="776"/>
      <c r="J96" s="776"/>
      <c r="K96" s="776"/>
      <c r="L96" s="776"/>
      <c r="M96" s="73">
        <f>1-M95</f>
        <v>1</v>
      </c>
      <c r="N96" s="74">
        <f t="shared" ref="N96:V96" si="17">1-N95</f>
        <v>1</v>
      </c>
      <c r="O96" s="74">
        <f t="shared" si="17"/>
        <v>1</v>
      </c>
      <c r="P96" s="74">
        <f t="shared" si="17"/>
        <v>1</v>
      </c>
      <c r="Q96" s="74">
        <f t="shared" si="17"/>
        <v>1</v>
      </c>
      <c r="R96" s="74">
        <f t="shared" si="17"/>
        <v>1</v>
      </c>
      <c r="S96" s="78">
        <f t="shared" si="17"/>
        <v>1</v>
      </c>
      <c r="T96" s="440">
        <f t="shared" si="17"/>
        <v>1</v>
      </c>
      <c r="U96" s="430">
        <f t="shared" si="17"/>
        <v>1</v>
      </c>
      <c r="V96" s="74">
        <f t="shared" si="17"/>
        <v>1</v>
      </c>
    </row>
    <row r="97" spans="3:22" s="725" customFormat="1" outlineLevel="1">
      <c r="C97" s="789"/>
      <c r="D97" s="789"/>
      <c r="E97" s="789"/>
      <c r="F97" s="789"/>
      <c r="G97" s="789"/>
      <c r="H97" s="789"/>
      <c r="I97" s="789"/>
      <c r="J97" s="789"/>
      <c r="K97" s="789"/>
      <c r="L97" s="789"/>
      <c r="T97" s="766"/>
    </row>
    <row r="98" spans="3:22" s="725" customFormat="1" outlineLevel="1">
      <c r="C98" s="798" t="s">
        <v>643</v>
      </c>
      <c r="D98" s="799"/>
      <c r="E98" s="799"/>
      <c r="F98" s="799"/>
      <c r="G98" s="794"/>
      <c r="H98" s="794"/>
      <c r="I98" s="794"/>
      <c r="J98" s="794"/>
      <c r="K98" s="794"/>
      <c r="L98" s="794"/>
      <c r="T98" s="766"/>
    </row>
    <row r="99" spans="3:22" s="725" customFormat="1" outlineLevel="1">
      <c r="C99" s="800" t="s">
        <v>639</v>
      </c>
      <c r="D99" s="800"/>
      <c r="E99" s="800"/>
      <c r="F99" s="800"/>
      <c r="G99" s="776"/>
      <c r="H99" s="776"/>
      <c r="I99" s="776"/>
      <c r="J99" s="776"/>
      <c r="K99" s="776"/>
      <c r="L99" s="776"/>
      <c r="M99" s="866">
        <f>M92</f>
        <v>316.35346812999978</v>
      </c>
      <c r="N99" s="867">
        <f t="shared" ref="N99:V99" si="18">N92</f>
        <v>204.97499434999992</v>
      </c>
      <c r="O99" s="867">
        <f t="shared" si="18"/>
        <v>226.27431781791626</v>
      </c>
      <c r="P99" s="867">
        <f t="shared" si="18"/>
        <v>135.01244227728037</v>
      </c>
      <c r="Q99" s="867">
        <f t="shared" si="18"/>
        <v>132.30171122486684</v>
      </c>
      <c r="R99" s="867">
        <f t="shared" si="18"/>
        <v>143.49149567468277</v>
      </c>
      <c r="S99" s="868">
        <f t="shared" si="18"/>
        <v>133.77975534381329</v>
      </c>
      <c r="T99" s="869">
        <f t="shared" si="18"/>
        <v>142.52017162871471</v>
      </c>
      <c r="U99" s="870">
        <f t="shared" si="18"/>
        <v>138.31978771465685</v>
      </c>
      <c r="V99" s="867">
        <f t="shared" si="18"/>
        <v>106.94508846036123</v>
      </c>
    </row>
    <row r="100" spans="3:22" s="725" customFormat="1" ht="12.75" customHeight="1" outlineLevel="1">
      <c r="C100" s="800" t="s">
        <v>644</v>
      </c>
      <c r="D100" s="801"/>
      <c r="E100" s="801"/>
      <c r="F100" s="801"/>
      <c r="G100" s="776"/>
      <c r="H100" s="776"/>
      <c r="I100" s="776"/>
      <c r="J100" s="776"/>
      <c r="K100" s="776"/>
      <c r="L100" s="776"/>
      <c r="M100" s="128">
        <v>0</v>
      </c>
      <c r="N100" s="128">
        <v>0</v>
      </c>
      <c r="O100" s="128">
        <v>0</v>
      </c>
      <c r="P100" s="128">
        <v>0</v>
      </c>
      <c r="Q100" s="128">
        <v>0</v>
      </c>
      <c r="R100" s="128">
        <v>0</v>
      </c>
      <c r="S100" s="432">
        <v>0</v>
      </c>
      <c r="T100" s="436">
        <v>0</v>
      </c>
      <c r="U100" s="425">
        <v>0</v>
      </c>
      <c r="V100" s="128">
        <v>0</v>
      </c>
    </row>
    <row r="101" spans="3:22" s="725" customFormat="1" ht="12.75" customHeight="1" outlineLevel="1">
      <c r="C101" s="800" t="s">
        <v>645</v>
      </c>
      <c r="D101" s="801"/>
      <c r="E101" s="801"/>
      <c r="F101" s="801"/>
      <c r="G101" s="776"/>
      <c r="H101" s="776"/>
      <c r="I101" s="776"/>
      <c r="J101" s="776"/>
      <c r="K101" s="776"/>
      <c r="L101" s="776"/>
      <c r="M101" s="128">
        <v>13.819698439999998</v>
      </c>
      <c r="N101" s="128">
        <v>14.963229609999999</v>
      </c>
      <c r="O101" s="128">
        <v>15.924119960612465</v>
      </c>
      <c r="P101" s="128">
        <v>3.3696381577296339</v>
      </c>
      <c r="Q101" s="128">
        <v>3.2317871291445792</v>
      </c>
      <c r="R101" s="128">
        <v>4.0239993791731523</v>
      </c>
      <c r="S101" s="432">
        <v>5.3863195624922664</v>
      </c>
      <c r="T101" s="436">
        <v>6.5059967502672222</v>
      </c>
      <c r="U101" s="425">
        <v>7.838763557430573</v>
      </c>
      <c r="V101" s="128">
        <v>9.1375961505129695</v>
      </c>
    </row>
    <row r="102" spans="3:22" s="725" customFormat="1" ht="12.75" customHeight="1" outlineLevel="1">
      <c r="C102" s="800" t="s">
        <v>646</v>
      </c>
      <c r="D102" s="801"/>
      <c r="E102" s="801"/>
      <c r="F102" s="801"/>
      <c r="G102" s="776"/>
      <c r="H102" s="776"/>
      <c r="I102" s="776"/>
      <c r="J102" s="776"/>
      <c r="K102" s="776"/>
      <c r="L102" s="776"/>
      <c r="M102" s="128">
        <v>0</v>
      </c>
      <c r="N102" s="128">
        <v>0</v>
      </c>
      <c r="O102" s="128">
        <v>0</v>
      </c>
      <c r="P102" s="128">
        <v>0</v>
      </c>
      <c r="Q102" s="128">
        <v>0</v>
      </c>
      <c r="R102" s="128">
        <v>0</v>
      </c>
      <c r="S102" s="432">
        <v>0</v>
      </c>
      <c r="T102" s="436">
        <v>0</v>
      </c>
      <c r="U102" s="425">
        <v>0</v>
      </c>
      <c r="V102" s="128">
        <v>0</v>
      </c>
    </row>
    <row r="103" spans="3:22" s="725" customFormat="1" ht="12.75" customHeight="1" outlineLevel="1">
      <c r="C103" s="800" t="s">
        <v>647</v>
      </c>
      <c r="D103" s="801"/>
      <c r="E103" s="801"/>
      <c r="F103" s="801"/>
      <c r="G103" s="776"/>
      <c r="H103" s="776"/>
      <c r="I103" s="776"/>
      <c r="J103" s="776"/>
      <c r="K103" s="776"/>
      <c r="L103" s="776"/>
      <c r="M103" s="128">
        <v>0</v>
      </c>
      <c r="N103" s="128">
        <v>0</v>
      </c>
      <c r="O103" s="128">
        <v>0</v>
      </c>
      <c r="P103" s="128">
        <v>0</v>
      </c>
      <c r="Q103" s="128">
        <v>0</v>
      </c>
      <c r="R103" s="128">
        <v>0</v>
      </c>
      <c r="S103" s="432">
        <v>0</v>
      </c>
      <c r="T103" s="436">
        <v>0</v>
      </c>
      <c r="U103" s="425">
        <v>0</v>
      </c>
      <c r="V103" s="128">
        <v>0</v>
      </c>
    </row>
    <row r="104" spans="3:22" s="725" customFormat="1" ht="12.75" customHeight="1" outlineLevel="1">
      <c r="C104" s="800" t="s">
        <v>648</v>
      </c>
      <c r="D104" s="801"/>
      <c r="E104" s="801"/>
      <c r="F104" s="801"/>
      <c r="G104" s="776"/>
      <c r="H104" s="776"/>
      <c r="I104" s="776"/>
      <c r="J104" s="776"/>
      <c r="K104" s="776"/>
      <c r="L104" s="776"/>
      <c r="M104" s="128">
        <v>0</v>
      </c>
      <c r="N104" s="128">
        <v>0</v>
      </c>
      <c r="O104" s="128">
        <v>0</v>
      </c>
      <c r="P104" s="128">
        <v>0</v>
      </c>
      <c r="Q104" s="128">
        <v>0</v>
      </c>
      <c r="R104" s="128">
        <v>0</v>
      </c>
      <c r="S104" s="432">
        <v>0</v>
      </c>
      <c r="T104" s="436">
        <v>0</v>
      </c>
      <c r="U104" s="425">
        <v>0</v>
      </c>
      <c r="V104" s="128">
        <v>0</v>
      </c>
    </row>
    <row r="105" spans="3:22" s="725" customFormat="1" ht="12.75" customHeight="1" outlineLevel="1">
      <c r="C105" s="800" t="s">
        <v>649</v>
      </c>
      <c r="D105" s="801"/>
      <c r="E105" s="801"/>
      <c r="F105" s="801"/>
      <c r="G105" s="776"/>
      <c r="H105" s="776"/>
      <c r="I105" s="776"/>
      <c r="J105" s="776"/>
      <c r="K105" s="776"/>
      <c r="L105" s="776"/>
      <c r="M105" s="128">
        <v>9</v>
      </c>
      <c r="N105" s="128">
        <v>29</v>
      </c>
      <c r="O105" s="128">
        <v>29</v>
      </c>
      <c r="P105" s="128">
        <v>29</v>
      </c>
      <c r="Q105" s="128">
        <v>29</v>
      </c>
      <c r="R105" s="128">
        <v>29.616249999999997</v>
      </c>
      <c r="S105" s="432">
        <v>30.069044435942505</v>
      </c>
      <c r="T105" s="436">
        <v>30.671046100869034</v>
      </c>
      <c r="U105" s="425">
        <v>31.284467022886435</v>
      </c>
      <c r="V105" s="128">
        <v>31.910156363344186</v>
      </c>
    </row>
    <row r="106" spans="3:22" s="725" customFormat="1" ht="12.75" customHeight="1" outlineLevel="1">
      <c r="C106" s="800" t="s">
        <v>650</v>
      </c>
      <c r="D106" s="801"/>
      <c r="E106" s="801"/>
      <c r="F106" s="801"/>
      <c r="G106" s="776"/>
      <c r="H106" s="776"/>
      <c r="I106" s="776"/>
      <c r="J106" s="776"/>
      <c r="K106" s="776"/>
      <c r="L106" s="776"/>
      <c r="M106" s="128">
        <v>-4.5332836099999936</v>
      </c>
      <c r="N106" s="128">
        <v>-7.2766104899999995</v>
      </c>
      <c r="O106" s="128">
        <v>-5.8353519323937704</v>
      </c>
      <c r="P106" s="128">
        <v>-5.7132785376540678</v>
      </c>
      <c r="Q106" s="128">
        <v>-5.3565598618900943</v>
      </c>
      <c r="R106" s="128">
        <v>-5.3656756775812529</v>
      </c>
      <c r="S106" s="432">
        <v>-5.6765971360690024</v>
      </c>
      <c r="T106" s="436">
        <v>-5.5311955131538681</v>
      </c>
      <c r="U106" s="425">
        <v>-6.322443199167072</v>
      </c>
      <c r="V106" s="128">
        <v>-6.1625896065946861</v>
      </c>
    </row>
    <row r="107" spans="3:22" s="725" customFormat="1" ht="12.75" customHeight="1" outlineLevel="1">
      <c r="C107" s="800" t="s">
        <v>651</v>
      </c>
      <c r="D107" s="801"/>
      <c r="E107" s="801"/>
      <c r="F107" s="801"/>
      <c r="G107" s="776"/>
      <c r="H107" s="776"/>
      <c r="I107" s="776"/>
      <c r="J107" s="776"/>
      <c r="K107" s="776"/>
      <c r="L107" s="776"/>
      <c r="M107" s="128">
        <v>-0.2824158799999999</v>
      </c>
      <c r="N107" s="128">
        <v>-3.0097344699999997</v>
      </c>
      <c r="O107" s="128">
        <v>-0.57600000000000007</v>
      </c>
      <c r="P107" s="128">
        <v>-0.57600000000000007</v>
      </c>
      <c r="Q107" s="128">
        <v>-0.57600000000000007</v>
      </c>
      <c r="R107" s="128">
        <v>-0.57600000000000007</v>
      </c>
      <c r="S107" s="432">
        <v>-0.57600000000000007</v>
      </c>
      <c r="T107" s="436">
        <v>-0.57600000000000007</v>
      </c>
      <c r="U107" s="425">
        <v>-0.57600000000000007</v>
      </c>
      <c r="V107" s="128">
        <v>-0.57600000000000007</v>
      </c>
    </row>
    <row r="108" spans="3:22" s="725" customFormat="1" outlineLevel="1">
      <c r="C108" s="404" t="s">
        <v>1116</v>
      </c>
      <c r="D108" s="804"/>
      <c r="E108" s="403"/>
      <c r="F108" s="403"/>
      <c r="G108" s="776"/>
      <c r="H108" s="776"/>
      <c r="I108" s="776"/>
      <c r="J108" s="776"/>
      <c r="K108" s="776"/>
      <c r="L108" s="776"/>
      <c r="M108" s="128">
        <v>-0.28329284999999998</v>
      </c>
      <c r="N108" s="128">
        <v>-0.30700746999999995</v>
      </c>
      <c r="O108" s="128">
        <v>-0.12367397933369759</v>
      </c>
      <c r="P108" s="128">
        <v>-0.1</v>
      </c>
      <c r="Q108" s="128">
        <v>-0.1</v>
      </c>
      <c r="R108" s="128">
        <v>0</v>
      </c>
      <c r="S108" s="432">
        <v>0</v>
      </c>
      <c r="T108" s="436">
        <v>0</v>
      </c>
      <c r="U108" s="425">
        <v>0</v>
      </c>
      <c r="V108" s="128">
        <v>0</v>
      </c>
    </row>
    <row r="109" spans="3:22" s="725" customFormat="1" outlineLevel="1">
      <c r="C109" s="404" t="s">
        <v>1117</v>
      </c>
      <c r="D109" s="804"/>
      <c r="E109" s="403"/>
      <c r="F109" s="403"/>
      <c r="G109" s="776"/>
      <c r="H109" s="776"/>
      <c r="I109" s="776"/>
      <c r="J109" s="776"/>
      <c r="K109" s="776"/>
      <c r="L109" s="776"/>
      <c r="M109" s="128">
        <v>-2.0715935500000002</v>
      </c>
      <c r="N109" s="128">
        <v>-0.47992902999999987</v>
      </c>
      <c r="O109" s="128">
        <v>-1.2374999999999998</v>
      </c>
      <c r="P109" s="128">
        <v>-1.2374999999999998</v>
      </c>
      <c r="Q109" s="128">
        <v>-1.2374999999999998</v>
      </c>
      <c r="R109" s="128">
        <v>-1.2374999999999998</v>
      </c>
      <c r="S109" s="432">
        <v>-1.2374999999999998</v>
      </c>
      <c r="T109" s="436">
        <v>-1.2374999999999998</v>
      </c>
      <c r="U109" s="425">
        <v>-1.9375</v>
      </c>
      <c r="V109" s="128">
        <v>-1.9375</v>
      </c>
    </row>
    <row r="110" spans="3:22" s="725" customFormat="1" outlineLevel="1">
      <c r="C110" s="404" t="s">
        <v>1118</v>
      </c>
      <c r="D110" s="804"/>
      <c r="E110" s="403"/>
      <c r="F110" s="403"/>
      <c r="G110" s="776"/>
      <c r="H110" s="776"/>
      <c r="I110" s="776"/>
      <c r="J110" s="776"/>
      <c r="K110" s="776"/>
      <c r="L110" s="776"/>
      <c r="M110" s="128">
        <v>-77.819520879999999</v>
      </c>
      <c r="N110" s="128">
        <v>158</v>
      </c>
      <c r="O110" s="128">
        <v>0</v>
      </c>
      <c r="P110" s="128">
        <v>0</v>
      </c>
      <c r="Q110" s="128">
        <v>0</v>
      </c>
      <c r="R110" s="128">
        <v>0</v>
      </c>
      <c r="S110" s="432">
        <v>0</v>
      </c>
      <c r="T110" s="436">
        <v>0</v>
      </c>
      <c r="U110" s="425">
        <v>0</v>
      </c>
      <c r="V110" s="128">
        <v>0</v>
      </c>
    </row>
    <row r="111" spans="3:22" s="725" customFormat="1" outlineLevel="1">
      <c r="C111" s="404" t="s">
        <v>1119</v>
      </c>
      <c r="D111" s="804"/>
      <c r="E111" s="403"/>
      <c r="F111" s="403"/>
      <c r="G111" s="776"/>
      <c r="H111" s="776"/>
      <c r="I111" s="776"/>
      <c r="J111" s="776"/>
      <c r="K111" s="776"/>
      <c r="L111" s="776"/>
      <c r="M111" s="128">
        <v>0</v>
      </c>
      <c r="N111" s="128">
        <v>0</v>
      </c>
      <c r="O111" s="128">
        <v>0</v>
      </c>
      <c r="P111" s="128">
        <v>0</v>
      </c>
      <c r="Q111" s="128">
        <v>0</v>
      </c>
      <c r="R111" s="128">
        <v>0</v>
      </c>
      <c r="S111" s="432">
        <v>0</v>
      </c>
      <c r="T111" s="436">
        <v>0</v>
      </c>
      <c r="U111" s="425">
        <v>0</v>
      </c>
      <c r="V111" s="128">
        <v>0</v>
      </c>
    </row>
    <row r="112" spans="3:22" s="725" customFormat="1" outlineLevel="1">
      <c r="C112" s="404" t="s">
        <v>1120</v>
      </c>
      <c r="D112" s="804"/>
      <c r="E112" s="403"/>
      <c r="F112" s="403"/>
      <c r="G112" s="776"/>
      <c r="H112" s="776"/>
      <c r="I112" s="776"/>
      <c r="J112" s="776"/>
      <c r="K112" s="776"/>
      <c r="L112" s="776"/>
      <c r="M112" s="128">
        <v>-208.18783467055476</v>
      </c>
      <c r="N112" s="128">
        <v>-324.35510910853026</v>
      </c>
      <c r="O112" s="128">
        <v>-215.96963408208555</v>
      </c>
      <c r="P112" s="128">
        <v>-131.0224417582393</v>
      </c>
      <c r="Q112" s="128">
        <v>-129.07275913323664</v>
      </c>
      <c r="R112" s="128">
        <v>-139.49213154834948</v>
      </c>
      <c r="S112" s="432">
        <v>-132.7527030279432</v>
      </c>
      <c r="T112" s="436">
        <v>-141.46279201267942</v>
      </c>
      <c r="U112" s="425">
        <v>-138.43237274167387</v>
      </c>
      <c r="V112" s="128">
        <v>-114.39657525920524</v>
      </c>
    </row>
    <row r="113" spans="3:23" s="725" customFormat="1" outlineLevel="1">
      <c r="C113" s="404" t="s">
        <v>1121</v>
      </c>
      <c r="D113" s="804"/>
      <c r="E113" s="403"/>
      <c r="F113" s="403"/>
      <c r="G113" s="776"/>
      <c r="H113" s="776"/>
      <c r="I113" s="776"/>
      <c r="J113" s="776"/>
      <c r="K113" s="776"/>
      <c r="L113" s="776"/>
      <c r="M113" s="128">
        <v>0</v>
      </c>
      <c r="N113" s="128">
        <v>0</v>
      </c>
      <c r="O113" s="128">
        <v>0</v>
      </c>
      <c r="P113" s="128">
        <v>0</v>
      </c>
      <c r="Q113" s="128">
        <v>0</v>
      </c>
      <c r="R113" s="128">
        <v>0</v>
      </c>
      <c r="S113" s="432">
        <v>0</v>
      </c>
      <c r="T113" s="436">
        <v>0</v>
      </c>
      <c r="U113" s="425">
        <v>0</v>
      </c>
      <c r="V113" s="128">
        <v>0</v>
      </c>
    </row>
    <row r="114" spans="3:23" s="725" customFormat="1" outlineLevel="1">
      <c r="C114" s="404" t="s">
        <v>1121</v>
      </c>
      <c r="D114" s="804"/>
      <c r="E114" s="403"/>
      <c r="F114" s="403"/>
      <c r="G114" s="776"/>
      <c r="H114" s="776"/>
      <c r="I114" s="776"/>
      <c r="J114" s="776"/>
      <c r="K114" s="776"/>
      <c r="L114" s="776"/>
      <c r="M114" s="128">
        <v>0</v>
      </c>
      <c r="N114" s="128">
        <v>0</v>
      </c>
      <c r="O114" s="128">
        <v>0</v>
      </c>
      <c r="P114" s="128">
        <v>0</v>
      </c>
      <c r="Q114" s="128">
        <v>0</v>
      </c>
      <c r="R114" s="128">
        <v>0</v>
      </c>
      <c r="S114" s="432">
        <v>0</v>
      </c>
      <c r="T114" s="436">
        <v>0</v>
      </c>
      <c r="U114" s="425">
        <v>0</v>
      </c>
      <c r="V114" s="128">
        <v>0</v>
      </c>
    </row>
    <row r="115" spans="3:23" s="725" customFormat="1" outlineLevel="1">
      <c r="C115" s="404" t="s">
        <v>1121</v>
      </c>
      <c r="D115" s="804"/>
      <c r="E115" s="403"/>
      <c r="F115" s="403"/>
      <c r="G115" s="776"/>
      <c r="H115" s="776"/>
      <c r="I115" s="776"/>
      <c r="J115" s="776"/>
      <c r="K115" s="776"/>
      <c r="L115" s="776"/>
      <c r="M115" s="128">
        <v>0</v>
      </c>
      <c r="N115" s="128">
        <v>0</v>
      </c>
      <c r="O115" s="128">
        <v>0</v>
      </c>
      <c r="P115" s="128">
        <v>0</v>
      </c>
      <c r="Q115" s="128">
        <v>0</v>
      </c>
      <c r="R115" s="128">
        <v>0</v>
      </c>
      <c r="S115" s="432">
        <v>0</v>
      </c>
      <c r="T115" s="436">
        <v>0</v>
      </c>
      <c r="U115" s="425">
        <v>0</v>
      </c>
      <c r="V115" s="128">
        <v>0</v>
      </c>
    </row>
    <row r="116" spans="3:23" s="725" customFormat="1" outlineLevel="1">
      <c r="C116" s="404" t="s">
        <v>1121</v>
      </c>
      <c r="D116" s="804"/>
      <c r="E116" s="403"/>
      <c r="F116" s="403"/>
      <c r="G116" s="776"/>
      <c r="H116" s="776"/>
      <c r="I116" s="776"/>
      <c r="J116" s="776"/>
      <c r="K116" s="776"/>
      <c r="L116" s="776"/>
      <c r="M116" s="128">
        <v>0</v>
      </c>
      <c r="N116" s="128">
        <v>0</v>
      </c>
      <c r="O116" s="128">
        <v>0</v>
      </c>
      <c r="P116" s="128">
        <v>0</v>
      </c>
      <c r="Q116" s="128">
        <v>0</v>
      </c>
      <c r="R116" s="128">
        <v>0</v>
      </c>
      <c r="S116" s="432">
        <v>0</v>
      </c>
      <c r="T116" s="436">
        <v>0</v>
      </c>
      <c r="U116" s="425">
        <v>0</v>
      </c>
      <c r="V116" s="128">
        <v>0</v>
      </c>
    </row>
    <row r="117" spans="3:23" s="725" customFormat="1" ht="12.75" customHeight="1" outlineLevel="1">
      <c r="C117" s="805" t="s">
        <v>473</v>
      </c>
      <c r="D117" s="806"/>
      <c r="E117" s="806"/>
      <c r="F117" s="806"/>
      <c r="G117" s="776"/>
      <c r="H117" s="776"/>
      <c r="I117" s="776"/>
      <c r="J117" s="776"/>
      <c r="K117" s="776"/>
      <c r="L117" s="776"/>
      <c r="M117" s="833">
        <f>SUM(M99:M116)</f>
        <v>45.99522512944506</v>
      </c>
      <c r="N117" s="834">
        <f t="shared" ref="N117:V117" si="19">SUM(N99:N116)</f>
        <v>71.509833391469613</v>
      </c>
      <c r="O117" s="834">
        <f t="shared" si="19"/>
        <v>47.456277784715638</v>
      </c>
      <c r="P117" s="834">
        <f t="shared" si="19"/>
        <v>28.732860139116639</v>
      </c>
      <c r="Q117" s="834">
        <f t="shared" si="19"/>
        <v>28.190679358884665</v>
      </c>
      <c r="R117" s="834">
        <f t="shared" si="19"/>
        <v>30.460437827925176</v>
      </c>
      <c r="S117" s="835">
        <f t="shared" si="19"/>
        <v>28.992319178235874</v>
      </c>
      <c r="T117" s="836">
        <f t="shared" si="19"/>
        <v>30.889726954017675</v>
      </c>
      <c r="U117" s="837">
        <f t="shared" si="19"/>
        <v>30.174702354132933</v>
      </c>
      <c r="V117" s="834">
        <f t="shared" si="19"/>
        <v>24.920176108418474</v>
      </c>
    </row>
    <row r="118" spans="3:23" s="725" customFormat="1" outlineLevel="1">
      <c r="C118" s="807"/>
      <c r="D118" s="808"/>
      <c r="E118" s="808"/>
      <c r="F118" s="808"/>
      <c r="G118" s="789"/>
      <c r="H118" s="789"/>
      <c r="I118" s="789"/>
      <c r="J118" s="789"/>
      <c r="K118" s="789"/>
      <c r="L118" s="789"/>
      <c r="T118" s="766"/>
    </row>
    <row r="119" spans="3:23" s="725" customFormat="1" outlineLevel="1">
      <c r="C119" s="800" t="s">
        <v>652</v>
      </c>
      <c r="D119" s="800"/>
      <c r="E119" s="800"/>
      <c r="F119" s="800"/>
      <c r="M119" s="871">
        <f>-M106</f>
        <v>4.5332836099999936</v>
      </c>
      <c r="N119" s="871">
        <f t="shared" ref="N119:V119" si="20">-N106</f>
        <v>7.2766104899999995</v>
      </c>
      <c r="O119" s="871">
        <f t="shared" si="20"/>
        <v>5.8353519323937704</v>
      </c>
      <c r="P119" s="871">
        <f t="shared" si="20"/>
        <v>5.7132785376540678</v>
      </c>
      <c r="Q119" s="871">
        <f t="shared" si="20"/>
        <v>5.3565598618900943</v>
      </c>
      <c r="R119" s="871">
        <f t="shared" si="20"/>
        <v>5.3656756775812529</v>
      </c>
      <c r="S119" s="872">
        <f t="shared" si="20"/>
        <v>5.6765971360690024</v>
      </c>
      <c r="T119" s="873">
        <f t="shared" si="20"/>
        <v>5.5311955131538681</v>
      </c>
      <c r="U119" s="874">
        <f t="shared" si="20"/>
        <v>6.322443199167072</v>
      </c>
      <c r="V119" s="871">
        <f t="shared" si="20"/>
        <v>6.1625896065946861</v>
      </c>
    </row>
    <row r="120" spans="3:23" s="725" customFormat="1" ht="12.75" customHeight="1" outlineLevel="1">
      <c r="C120" s="800" t="s">
        <v>653</v>
      </c>
      <c r="D120" s="801"/>
      <c r="E120" s="801"/>
      <c r="F120" s="801"/>
      <c r="G120" s="776"/>
      <c r="H120" s="776"/>
      <c r="I120" s="776"/>
      <c r="J120" s="776"/>
      <c r="K120" s="776"/>
      <c r="L120" s="776"/>
      <c r="M120" s="128">
        <v>0</v>
      </c>
      <c r="N120" s="128">
        <v>0</v>
      </c>
      <c r="O120" s="128">
        <v>0</v>
      </c>
      <c r="P120" s="128">
        <v>0</v>
      </c>
      <c r="Q120" s="128">
        <v>0</v>
      </c>
      <c r="R120" s="128">
        <v>0</v>
      </c>
      <c r="S120" s="432">
        <v>0</v>
      </c>
      <c r="T120" s="436">
        <v>0</v>
      </c>
      <c r="U120" s="425">
        <v>0</v>
      </c>
      <c r="V120" s="128">
        <v>0</v>
      </c>
    </row>
    <row r="121" spans="3:23" s="725" customFormat="1" outlineLevel="1">
      <c r="C121" s="800" t="s">
        <v>654</v>
      </c>
      <c r="D121" s="800"/>
      <c r="E121" s="800"/>
      <c r="F121" s="800"/>
      <c r="G121" s="776"/>
      <c r="H121" s="776"/>
      <c r="I121" s="776"/>
      <c r="J121" s="776"/>
      <c r="K121" s="776"/>
      <c r="L121" s="776"/>
      <c r="M121" s="128">
        <v>0</v>
      </c>
      <c r="N121" s="128">
        <v>0</v>
      </c>
      <c r="O121" s="128">
        <v>0</v>
      </c>
      <c r="P121" s="128">
        <v>0</v>
      </c>
      <c r="Q121" s="128">
        <v>0</v>
      </c>
      <c r="R121" s="128">
        <v>0</v>
      </c>
      <c r="S121" s="432">
        <v>0</v>
      </c>
      <c r="T121" s="436">
        <v>0</v>
      </c>
      <c r="U121" s="425">
        <v>0</v>
      </c>
      <c r="V121" s="128">
        <v>0</v>
      </c>
    </row>
    <row r="122" spans="3:23" s="725" customFormat="1" outlineLevel="1">
      <c r="C122" s="404" t="s">
        <v>1122</v>
      </c>
      <c r="D122" s="804"/>
      <c r="E122" s="809"/>
      <c r="F122" s="809"/>
      <c r="M122" s="128">
        <v>-3.7129716648151505</v>
      </c>
      <c r="N122" s="128">
        <v>-5.9621490463865117</v>
      </c>
      <c r="O122" s="128">
        <v>-4.7848137249716522</v>
      </c>
      <c r="P122" s="128">
        <v>-4.6878693394091355</v>
      </c>
      <c r="Q122" s="128">
        <v>-4.3984093610838553</v>
      </c>
      <c r="R122" s="128">
        <v>-4.4058945922963675</v>
      </c>
      <c r="S122" s="432">
        <v>-4.6612002154639596</v>
      </c>
      <c r="T122" s="436">
        <v>-4.5418071953473049</v>
      </c>
      <c r="U122" s="425">
        <v>-5.1915210637308071</v>
      </c>
      <c r="V122" s="128">
        <v>-5.0602611588475312</v>
      </c>
    </row>
    <row r="123" spans="3:23" s="725" customFormat="1" outlineLevel="1">
      <c r="C123" s="404" t="s">
        <v>1121</v>
      </c>
      <c r="D123" s="804"/>
      <c r="E123" s="809"/>
      <c r="F123" s="809"/>
      <c r="M123" s="128">
        <v>0</v>
      </c>
      <c r="N123" s="128">
        <v>0</v>
      </c>
      <c r="O123" s="128">
        <v>0</v>
      </c>
      <c r="P123" s="128">
        <v>0</v>
      </c>
      <c r="Q123" s="128">
        <v>0</v>
      </c>
      <c r="R123" s="128">
        <v>0</v>
      </c>
      <c r="S123" s="432">
        <v>0</v>
      </c>
      <c r="T123" s="436">
        <v>0</v>
      </c>
      <c r="U123" s="425">
        <v>0</v>
      </c>
      <c r="V123" s="128">
        <v>0</v>
      </c>
    </row>
    <row r="124" spans="3:23" s="725" customFormat="1" outlineLevel="1">
      <c r="C124" s="404" t="s">
        <v>1121</v>
      </c>
      <c r="D124" s="804"/>
      <c r="E124" s="809"/>
      <c r="F124" s="809"/>
      <c r="M124" s="128">
        <v>0</v>
      </c>
      <c r="N124" s="128">
        <v>0</v>
      </c>
      <c r="O124" s="128">
        <v>0</v>
      </c>
      <c r="P124" s="128">
        <v>0</v>
      </c>
      <c r="Q124" s="128">
        <v>0</v>
      </c>
      <c r="R124" s="128">
        <v>0</v>
      </c>
      <c r="S124" s="432">
        <v>0</v>
      </c>
      <c r="T124" s="436">
        <v>0</v>
      </c>
      <c r="U124" s="425">
        <v>0</v>
      </c>
      <c r="V124" s="128">
        <v>0</v>
      </c>
    </row>
    <row r="125" spans="3:23" s="725" customFormat="1" outlineLevel="1">
      <c r="C125" s="404" t="s">
        <v>1121</v>
      </c>
      <c r="D125" s="404"/>
      <c r="E125" s="402"/>
      <c r="F125" s="402"/>
      <c r="M125" s="128">
        <v>0</v>
      </c>
      <c r="N125" s="128">
        <v>0</v>
      </c>
      <c r="O125" s="128">
        <v>0</v>
      </c>
      <c r="P125" s="128">
        <v>0</v>
      </c>
      <c r="Q125" s="128">
        <v>0</v>
      </c>
      <c r="R125" s="128">
        <v>0</v>
      </c>
      <c r="S125" s="432">
        <v>0</v>
      </c>
      <c r="T125" s="436">
        <v>0</v>
      </c>
      <c r="U125" s="425">
        <v>0</v>
      </c>
      <c r="V125" s="128">
        <v>0</v>
      </c>
    </row>
    <row r="126" spans="3:23" s="811" customFormat="1" outlineLevel="1">
      <c r="C126" s="810" t="s">
        <v>582</v>
      </c>
      <c r="D126" s="150"/>
      <c r="E126" s="150"/>
      <c r="F126" s="150"/>
      <c r="M126" s="833">
        <f>SUM(M119:M125)</f>
        <v>0.82031194518484307</v>
      </c>
      <c r="N126" s="833">
        <f t="shared" ref="N126:V126" si="21">SUM(N119:N125)</f>
        <v>1.3144614436134878</v>
      </c>
      <c r="O126" s="833">
        <f t="shared" si="21"/>
        <v>1.0505382074221181</v>
      </c>
      <c r="P126" s="833">
        <f t="shared" si="21"/>
        <v>1.0254091982449323</v>
      </c>
      <c r="Q126" s="833">
        <f t="shared" si="21"/>
        <v>0.95815050080623898</v>
      </c>
      <c r="R126" s="833">
        <f t="shared" si="21"/>
        <v>0.95978108528488537</v>
      </c>
      <c r="S126" s="875">
        <f t="shared" si="21"/>
        <v>1.0153969206050428</v>
      </c>
      <c r="T126" s="876">
        <f t="shared" si="21"/>
        <v>0.98938831780656322</v>
      </c>
      <c r="U126" s="837">
        <f t="shared" si="21"/>
        <v>1.1309221354362649</v>
      </c>
      <c r="V126" s="833">
        <f t="shared" si="21"/>
        <v>1.1023284477471549</v>
      </c>
      <c r="W126" s="725"/>
    </row>
    <row r="127" spans="3:23" s="811" customFormat="1" outlineLevel="1">
      <c r="C127" s="810"/>
      <c r="D127" s="150"/>
      <c r="E127" s="150"/>
      <c r="F127" s="150"/>
      <c r="M127" s="812"/>
      <c r="N127" s="812"/>
      <c r="O127" s="812"/>
      <c r="P127" s="812"/>
      <c r="Q127" s="812"/>
      <c r="R127" s="812"/>
      <c r="S127" s="812"/>
      <c r="T127" s="813"/>
      <c r="U127" s="812"/>
      <c r="V127" s="812"/>
      <c r="W127" s="725"/>
    </row>
    <row r="128" spans="3:23" s="725" customFormat="1" outlineLevel="1">
      <c r="C128" s="803" t="s">
        <v>655</v>
      </c>
      <c r="D128" s="794"/>
      <c r="E128" s="794"/>
      <c r="F128" s="794"/>
      <c r="G128" s="794"/>
      <c r="H128" s="794"/>
      <c r="I128" s="794"/>
      <c r="J128" s="794"/>
      <c r="K128" s="794"/>
      <c r="L128" s="794"/>
      <c r="T128" s="766"/>
    </row>
    <row r="129" spans="2:22" s="725" customFormat="1" outlineLevel="1">
      <c r="C129" s="776" t="s">
        <v>656</v>
      </c>
      <c r="D129" s="776"/>
      <c r="E129" s="776"/>
      <c r="F129" s="776"/>
      <c r="G129" s="776"/>
      <c r="H129" s="776"/>
      <c r="I129" s="776"/>
      <c r="J129" s="776"/>
      <c r="K129" s="776"/>
      <c r="L129" s="776"/>
      <c r="M129" s="814">
        <v>0</v>
      </c>
      <c r="N129" s="815">
        <v>0</v>
      </c>
      <c r="O129" s="815">
        <v>0</v>
      </c>
      <c r="P129" s="815">
        <v>0</v>
      </c>
      <c r="Q129" s="815">
        <v>0</v>
      </c>
      <c r="R129" s="815">
        <v>0</v>
      </c>
      <c r="S129" s="816">
        <v>0</v>
      </c>
      <c r="T129" s="817">
        <v>0</v>
      </c>
      <c r="U129" s="818">
        <v>0</v>
      </c>
      <c r="V129" s="815">
        <v>0</v>
      </c>
    </row>
    <row r="130" spans="2:22" s="725" customFormat="1" outlineLevel="1">
      <c r="C130" s="776" t="s">
        <v>642</v>
      </c>
      <c r="D130" s="776"/>
      <c r="E130" s="776"/>
      <c r="F130" s="776"/>
      <c r="G130" s="776"/>
      <c r="H130" s="776"/>
      <c r="I130" s="776"/>
      <c r="J130" s="776"/>
      <c r="K130" s="776"/>
      <c r="L130" s="776"/>
      <c r="M130" s="73">
        <f>1-M129</f>
        <v>1</v>
      </c>
      <c r="N130" s="74">
        <f t="shared" ref="N130:V130" si="22">1-N129</f>
        <v>1</v>
      </c>
      <c r="O130" s="74">
        <f t="shared" si="22"/>
        <v>1</v>
      </c>
      <c r="P130" s="74">
        <f t="shared" si="22"/>
        <v>1</v>
      </c>
      <c r="Q130" s="74">
        <f t="shared" si="22"/>
        <v>1</v>
      </c>
      <c r="R130" s="74">
        <f t="shared" si="22"/>
        <v>1</v>
      </c>
      <c r="S130" s="78">
        <f t="shared" si="22"/>
        <v>1</v>
      </c>
      <c r="T130" s="440">
        <f t="shared" si="22"/>
        <v>1</v>
      </c>
      <c r="U130" s="430">
        <f t="shared" si="22"/>
        <v>1</v>
      </c>
      <c r="V130" s="74">
        <f t="shared" si="22"/>
        <v>1</v>
      </c>
    </row>
    <row r="131" spans="2:22" s="725" customFormat="1" outlineLevel="1">
      <c r="C131" s="807"/>
      <c r="D131" s="808"/>
      <c r="E131" s="808"/>
      <c r="F131" s="808"/>
      <c r="G131" s="789"/>
      <c r="H131" s="789"/>
      <c r="I131" s="789"/>
      <c r="J131" s="789"/>
      <c r="K131" s="789"/>
      <c r="L131" s="789"/>
      <c r="T131" s="766"/>
    </row>
    <row r="132" spans="2:22" s="725" customFormat="1" outlineLevel="1">
      <c r="C132" s="798" t="s">
        <v>657</v>
      </c>
      <c r="D132" s="799"/>
      <c r="E132" s="799"/>
      <c r="F132" s="799"/>
      <c r="G132" s="794"/>
      <c r="H132" s="794"/>
      <c r="I132" s="794"/>
      <c r="J132" s="794"/>
      <c r="K132" s="794"/>
      <c r="L132" s="794"/>
      <c r="T132" s="766"/>
    </row>
    <row r="133" spans="2:22" s="725" customFormat="1" ht="12.75" customHeight="1" outlineLevel="1">
      <c r="C133" s="800" t="s">
        <v>658</v>
      </c>
      <c r="D133" s="801"/>
      <c r="E133" s="801"/>
      <c r="F133" s="801"/>
      <c r="G133" s="776"/>
      <c r="H133" s="776"/>
      <c r="I133" s="776"/>
      <c r="J133" s="776"/>
      <c r="K133" s="776"/>
      <c r="L133" s="776"/>
      <c r="M133" s="877">
        <f>'R6a - Net Debt input'!T77</f>
        <v>1215.094620049581</v>
      </c>
      <c r="N133" s="878">
        <f>'R6a - Net Debt input'!U77</f>
        <v>1270.2846958946238</v>
      </c>
      <c r="O133" s="878">
        <f>'R6a - Net Debt input'!V77</f>
        <v>1357.0632192128087</v>
      </c>
      <c r="P133" s="878">
        <f>'R6a - Net Debt input'!W77</f>
        <v>1195.740533239762</v>
      </c>
      <c r="Q133" s="878">
        <f>'R6a - Net Debt input'!X77</f>
        <v>1280.0399095964485</v>
      </c>
      <c r="R133" s="878">
        <f>'R6a - Net Debt input'!Y77</f>
        <v>1230.3795413073249</v>
      </c>
      <c r="S133" s="879">
        <f>'R6a - Net Debt input'!Z77</f>
        <v>1233.995182263031</v>
      </c>
      <c r="T133" s="880">
        <f>'R6a - Net Debt input'!AA77</f>
        <v>1086.5241010681448</v>
      </c>
      <c r="U133" s="881">
        <f>'R6a - Net Debt input'!AB77</f>
        <v>901.90002316119717</v>
      </c>
      <c r="V133" s="878">
        <f>'R6a - Net Debt input'!AC77</f>
        <v>813.8978108702272</v>
      </c>
    </row>
    <row r="134" spans="2:22" s="725" customFormat="1" ht="12.75" customHeight="1" outlineLevel="1">
      <c r="C134" s="800" t="s">
        <v>473</v>
      </c>
      <c r="D134" s="801"/>
      <c r="E134" s="801"/>
      <c r="F134" s="801"/>
      <c r="G134" s="776"/>
      <c r="H134" s="776"/>
      <c r="I134" s="776"/>
      <c r="J134" s="776"/>
      <c r="K134" s="776"/>
      <c r="L134" s="776"/>
      <c r="M134" s="882">
        <f>M117</f>
        <v>45.99522512944506</v>
      </c>
      <c r="N134" s="883">
        <f t="shared" ref="N134:V134" si="23">N117</f>
        <v>71.509833391469613</v>
      </c>
      <c r="O134" s="883">
        <f t="shared" si="23"/>
        <v>47.456277784715638</v>
      </c>
      <c r="P134" s="883">
        <f t="shared" si="23"/>
        <v>28.732860139116639</v>
      </c>
      <c r="Q134" s="883">
        <f t="shared" si="23"/>
        <v>28.190679358884665</v>
      </c>
      <c r="R134" s="883">
        <f t="shared" si="23"/>
        <v>30.460437827925176</v>
      </c>
      <c r="S134" s="884">
        <f t="shared" si="23"/>
        <v>28.992319178235874</v>
      </c>
      <c r="T134" s="885">
        <f t="shared" si="23"/>
        <v>30.889726954017675</v>
      </c>
      <c r="U134" s="886">
        <f t="shared" si="23"/>
        <v>30.174702354132933</v>
      </c>
      <c r="V134" s="883">
        <f t="shared" si="23"/>
        <v>24.920176108418474</v>
      </c>
    </row>
    <row r="135" spans="2:22" s="725" customFormat="1">
      <c r="C135" s="789"/>
      <c r="D135" s="789"/>
      <c r="E135" s="789"/>
      <c r="F135" s="789"/>
      <c r="G135" s="789"/>
      <c r="H135" s="789"/>
      <c r="I135" s="789"/>
      <c r="J135" s="789"/>
      <c r="K135" s="789"/>
      <c r="L135" s="789"/>
      <c r="T135" s="766"/>
    </row>
    <row r="136" spans="2:22" s="725" customFormat="1">
      <c r="T136" s="766"/>
    </row>
    <row r="137" spans="2:22" s="725" customFormat="1" ht="15.35">
      <c r="B137" s="740" t="s">
        <v>659</v>
      </c>
      <c r="C137" s="741"/>
      <c r="D137" s="741"/>
      <c r="E137" s="741"/>
      <c r="F137" s="741"/>
      <c r="G137" s="741"/>
      <c r="H137" s="741"/>
      <c r="I137" s="741"/>
      <c r="J137" s="741"/>
      <c r="K137" s="741"/>
      <c r="L137" s="741"/>
      <c r="M137" s="741"/>
      <c r="N137" s="741"/>
      <c r="O137" s="741"/>
      <c r="P137" s="741"/>
      <c r="Q137" s="741"/>
      <c r="R137" s="741"/>
      <c r="S137" s="741"/>
      <c r="T137" s="743"/>
      <c r="U137" s="741"/>
      <c r="V137" s="741"/>
    </row>
    <row r="138" spans="2:22" s="725" customFormat="1" outlineLevel="1">
      <c r="B138" s="769" t="s">
        <v>660</v>
      </c>
      <c r="T138" s="766"/>
    </row>
    <row r="139" spans="2:22" s="725" customFormat="1" outlineLevel="1">
      <c r="C139" s="793" t="s">
        <v>661</v>
      </c>
      <c r="D139" s="794"/>
      <c r="E139" s="793"/>
      <c r="F139" s="795"/>
      <c r="G139" s="794"/>
      <c r="H139" s="794"/>
      <c r="I139" s="794"/>
      <c r="J139" s="794"/>
      <c r="K139" s="794"/>
      <c r="L139" s="794"/>
      <c r="M139" s="791"/>
      <c r="N139" s="791"/>
      <c r="O139" s="791"/>
      <c r="P139" s="791"/>
      <c r="Q139" s="791"/>
      <c r="R139" s="791"/>
      <c r="S139" s="791"/>
      <c r="T139" s="792"/>
      <c r="U139" s="791"/>
      <c r="V139" s="791"/>
    </row>
    <row r="140" spans="2:22" s="725" customFormat="1" outlineLevel="1">
      <c r="C140" s="775" t="s">
        <v>612</v>
      </c>
      <c r="D140" s="776"/>
      <c r="E140" s="777"/>
      <c r="F140" s="776"/>
      <c r="G140" s="776"/>
      <c r="H140" s="776"/>
      <c r="I140" s="776"/>
      <c r="J140" s="776"/>
      <c r="K140" s="776"/>
      <c r="L140" s="776"/>
      <c r="M140" s="125">
        <v>0</v>
      </c>
      <c r="N140" s="126">
        <v>0</v>
      </c>
      <c r="O140" s="126">
        <v>0</v>
      </c>
      <c r="P140" s="126">
        <v>0</v>
      </c>
      <c r="Q140" s="126">
        <v>0</v>
      </c>
      <c r="R140" s="126">
        <v>0</v>
      </c>
      <c r="S140" s="127">
        <v>0</v>
      </c>
      <c r="T140" s="437">
        <v>0</v>
      </c>
      <c r="U140" s="427">
        <v>0</v>
      </c>
      <c r="V140" s="126">
        <v>0</v>
      </c>
    </row>
    <row r="141" spans="2:22" s="725" customFormat="1" outlineLevel="1">
      <c r="C141" s="775" t="s">
        <v>613</v>
      </c>
      <c r="D141" s="776"/>
      <c r="E141" s="777"/>
      <c r="F141" s="777"/>
      <c r="G141" s="776"/>
      <c r="H141" s="776"/>
      <c r="I141" s="776"/>
      <c r="J141" s="776"/>
      <c r="K141" s="776"/>
      <c r="L141" s="776"/>
      <c r="M141" s="128">
        <v>0</v>
      </c>
      <c r="N141" s="129">
        <v>0</v>
      </c>
      <c r="O141" s="129">
        <v>0</v>
      </c>
      <c r="P141" s="129">
        <v>0</v>
      </c>
      <c r="Q141" s="129">
        <v>0</v>
      </c>
      <c r="R141" s="129">
        <v>0</v>
      </c>
      <c r="S141" s="130">
        <v>0</v>
      </c>
      <c r="T141" s="434">
        <v>0</v>
      </c>
      <c r="U141" s="425">
        <v>0</v>
      </c>
      <c r="V141" s="129">
        <v>0</v>
      </c>
    </row>
    <row r="142" spans="2:22" s="725" customFormat="1" outlineLevel="1">
      <c r="B142" s="748" t="str">
        <f t="shared" ref="B142:C144" si="24">B26</f>
        <v>B.</v>
      </c>
      <c r="C142" s="778" t="str">
        <f t="shared" si="24"/>
        <v>Bonds</v>
      </c>
      <c r="D142" s="778"/>
      <c r="E142" s="779"/>
      <c r="F142" s="779"/>
      <c r="G142" s="776"/>
      <c r="H142" s="776"/>
      <c r="I142" s="776"/>
      <c r="J142" s="776"/>
      <c r="K142" s="776"/>
      <c r="L142" s="776"/>
      <c r="M142" s="887">
        <f t="shared" ref="M142:V142" si="25">M26</f>
        <v>0</v>
      </c>
      <c r="N142" s="887">
        <f t="shared" si="25"/>
        <v>0</v>
      </c>
      <c r="O142" s="887">
        <f t="shared" si="25"/>
        <v>0</v>
      </c>
      <c r="P142" s="887">
        <f t="shared" si="25"/>
        <v>0</v>
      </c>
      <c r="Q142" s="887">
        <f t="shared" si="25"/>
        <v>0</v>
      </c>
      <c r="R142" s="887">
        <f t="shared" si="25"/>
        <v>0</v>
      </c>
      <c r="S142" s="888">
        <f t="shared" si="25"/>
        <v>0</v>
      </c>
      <c r="T142" s="889">
        <f t="shared" si="25"/>
        <v>0</v>
      </c>
      <c r="U142" s="890">
        <f t="shared" si="25"/>
        <v>0</v>
      </c>
      <c r="V142" s="887">
        <f t="shared" si="25"/>
        <v>0</v>
      </c>
    </row>
    <row r="143" spans="2:22" s="725" customFormat="1" outlineLevel="1">
      <c r="B143" s="748" t="str">
        <f t="shared" si="24"/>
        <v>C.</v>
      </c>
      <c r="C143" s="781" t="str">
        <f t="shared" si="24"/>
        <v>External Loans</v>
      </c>
      <c r="D143" s="778"/>
      <c r="E143" s="779"/>
      <c r="F143" s="779"/>
      <c r="G143" s="776"/>
      <c r="H143" s="776"/>
      <c r="I143" s="776"/>
      <c r="J143" s="776"/>
      <c r="K143" s="776"/>
      <c r="L143" s="776"/>
      <c r="M143" s="887">
        <f t="shared" ref="M143:V143" si="26">M27</f>
        <v>9.8337062500000023</v>
      </c>
      <c r="N143" s="887">
        <f t="shared" si="26"/>
        <v>18.42896189</v>
      </c>
      <c r="O143" s="887">
        <f t="shared" si="26"/>
        <v>29.95520279655738</v>
      </c>
      <c r="P143" s="887">
        <f t="shared" si="26"/>
        <v>36.106913840000004</v>
      </c>
      <c r="Q143" s="887">
        <f t="shared" si="26"/>
        <v>31.753327229999996</v>
      </c>
      <c r="R143" s="887">
        <f t="shared" si="26"/>
        <v>29.378965240000003</v>
      </c>
      <c r="S143" s="888">
        <f t="shared" si="26"/>
        <v>7.2</v>
      </c>
      <c r="T143" s="889">
        <f t="shared" si="26"/>
        <v>7.2</v>
      </c>
      <c r="U143" s="890">
        <f t="shared" si="26"/>
        <v>7.2</v>
      </c>
      <c r="V143" s="887">
        <f t="shared" si="26"/>
        <v>4</v>
      </c>
    </row>
    <row r="144" spans="2:22" s="725" customFormat="1" outlineLevel="1">
      <c r="B144" s="748" t="str">
        <f t="shared" si="24"/>
        <v>D.</v>
      </c>
      <c r="C144" s="781" t="str">
        <f t="shared" si="24"/>
        <v>Private Placements</v>
      </c>
      <c r="D144" s="778"/>
      <c r="E144" s="779"/>
      <c r="F144" s="779"/>
      <c r="G144" s="776"/>
      <c r="H144" s="776"/>
      <c r="I144" s="776"/>
      <c r="J144" s="776"/>
      <c r="K144" s="776"/>
      <c r="L144" s="776"/>
      <c r="M144" s="887">
        <f t="shared" ref="M144:V144" si="27">M28</f>
        <v>0</v>
      </c>
      <c r="N144" s="887">
        <f t="shared" si="27"/>
        <v>0</v>
      </c>
      <c r="O144" s="887">
        <f t="shared" si="27"/>
        <v>0</v>
      </c>
      <c r="P144" s="887">
        <f t="shared" si="27"/>
        <v>0</v>
      </c>
      <c r="Q144" s="887">
        <f t="shared" si="27"/>
        <v>0</v>
      </c>
      <c r="R144" s="887">
        <f t="shared" si="27"/>
        <v>0</v>
      </c>
      <c r="S144" s="888">
        <f t="shared" si="27"/>
        <v>0</v>
      </c>
      <c r="T144" s="889">
        <f t="shared" si="27"/>
        <v>0</v>
      </c>
      <c r="U144" s="890">
        <f t="shared" si="27"/>
        <v>0</v>
      </c>
      <c r="V144" s="887">
        <f t="shared" si="27"/>
        <v>0</v>
      </c>
    </row>
    <row r="145" spans="2:22" s="725" customFormat="1" outlineLevel="1">
      <c r="B145" s="748" t="str">
        <f>B30</f>
        <v>F.</v>
      </c>
      <c r="C145" s="781" t="str">
        <f>C30</f>
        <v>Group company loans (licensee borrower)</v>
      </c>
      <c r="D145" s="778"/>
      <c r="E145" s="779"/>
      <c r="F145" s="779"/>
      <c r="G145" s="776"/>
      <c r="H145" s="776"/>
      <c r="I145" s="776"/>
      <c r="J145" s="776"/>
      <c r="K145" s="776"/>
      <c r="L145" s="776"/>
      <c r="M145" s="887">
        <f>M30</f>
        <v>0</v>
      </c>
      <c r="N145" s="887">
        <f t="shared" ref="N145:V145" si="28">N30</f>
        <v>0</v>
      </c>
      <c r="O145" s="887">
        <f t="shared" si="28"/>
        <v>0</v>
      </c>
      <c r="P145" s="887">
        <f t="shared" si="28"/>
        <v>0</v>
      </c>
      <c r="Q145" s="887">
        <f t="shared" si="28"/>
        <v>0</v>
      </c>
      <c r="R145" s="887">
        <f t="shared" si="28"/>
        <v>0</v>
      </c>
      <c r="S145" s="888">
        <f t="shared" si="28"/>
        <v>0</v>
      </c>
      <c r="T145" s="889">
        <f t="shared" si="28"/>
        <v>0</v>
      </c>
      <c r="U145" s="890">
        <f t="shared" si="28"/>
        <v>0</v>
      </c>
      <c r="V145" s="887">
        <f t="shared" si="28"/>
        <v>0</v>
      </c>
    </row>
    <row r="146" spans="2:22" s="725" customFormat="1" outlineLevel="1">
      <c r="B146" s="748" t="str">
        <f t="shared" ref="B146:C146" si="29">B31</f>
        <v>G.</v>
      </c>
      <c r="C146" s="781" t="str">
        <f t="shared" si="29"/>
        <v>Group Loans from Finco back to back with finco bond issue</v>
      </c>
      <c r="D146" s="778"/>
      <c r="E146" s="779"/>
      <c r="F146" s="779"/>
      <c r="G146" s="776"/>
      <c r="H146" s="776"/>
      <c r="I146" s="776"/>
      <c r="J146" s="776"/>
      <c r="K146" s="776"/>
      <c r="L146" s="776"/>
      <c r="M146" s="887">
        <f t="shared" ref="M146:V146" si="30">M31</f>
        <v>119.88925359999999</v>
      </c>
      <c r="N146" s="887">
        <f t="shared" si="30"/>
        <v>119.12272179</v>
      </c>
      <c r="O146" s="887">
        <f t="shared" si="30"/>
        <v>150.19285861611354</v>
      </c>
      <c r="P146" s="887">
        <f t="shared" si="30"/>
        <v>173.10675147610354</v>
      </c>
      <c r="Q146" s="887">
        <f t="shared" si="30"/>
        <v>171.25389861659394</v>
      </c>
      <c r="R146" s="887">
        <f t="shared" si="30"/>
        <v>171.80590362659399</v>
      </c>
      <c r="S146" s="888">
        <f t="shared" si="30"/>
        <v>172.38057486659395</v>
      </c>
      <c r="T146" s="889">
        <f t="shared" si="30"/>
        <v>172.98236614659399</v>
      </c>
      <c r="U146" s="890">
        <f t="shared" si="30"/>
        <v>155.55125943659397</v>
      </c>
      <c r="V146" s="887">
        <f t="shared" si="30"/>
        <v>124.41972766660402</v>
      </c>
    </row>
    <row r="147" spans="2:22" s="725" customFormat="1" outlineLevel="1">
      <c r="B147" s="724" t="s">
        <v>614</v>
      </c>
      <c r="C147" s="775" t="s">
        <v>615</v>
      </c>
      <c r="D147" s="776"/>
      <c r="E147" s="777"/>
      <c r="F147" s="777"/>
      <c r="G147" s="776"/>
      <c r="H147" s="776"/>
      <c r="I147" s="776"/>
      <c r="J147" s="776"/>
      <c r="K147" s="776"/>
      <c r="L147" s="776"/>
      <c r="M147" s="887">
        <f>SUM(M32,M33)</f>
        <v>-0.69450592999999117</v>
      </c>
      <c r="N147" s="887">
        <f t="shared" ref="N147:V147" si="31">SUM(N32,N33)</f>
        <v>-32.087439259999996</v>
      </c>
      <c r="O147" s="887">
        <f t="shared" si="31"/>
        <v>-32.852779154849088</v>
      </c>
      <c r="P147" s="887">
        <f t="shared" si="31"/>
        <v>-40.726024006103543</v>
      </c>
      <c r="Q147" s="887">
        <f t="shared" si="31"/>
        <v>-42.528166256594005</v>
      </c>
      <c r="R147" s="887">
        <f t="shared" si="31"/>
        <v>-43.238312566593969</v>
      </c>
      <c r="S147" s="888">
        <f t="shared" si="31"/>
        <v>6.817149353406009</v>
      </c>
      <c r="T147" s="889">
        <f t="shared" si="31"/>
        <v>38.941798473406017</v>
      </c>
      <c r="U147" s="890">
        <f t="shared" si="31"/>
        <v>-18.914626516593991</v>
      </c>
      <c r="V147" s="887">
        <f t="shared" si="31"/>
        <v>-24.623976636603999</v>
      </c>
    </row>
    <row r="148" spans="2:22" s="725" customFormat="1" outlineLevel="1">
      <c r="B148" s="748" t="str">
        <f>B34</f>
        <v>J.</v>
      </c>
      <c r="C148" s="781" t="str">
        <f>C34</f>
        <v>Other</v>
      </c>
      <c r="D148" s="778"/>
      <c r="E148" s="779"/>
      <c r="F148" s="779"/>
      <c r="G148" s="776"/>
      <c r="H148" s="776"/>
      <c r="I148" s="776"/>
      <c r="J148" s="776"/>
      <c r="K148" s="776"/>
      <c r="L148" s="776"/>
      <c r="M148" s="891">
        <f t="shared" ref="M148:V148" si="32">M34</f>
        <v>0</v>
      </c>
      <c r="N148" s="892">
        <f t="shared" si="32"/>
        <v>0</v>
      </c>
      <c r="O148" s="892">
        <f t="shared" si="32"/>
        <v>0.45</v>
      </c>
      <c r="P148" s="892">
        <f t="shared" si="32"/>
        <v>0.45123288</v>
      </c>
      <c r="Q148" s="892">
        <f t="shared" si="32"/>
        <v>0.45</v>
      </c>
      <c r="R148" s="892">
        <f t="shared" si="32"/>
        <v>0.45</v>
      </c>
      <c r="S148" s="893">
        <f t="shared" si="32"/>
        <v>0.36493149999999996</v>
      </c>
      <c r="T148" s="894">
        <f t="shared" si="32"/>
        <v>0</v>
      </c>
      <c r="U148" s="892">
        <f t="shared" si="32"/>
        <v>0</v>
      </c>
      <c r="V148" s="892">
        <f t="shared" si="32"/>
        <v>0</v>
      </c>
    </row>
    <row r="149" spans="2:22" s="725" customFormat="1" outlineLevel="1">
      <c r="C149" s="782" t="s">
        <v>1107</v>
      </c>
      <c r="D149" s="783"/>
      <c r="E149" s="819"/>
      <c r="F149" s="819"/>
      <c r="G149" s="776"/>
      <c r="H149" s="776"/>
      <c r="I149" s="776"/>
      <c r="J149" s="776"/>
      <c r="K149" s="776"/>
      <c r="L149" s="776"/>
      <c r="M149" s="134">
        <v>0</v>
      </c>
      <c r="N149" s="135">
        <v>0</v>
      </c>
      <c r="O149" s="135">
        <v>0</v>
      </c>
      <c r="P149" s="135">
        <v>0</v>
      </c>
      <c r="Q149" s="135">
        <v>0</v>
      </c>
      <c r="R149" s="135">
        <v>0</v>
      </c>
      <c r="S149" s="136">
        <v>0</v>
      </c>
      <c r="T149" s="438">
        <v>0</v>
      </c>
      <c r="U149" s="428">
        <v>0</v>
      </c>
      <c r="V149" s="135">
        <v>0</v>
      </c>
    </row>
    <row r="150" spans="2:22" s="725" customFormat="1" outlineLevel="1">
      <c r="C150" s="785" t="s">
        <v>662</v>
      </c>
      <c r="D150" s="776"/>
      <c r="E150" s="777"/>
      <c r="F150" s="777"/>
      <c r="G150" s="776"/>
      <c r="H150" s="776"/>
      <c r="I150" s="776"/>
      <c r="J150" s="776"/>
      <c r="K150" s="776"/>
      <c r="L150" s="776"/>
      <c r="M150" s="856">
        <f>SUM(M140:M149)</f>
        <v>129.02845392</v>
      </c>
      <c r="N150" s="857">
        <f t="shared" ref="N150:V150" si="33">SUM(N140:N149)</f>
        <v>105.46424442</v>
      </c>
      <c r="O150" s="857">
        <f t="shared" si="33"/>
        <v>147.74528225782183</v>
      </c>
      <c r="P150" s="857">
        <f t="shared" si="33"/>
        <v>168.93887419000001</v>
      </c>
      <c r="Q150" s="857">
        <f t="shared" si="33"/>
        <v>160.92905958999992</v>
      </c>
      <c r="R150" s="857">
        <f t="shared" si="33"/>
        <v>158.39655630000001</v>
      </c>
      <c r="S150" s="858">
        <f t="shared" si="33"/>
        <v>186.76265571999994</v>
      </c>
      <c r="T150" s="859">
        <f t="shared" si="33"/>
        <v>219.12416461999999</v>
      </c>
      <c r="U150" s="860">
        <f t="shared" si="33"/>
        <v>143.83663291999997</v>
      </c>
      <c r="V150" s="857">
        <f t="shared" si="33"/>
        <v>103.79575103000002</v>
      </c>
    </row>
    <row r="151" spans="2:22" s="725" customFormat="1" outlineLevel="1">
      <c r="C151" s="775" t="s">
        <v>619</v>
      </c>
      <c r="D151" s="776"/>
      <c r="E151" s="777"/>
      <c r="F151" s="777"/>
      <c r="G151" s="776"/>
      <c r="H151" s="776"/>
      <c r="I151" s="776"/>
      <c r="J151" s="776"/>
      <c r="K151" s="776"/>
      <c r="L151" s="776"/>
      <c r="M151" s="128">
        <v>0</v>
      </c>
      <c r="N151" s="129">
        <v>0</v>
      </c>
      <c r="O151" s="129">
        <v>0</v>
      </c>
      <c r="P151" s="129">
        <v>0</v>
      </c>
      <c r="Q151" s="129">
        <v>0</v>
      </c>
      <c r="R151" s="129">
        <v>0</v>
      </c>
      <c r="S151" s="130">
        <v>0</v>
      </c>
      <c r="T151" s="434">
        <v>0</v>
      </c>
      <c r="U151" s="425">
        <v>0</v>
      </c>
      <c r="V151" s="129">
        <v>0</v>
      </c>
    </row>
    <row r="152" spans="2:22" s="725" customFormat="1" outlineLevel="1">
      <c r="C152" s="775" t="s">
        <v>663</v>
      </c>
      <c r="D152" s="776"/>
      <c r="E152" s="777"/>
      <c r="F152" s="777"/>
      <c r="G152" s="776"/>
      <c r="H152" s="776"/>
      <c r="I152" s="776"/>
      <c r="J152" s="776"/>
      <c r="K152" s="776"/>
      <c r="L152" s="776"/>
      <c r="M152" s="128">
        <v>0</v>
      </c>
      <c r="N152" s="128">
        <v>0</v>
      </c>
      <c r="O152" s="128">
        <v>0</v>
      </c>
      <c r="P152" s="128">
        <v>0</v>
      </c>
      <c r="Q152" s="128">
        <v>0</v>
      </c>
      <c r="R152" s="128">
        <v>0</v>
      </c>
      <c r="S152" s="432">
        <v>0</v>
      </c>
      <c r="T152" s="436">
        <v>0</v>
      </c>
      <c r="U152" s="425">
        <v>0</v>
      </c>
      <c r="V152" s="128">
        <v>0</v>
      </c>
    </row>
    <row r="153" spans="2:22" s="725" customFormat="1" outlineLevel="1">
      <c r="C153" s="775" t="s">
        <v>634</v>
      </c>
      <c r="D153" s="776"/>
      <c r="E153" s="784"/>
      <c r="F153" s="784"/>
      <c r="G153" s="776"/>
      <c r="H153" s="776"/>
      <c r="I153" s="776"/>
      <c r="J153" s="776"/>
      <c r="K153" s="776"/>
      <c r="L153" s="776"/>
      <c r="M153" s="128">
        <v>0</v>
      </c>
      <c r="N153" s="128">
        <v>0</v>
      </c>
      <c r="O153" s="128">
        <v>0</v>
      </c>
      <c r="P153" s="128">
        <v>0</v>
      </c>
      <c r="Q153" s="128">
        <v>0</v>
      </c>
      <c r="R153" s="128">
        <v>0</v>
      </c>
      <c r="S153" s="432">
        <v>0</v>
      </c>
      <c r="T153" s="436">
        <v>0</v>
      </c>
      <c r="U153" s="425">
        <v>0</v>
      </c>
      <c r="V153" s="128">
        <v>0</v>
      </c>
    </row>
    <row r="154" spans="2:22" s="725" customFormat="1" outlineLevel="1">
      <c r="C154" s="782" t="s">
        <v>1120</v>
      </c>
      <c r="D154" s="783"/>
      <c r="E154" s="819"/>
      <c r="F154" s="819"/>
      <c r="G154" s="776"/>
      <c r="H154" s="776"/>
      <c r="I154" s="776"/>
      <c r="J154" s="776"/>
      <c r="K154" s="776"/>
      <c r="L154" s="776"/>
      <c r="M154" s="128">
        <v>-105.68034885420902</v>
      </c>
      <c r="N154" s="128">
        <v>-86.412972792855513</v>
      </c>
      <c r="O154" s="128">
        <v>-121.1467041812231</v>
      </c>
      <c r="P154" s="128">
        <v>-138.61802174181881</v>
      </c>
      <c r="Q154" s="128">
        <v>-132.14299857022687</v>
      </c>
      <c r="R154" s="128">
        <v>-130.06349484677162</v>
      </c>
      <c r="S154" s="432">
        <v>-153.3556301805003</v>
      </c>
      <c r="T154" s="436">
        <v>-179.92849921483113</v>
      </c>
      <c r="U154" s="425">
        <v>-118.10796649603296</v>
      </c>
      <c r="V154" s="128">
        <v>-85.229366373586984</v>
      </c>
    </row>
    <row r="155" spans="2:22" s="725" customFormat="1" outlineLevel="1">
      <c r="C155" s="785" t="s">
        <v>664</v>
      </c>
      <c r="D155" s="776"/>
      <c r="E155" s="777"/>
      <c r="F155" s="777"/>
      <c r="G155" s="776"/>
      <c r="H155" s="776"/>
      <c r="I155" s="776"/>
      <c r="J155" s="776"/>
      <c r="K155" s="776"/>
      <c r="L155" s="776"/>
      <c r="M155" s="833">
        <f>SUM(M150:M154)</f>
        <v>23.348105065790989</v>
      </c>
      <c r="N155" s="834">
        <f t="shared" ref="N155:V155" si="34">SUM(N150:N154)</f>
        <v>19.051271627144487</v>
      </c>
      <c r="O155" s="834">
        <f t="shared" si="34"/>
        <v>26.598578076598727</v>
      </c>
      <c r="P155" s="834">
        <f t="shared" si="34"/>
        <v>30.320852448181199</v>
      </c>
      <c r="Q155" s="834">
        <f t="shared" si="34"/>
        <v>28.786061019773058</v>
      </c>
      <c r="R155" s="834">
        <f t="shared" si="34"/>
        <v>28.333061453228396</v>
      </c>
      <c r="S155" s="835">
        <f t="shared" si="34"/>
        <v>33.407025539499642</v>
      </c>
      <c r="T155" s="836">
        <f t="shared" si="34"/>
        <v>39.195665405168853</v>
      </c>
      <c r="U155" s="837">
        <f t="shared" si="34"/>
        <v>25.728666423967013</v>
      </c>
      <c r="V155" s="834">
        <f t="shared" si="34"/>
        <v>18.566384656413035</v>
      </c>
    </row>
    <row r="156" spans="2:22" s="725" customFormat="1" outlineLevel="1">
      <c r="C156" s="789"/>
      <c r="D156" s="789"/>
      <c r="E156" s="789"/>
      <c r="F156" s="789"/>
      <c r="G156" s="789"/>
      <c r="H156" s="789"/>
      <c r="I156" s="789"/>
      <c r="J156" s="789"/>
      <c r="K156" s="789"/>
      <c r="L156" s="789"/>
      <c r="M156" s="820"/>
      <c r="N156" s="820"/>
      <c r="O156" s="820"/>
      <c r="P156" s="820"/>
      <c r="Q156" s="820"/>
      <c r="R156" s="820"/>
      <c r="S156" s="820"/>
      <c r="T156" s="821"/>
      <c r="U156" s="820"/>
      <c r="V156" s="820"/>
    </row>
    <row r="157" spans="2:22" s="725" customFormat="1" outlineLevel="1">
      <c r="M157" s="820"/>
      <c r="N157" s="820"/>
      <c r="O157" s="820"/>
      <c r="P157" s="820"/>
      <c r="Q157" s="820"/>
      <c r="R157" s="820"/>
      <c r="S157" s="820"/>
      <c r="T157" s="821"/>
      <c r="U157" s="820"/>
      <c r="V157" s="820"/>
    </row>
    <row r="158" spans="2:22" s="725" customFormat="1" outlineLevel="1">
      <c r="C158" s="793" t="s">
        <v>665</v>
      </c>
      <c r="D158" s="794"/>
      <c r="E158" s="793"/>
      <c r="F158" s="795"/>
      <c r="G158" s="794"/>
      <c r="H158" s="794"/>
      <c r="I158" s="794"/>
      <c r="J158" s="794"/>
      <c r="K158" s="794"/>
      <c r="L158" s="794"/>
      <c r="M158" s="822"/>
      <c r="N158" s="822"/>
      <c r="O158" s="822"/>
      <c r="P158" s="822"/>
      <c r="Q158" s="822"/>
      <c r="R158" s="822"/>
      <c r="S158" s="822"/>
      <c r="T158" s="823"/>
      <c r="U158" s="822"/>
      <c r="V158" s="822"/>
    </row>
    <row r="159" spans="2:22" s="725" customFormat="1" outlineLevel="1">
      <c r="C159" s="775" t="s">
        <v>628</v>
      </c>
      <c r="D159" s="776"/>
      <c r="E159" s="777"/>
      <c r="F159" s="777"/>
      <c r="G159" s="776"/>
      <c r="H159" s="776"/>
      <c r="I159" s="776"/>
      <c r="J159" s="776"/>
      <c r="K159" s="776"/>
      <c r="L159" s="776"/>
      <c r="M159" s="125">
        <v>0</v>
      </c>
      <c r="N159" s="126">
        <v>0</v>
      </c>
      <c r="O159" s="126">
        <v>0</v>
      </c>
      <c r="P159" s="126">
        <v>0</v>
      </c>
      <c r="Q159" s="126">
        <v>0</v>
      </c>
      <c r="R159" s="126">
        <v>0</v>
      </c>
      <c r="S159" s="127">
        <v>0</v>
      </c>
      <c r="T159" s="437">
        <v>0</v>
      </c>
      <c r="U159" s="427">
        <v>0</v>
      </c>
      <c r="V159" s="126">
        <v>0</v>
      </c>
    </row>
    <row r="160" spans="2:22" s="725" customFormat="1" outlineLevel="1">
      <c r="C160" s="777" t="s">
        <v>629</v>
      </c>
      <c r="D160" s="776"/>
      <c r="E160" s="777"/>
      <c r="F160" s="777"/>
      <c r="G160" s="776"/>
      <c r="H160" s="776"/>
      <c r="I160" s="776"/>
      <c r="J160" s="776"/>
      <c r="K160" s="776"/>
      <c r="L160" s="776"/>
      <c r="M160" s="128">
        <v>0</v>
      </c>
      <c r="N160" s="129">
        <v>0</v>
      </c>
      <c r="O160" s="129">
        <v>0</v>
      </c>
      <c r="P160" s="129">
        <v>0</v>
      </c>
      <c r="Q160" s="129">
        <v>0</v>
      </c>
      <c r="R160" s="129">
        <v>0</v>
      </c>
      <c r="S160" s="130">
        <v>0</v>
      </c>
      <c r="T160" s="434">
        <v>0</v>
      </c>
      <c r="U160" s="425">
        <v>0</v>
      </c>
      <c r="V160" s="129">
        <v>0</v>
      </c>
    </row>
    <row r="161" spans="2:22" s="725" customFormat="1" outlineLevel="1">
      <c r="C161" s="777" t="s">
        <v>630</v>
      </c>
      <c r="D161" s="776"/>
      <c r="E161" s="777"/>
      <c r="F161" s="777"/>
      <c r="G161" s="776"/>
      <c r="H161" s="776"/>
      <c r="I161" s="776"/>
      <c r="J161" s="776"/>
      <c r="K161" s="776"/>
      <c r="L161" s="776"/>
      <c r="M161" s="128">
        <v>0</v>
      </c>
      <c r="N161" s="129">
        <v>0</v>
      </c>
      <c r="O161" s="129">
        <v>0</v>
      </c>
      <c r="P161" s="129">
        <v>0</v>
      </c>
      <c r="Q161" s="129">
        <v>0</v>
      </c>
      <c r="R161" s="129">
        <v>0</v>
      </c>
      <c r="S161" s="130">
        <v>0</v>
      </c>
      <c r="T161" s="434">
        <v>0</v>
      </c>
      <c r="U161" s="425">
        <v>0</v>
      </c>
      <c r="V161" s="129">
        <v>0</v>
      </c>
    </row>
    <row r="162" spans="2:22" s="725" customFormat="1" outlineLevel="1">
      <c r="B162" s="748" t="str">
        <f>B29</f>
        <v>E.</v>
      </c>
      <c r="C162" s="781" t="str">
        <f>C29</f>
        <v>Group company loans (licensee lender)</v>
      </c>
      <c r="D162" s="778"/>
      <c r="E162" s="779"/>
      <c r="F162" s="779"/>
      <c r="G162" s="776"/>
      <c r="H162" s="776"/>
      <c r="I162" s="776"/>
      <c r="J162" s="776"/>
      <c r="K162" s="776"/>
      <c r="L162" s="776"/>
      <c r="M162" s="887">
        <f t="shared" ref="M162:V162" si="35">M29</f>
        <v>0</v>
      </c>
      <c r="N162" s="895">
        <f t="shared" si="35"/>
        <v>0</v>
      </c>
      <c r="O162" s="895">
        <f t="shared" si="35"/>
        <v>0</v>
      </c>
      <c r="P162" s="895">
        <f t="shared" si="35"/>
        <v>0</v>
      </c>
      <c r="Q162" s="895">
        <f t="shared" si="35"/>
        <v>0</v>
      </c>
      <c r="R162" s="895">
        <f t="shared" si="35"/>
        <v>0</v>
      </c>
      <c r="S162" s="896">
        <f t="shared" si="35"/>
        <v>0</v>
      </c>
      <c r="T162" s="897">
        <f t="shared" si="35"/>
        <v>0</v>
      </c>
      <c r="U162" s="890">
        <f t="shared" si="35"/>
        <v>0</v>
      </c>
      <c r="V162" s="895">
        <f t="shared" si="35"/>
        <v>0</v>
      </c>
    </row>
    <row r="163" spans="2:22" s="725" customFormat="1" outlineLevel="1">
      <c r="C163" s="785" t="s">
        <v>666</v>
      </c>
      <c r="D163" s="776"/>
      <c r="E163" s="777"/>
      <c r="F163" s="777"/>
      <c r="G163" s="776"/>
      <c r="H163" s="776"/>
      <c r="I163" s="776"/>
      <c r="J163" s="776"/>
      <c r="K163" s="776"/>
      <c r="L163" s="776"/>
      <c r="M163" s="856">
        <f t="shared" ref="M163:V163" si="36">SUM(M159:M162)</f>
        <v>0</v>
      </c>
      <c r="N163" s="857">
        <f t="shared" si="36"/>
        <v>0</v>
      </c>
      <c r="O163" s="857">
        <f t="shared" si="36"/>
        <v>0</v>
      </c>
      <c r="P163" s="857">
        <f t="shared" si="36"/>
        <v>0</v>
      </c>
      <c r="Q163" s="857">
        <f t="shared" si="36"/>
        <v>0</v>
      </c>
      <c r="R163" s="857">
        <f t="shared" si="36"/>
        <v>0</v>
      </c>
      <c r="S163" s="858">
        <f t="shared" si="36"/>
        <v>0</v>
      </c>
      <c r="T163" s="859">
        <f t="shared" si="36"/>
        <v>0</v>
      </c>
      <c r="U163" s="860">
        <f t="shared" si="36"/>
        <v>0</v>
      </c>
      <c r="V163" s="857">
        <f t="shared" si="36"/>
        <v>0</v>
      </c>
    </row>
    <row r="164" spans="2:22" s="725" customFormat="1" outlineLevel="1">
      <c r="C164" s="775" t="s">
        <v>667</v>
      </c>
      <c r="D164" s="776"/>
      <c r="E164" s="777"/>
      <c r="F164" s="777"/>
      <c r="G164" s="776"/>
      <c r="H164" s="776"/>
      <c r="I164" s="776"/>
      <c r="J164" s="776"/>
      <c r="K164" s="776"/>
      <c r="L164" s="776"/>
      <c r="M164" s="128">
        <v>0</v>
      </c>
      <c r="N164" s="129">
        <v>0</v>
      </c>
      <c r="O164" s="129">
        <v>0</v>
      </c>
      <c r="P164" s="129">
        <v>0</v>
      </c>
      <c r="Q164" s="129">
        <v>0</v>
      </c>
      <c r="R164" s="129">
        <v>0</v>
      </c>
      <c r="S164" s="130">
        <v>0</v>
      </c>
      <c r="T164" s="434">
        <v>0</v>
      </c>
      <c r="U164" s="425">
        <v>0</v>
      </c>
      <c r="V164" s="129">
        <v>0</v>
      </c>
    </row>
    <row r="165" spans="2:22" s="725" customFormat="1" outlineLevel="1">
      <c r="C165" s="775" t="s">
        <v>633</v>
      </c>
      <c r="D165" s="776"/>
      <c r="E165" s="777"/>
      <c r="F165" s="777"/>
      <c r="G165" s="776"/>
      <c r="H165" s="776"/>
      <c r="I165" s="776"/>
      <c r="J165" s="776"/>
      <c r="K165" s="776"/>
      <c r="L165" s="776"/>
      <c r="M165" s="128">
        <v>0</v>
      </c>
      <c r="N165" s="129">
        <v>0</v>
      </c>
      <c r="O165" s="129">
        <v>0</v>
      </c>
      <c r="P165" s="129">
        <v>0</v>
      </c>
      <c r="Q165" s="129">
        <v>0</v>
      </c>
      <c r="R165" s="129">
        <v>0</v>
      </c>
      <c r="S165" s="130">
        <v>0</v>
      </c>
      <c r="T165" s="434">
        <v>0</v>
      </c>
      <c r="U165" s="425">
        <v>0</v>
      </c>
      <c r="V165" s="129">
        <v>0</v>
      </c>
    </row>
    <row r="166" spans="2:22" s="725" customFormat="1" outlineLevel="1">
      <c r="C166" s="775" t="s">
        <v>668</v>
      </c>
      <c r="D166" s="776"/>
      <c r="E166" s="777"/>
      <c r="F166" s="777"/>
      <c r="G166" s="776"/>
      <c r="H166" s="776"/>
      <c r="I166" s="776"/>
      <c r="J166" s="776"/>
      <c r="K166" s="776"/>
      <c r="L166" s="776"/>
      <c r="M166" s="128">
        <v>0</v>
      </c>
      <c r="N166" s="129">
        <v>0</v>
      </c>
      <c r="O166" s="129">
        <v>0</v>
      </c>
      <c r="P166" s="129">
        <v>0</v>
      </c>
      <c r="Q166" s="129">
        <v>0</v>
      </c>
      <c r="R166" s="129">
        <v>0</v>
      </c>
      <c r="S166" s="130">
        <v>0</v>
      </c>
      <c r="T166" s="434">
        <v>0</v>
      </c>
      <c r="U166" s="425">
        <v>0</v>
      </c>
      <c r="V166" s="129">
        <v>0</v>
      </c>
    </row>
    <row r="167" spans="2:22" s="725" customFormat="1" outlineLevel="1">
      <c r="C167" s="782" t="s">
        <v>1107</v>
      </c>
      <c r="D167" s="783"/>
      <c r="E167" s="819"/>
      <c r="F167" s="819"/>
      <c r="G167" s="776"/>
      <c r="H167" s="776"/>
      <c r="I167" s="776"/>
      <c r="J167" s="776"/>
      <c r="K167" s="776"/>
      <c r="L167" s="776"/>
      <c r="M167" s="134">
        <v>0</v>
      </c>
      <c r="N167" s="135">
        <v>0</v>
      </c>
      <c r="O167" s="135">
        <v>0</v>
      </c>
      <c r="P167" s="135">
        <v>0</v>
      </c>
      <c r="Q167" s="135">
        <v>0</v>
      </c>
      <c r="R167" s="135">
        <v>0</v>
      </c>
      <c r="S167" s="136">
        <v>0</v>
      </c>
      <c r="T167" s="438">
        <v>0</v>
      </c>
      <c r="U167" s="428">
        <v>0</v>
      </c>
      <c r="V167" s="135">
        <v>0</v>
      </c>
    </row>
    <row r="168" spans="2:22" s="725" customFormat="1" outlineLevel="1">
      <c r="C168" s="785" t="s">
        <v>669</v>
      </c>
      <c r="D168" s="776"/>
      <c r="E168" s="777"/>
      <c r="F168" s="777"/>
      <c r="G168" s="776"/>
      <c r="H168" s="776"/>
      <c r="I168" s="776"/>
      <c r="J168" s="776"/>
      <c r="K168" s="776"/>
      <c r="L168" s="776"/>
      <c r="M168" s="833">
        <f t="shared" ref="M168:V168" si="37">SUM(M163:M167)</f>
        <v>0</v>
      </c>
      <c r="N168" s="834">
        <f t="shared" si="37"/>
        <v>0</v>
      </c>
      <c r="O168" s="834">
        <f t="shared" si="37"/>
        <v>0</v>
      </c>
      <c r="P168" s="834">
        <f t="shared" si="37"/>
        <v>0</v>
      </c>
      <c r="Q168" s="834">
        <f t="shared" si="37"/>
        <v>0</v>
      </c>
      <c r="R168" s="834">
        <f t="shared" si="37"/>
        <v>0</v>
      </c>
      <c r="S168" s="835">
        <f t="shared" si="37"/>
        <v>0</v>
      </c>
      <c r="T168" s="836">
        <f t="shared" si="37"/>
        <v>0</v>
      </c>
      <c r="U168" s="837">
        <f t="shared" si="37"/>
        <v>0</v>
      </c>
      <c r="V168" s="834">
        <f t="shared" si="37"/>
        <v>0</v>
      </c>
    </row>
    <row r="169" spans="2:22" s="725" customFormat="1" outlineLevel="1">
      <c r="C169" s="789"/>
      <c r="D169" s="789"/>
      <c r="E169" s="789"/>
      <c r="F169" s="789"/>
      <c r="G169" s="789"/>
      <c r="H169" s="789"/>
      <c r="I169" s="789"/>
      <c r="J169" s="789"/>
      <c r="K169" s="789"/>
      <c r="L169" s="789"/>
      <c r="M169" s="820"/>
      <c r="N169" s="820"/>
      <c r="O169" s="820"/>
      <c r="P169" s="820"/>
      <c r="Q169" s="820"/>
      <c r="R169" s="820"/>
      <c r="S169" s="820"/>
      <c r="T169" s="821"/>
      <c r="U169" s="820"/>
      <c r="V169" s="820"/>
    </row>
    <row r="170" spans="2:22" s="725" customFormat="1" outlineLevel="1">
      <c r="C170" s="798" t="s">
        <v>670</v>
      </c>
      <c r="D170" s="799"/>
      <c r="E170" s="799"/>
      <c r="F170" s="799"/>
      <c r="G170" s="794"/>
      <c r="H170" s="794"/>
      <c r="I170" s="794"/>
      <c r="J170" s="794"/>
      <c r="K170" s="794"/>
      <c r="L170" s="795"/>
      <c r="M170" s="820"/>
      <c r="N170" s="820"/>
      <c r="O170" s="820"/>
      <c r="P170" s="820"/>
      <c r="Q170" s="820"/>
      <c r="R170" s="820"/>
      <c r="S170" s="820"/>
      <c r="T170" s="821"/>
      <c r="U170" s="820"/>
      <c r="V170" s="820"/>
    </row>
    <row r="171" spans="2:22" s="725" customFormat="1" outlineLevel="1">
      <c r="C171" s="800" t="s">
        <v>671</v>
      </c>
      <c r="D171" s="800"/>
      <c r="E171" s="800"/>
      <c r="F171" s="800"/>
      <c r="G171" s="776"/>
      <c r="H171" s="776"/>
      <c r="I171" s="776"/>
      <c r="J171" s="776"/>
      <c r="K171" s="776"/>
      <c r="L171" s="776"/>
      <c r="M171" s="871">
        <f>M155</f>
        <v>23.348105065790989</v>
      </c>
      <c r="N171" s="898">
        <f t="shared" ref="N171:V171" si="38">N155</f>
        <v>19.051271627144487</v>
      </c>
      <c r="O171" s="898">
        <f t="shared" si="38"/>
        <v>26.598578076598727</v>
      </c>
      <c r="P171" s="898">
        <f t="shared" si="38"/>
        <v>30.320852448181199</v>
      </c>
      <c r="Q171" s="898">
        <f t="shared" si="38"/>
        <v>28.786061019773058</v>
      </c>
      <c r="R171" s="898">
        <f t="shared" si="38"/>
        <v>28.333061453228396</v>
      </c>
      <c r="S171" s="899">
        <f t="shared" si="38"/>
        <v>33.407025539499642</v>
      </c>
      <c r="T171" s="900">
        <f t="shared" si="38"/>
        <v>39.195665405168853</v>
      </c>
      <c r="U171" s="874">
        <f t="shared" si="38"/>
        <v>25.728666423967013</v>
      </c>
      <c r="V171" s="898">
        <f t="shared" si="38"/>
        <v>18.566384656413035</v>
      </c>
    </row>
    <row r="172" spans="2:22" s="725" customFormat="1" outlineLevel="1">
      <c r="C172" s="800" t="s">
        <v>672</v>
      </c>
      <c r="D172" s="801"/>
      <c r="E172" s="801"/>
      <c r="F172" s="801"/>
      <c r="G172" s="776"/>
      <c r="H172" s="776"/>
      <c r="I172" s="776"/>
      <c r="J172" s="776"/>
      <c r="K172" s="776"/>
      <c r="L172" s="776"/>
      <c r="M172" s="871">
        <f>M168</f>
        <v>0</v>
      </c>
      <c r="N172" s="898">
        <f t="shared" ref="N172:V172" si="39">N168</f>
        <v>0</v>
      </c>
      <c r="O172" s="898">
        <f t="shared" si="39"/>
        <v>0</v>
      </c>
      <c r="P172" s="898">
        <f t="shared" si="39"/>
        <v>0</v>
      </c>
      <c r="Q172" s="898">
        <f t="shared" si="39"/>
        <v>0</v>
      </c>
      <c r="R172" s="898">
        <f t="shared" si="39"/>
        <v>0</v>
      </c>
      <c r="S172" s="899">
        <f t="shared" si="39"/>
        <v>0</v>
      </c>
      <c r="T172" s="900">
        <f t="shared" si="39"/>
        <v>0</v>
      </c>
      <c r="U172" s="874">
        <f t="shared" si="39"/>
        <v>0</v>
      </c>
      <c r="V172" s="898">
        <f t="shared" si="39"/>
        <v>0</v>
      </c>
    </row>
    <row r="173" spans="2:22" s="725" customFormat="1" outlineLevel="1">
      <c r="C173" s="800" t="s">
        <v>673</v>
      </c>
      <c r="D173" s="800"/>
      <c r="E173" s="800"/>
      <c r="F173" s="800"/>
      <c r="G173" s="776"/>
      <c r="H173" s="776"/>
      <c r="I173" s="776"/>
      <c r="J173" s="776"/>
      <c r="K173" s="776"/>
      <c r="L173" s="776"/>
      <c r="M173" s="833">
        <f>SUM(M171:M172)</f>
        <v>23.348105065790989</v>
      </c>
      <c r="N173" s="834">
        <f t="shared" ref="N173:V173" si="40">SUM(N171:N172)</f>
        <v>19.051271627144487</v>
      </c>
      <c r="O173" s="834">
        <f t="shared" si="40"/>
        <v>26.598578076598727</v>
      </c>
      <c r="P173" s="834">
        <f t="shared" si="40"/>
        <v>30.320852448181199</v>
      </c>
      <c r="Q173" s="834">
        <f t="shared" si="40"/>
        <v>28.786061019773058</v>
      </c>
      <c r="R173" s="834">
        <f t="shared" si="40"/>
        <v>28.333061453228396</v>
      </c>
      <c r="S173" s="835">
        <f t="shared" si="40"/>
        <v>33.407025539499642</v>
      </c>
      <c r="T173" s="836">
        <f t="shared" si="40"/>
        <v>39.195665405168853</v>
      </c>
      <c r="U173" s="837">
        <f t="shared" si="40"/>
        <v>25.728666423967013</v>
      </c>
      <c r="V173" s="834">
        <f t="shared" si="40"/>
        <v>18.566384656413035</v>
      </c>
    </row>
    <row r="174" spans="2:22" s="725" customFormat="1" outlineLevel="1">
      <c r="C174" s="824"/>
      <c r="D174" s="824"/>
      <c r="E174" s="824"/>
      <c r="F174" s="824"/>
      <c r="G174" s="789"/>
      <c r="H174" s="789"/>
      <c r="I174" s="789"/>
      <c r="J174" s="789"/>
      <c r="K174" s="789"/>
      <c r="L174" s="789"/>
      <c r="M174" s="820"/>
      <c r="N174" s="820"/>
      <c r="O174" s="820"/>
      <c r="P174" s="820"/>
      <c r="Q174" s="820"/>
      <c r="R174" s="820"/>
      <c r="S174" s="820"/>
      <c r="T174" s="821"/>
      <c r="U174" s="820"/>
      <c r="V174" s="820"/>
    </row>
    <row r="175" spans="2:22" s="725" customFormat="1" outlineLevel="1">
      <c r="B175" s="802"/>
      <c r="C175" s="803" t="s">
        <v>674</v>
      </c>
      <c r="D175" s="803"/>
      <c r="E175" s="794"/>
      <c r="F175" s="794"/>
      <c r="G175" s="794"/>
      <c r="H175" s="794"/>
      <c r="I175" s="794"/>
      <c r="J175" s="794"/>
      <c r="K175" s="794"/>
      <c r="L175" s="794"/>
      <c r="M175" s="820"/>
      <c r="N175" s="820"/>
      <c r="O175" s="820"/>
      <c r="P175" s="820"/>
      <c r="Q175" s="820"/>
      <c r="R175" s="820"/>
      <c r="S175" s="820"/>
      <c r="T175" s="821"/>
      <c r="U175" s="820"/>
      <c r="V175" s="820"/>
    </row>
    <row r="176" spans="2:22" s="725" customFormat="1" outlineLevel="1">
      <c r="B176" s="802"/>
      <c r="C176" s="776" t="s">
        <v>656</v>
      </c>
      <c r="D176" s="776"/>
      <c r="E176" s="776"/>
      <c r="F176" s="776"/>
      <c r="G176" s="776"/>
      <c r="H176" s="776"/>
      <c r="I176" s="776"/>
      <c r="J176" s="776"/>
      <c r="K176" s="776"/>
      <c r="L176" s="776"/>
      <c r="M176" s="85">
        <v>0</v>
      </c>
      <c r="N176" s="148">
        <v>0</v>
      </c>
      <c r="O176" s="148">
        <v>0</v>
      </c>
      <c r="P176" s="148">
        <v>0</v>
      </c>
      <c r="Q176" s="148">
        <v>0</v>
      </c>
      <c r="R176" s="148">
        <v>0</v>
      </c>
      <c r="S176" s="93">
        <v>0</v>
      </c>
      <c r="T176" s="441">
        <v>0</v>
      </c>
      <c r="U176" s="431">
        <v>0</v>
      </c>
      <c r="V176" s="148">
        <v>0</v>
      </c>
    </row>
    <row r="177" spans="2:24" s="725" customFormat="1" outlineLevel="1">
      <c r="B177" s="802"/>
      <c r="C177" s="776" t="s">
        <v>642</v>
      </c>
      <c r="D177" s="776"/>
      <c r="E177" s="776"/>
      <c r="F177" s="776"/>
      <c r="G177" s="776"/>
      <c r="H177" s="776"/>
      <c r="I177" s="776"/>
      <c r="J177" s="776"/>
      <c r="K177" s="776"/>
      <c r="L177" s="776"/>
      <c r="M177" s="73">
        <f>1-M176</f>
        <v>1</v>
      </c>
      <c r="N177" s="74">
        <f t="shared" ref="N177:V177" si="41">1-N176</f>
        <v>1</v>
      </c>
      <c r="O177" s="74">
        <f t="shared" si="41"/>
        <v>1</v>
      </c>
      <c r="P177" s="74">
        <f t="shared" si="41"/>
        <v>1</v>
      </c>
      <c r="Q177" s="74">
        <f t="shared" si="41"/>
        <v>1</v>
      </c>
      <c r="R177" s="74">
        <f t="shared" si="41"/>
        <v>1</v>
      </c>
      <c r="S177" s="78">
        <f t="shared" si="41"/>
        <v>1</v>
      </c>
      <c r="T177" s="440">
        <f t="shared" si="41"/>
        <v>1</v>
      </c>
      <c r="U177" s="430">
        <f t="shared" si="41"/>
        <v>1</v>
      </c>
      <c r="V177" s="74">
        <f t="shared" si="41"/>
        <v>1</v>
      </c>
    </row>
    <row r="178" spans="2:24" s="725" customFormat="1" outlineLevel="1">
      <c r="B178" s="802"/>
      <c r="T178" s="766"/>
    </row>
    <row r="179" spans="2:24" s="725" customFormat="1">
      <c r="B179" s="751"/>
      <c r="T179" s="766"/>
      <c r="X179" s="825"/>
    </row>
    <row r="180" spans="2:24" s="725" customFormat="1" ht="15.35">
      <c r="B180" s="740" t="s">
        <v>675</v>
      </c>
      <c r="C180" s="741"/>
      <c r="D180" s="741"/>
      <c r="E180" s="742"/>
      <c r="F180" s="742"/>
      <c r="G180" s="741"/>
      <c r="H180" s="741"/>
      <c r="I180" s="741"/>
      <c r="J180" s="741"/>
      <c r="K180" s="741"/>
      <c r="L180" s="741"/>
      <c r="M180" s="741"/>
      <c r="N180" s="741"/>
      <c r="O180" s="741"/>
      <c r="P180" s="741"/>
      <c r="Q180" s="741"/>
      <c r="R180" s="741"/>
      <c r="S180" s="741"/>
      <c r="T180" s="743"/>
      <c r="U180" s="741"/>
      <c r="V180" s="741"/>
    </row>
    <row r="181" spans="2:24" s="725" customFormat="1">
      <c r="B181" s="826"/>
      <c r="C181" s="751"/>
      <c r="T181" s="766"/>
    </row>
    <row r="182" spans="2:24" s="725" customFormat="1">
      <c r="B182" s="826"/>
      <c r="C182" s="724" t="s">
        <v>676</v>
      </c>
      <c r="T182" s="766"/>
    </row>
    <row r="183" spans="2:24" s="725" customFormat="1">
      <c r="B183" s="751"/>
      <c r="C183" s="725" t="s">
        <v>677</v>
      </c>
      <c r="M183" s="901">
        <v>111.08822882338443</v>
      </c>
      <c r="N183" s="901">
        <v>112.40961624743659</v>
      </c>
      <c r="O183" s="901">
        <v>155.35021224775772</v>
      </c>
      <c r="P183" s="901">
        <v>159.65799216712384</v>
      </c>
      <c r="Q183" s="901">
        <v>158.35490285345293</v>
      </c>
      <c r="R183" s="901">
        <v>158.35490285345293</v>
      </c>
      <c r="S183" s="902">
        <v>158.35490285345293</v>
      </c>
      <c r="T183" s="903">
        <v>148.70067691193424</v>
      </c>
      <c r="U183" s="904">
        <v>125.26422980446084</v>
      </c>
      <c r="V183" s="901">
        <v>106.11457434996929</v>
      </c>
    </row>
    <row r="184" spans="2:24" s="725" customFormat="1">
      <c r="B184" s="751"/>
      <c r="C184" s="725" t="s">
        <v>678</v>
      </c>
      <c r="M184" s="901">
        <v>4.3823999999999863</v>
      </c>
      <c r="N184" s="901">
        <v>12.982399999999927</v>
      </c>
      <c r="O184" s="901">
        <v>24.659921887151704</v>
      </c>
      <c r="P184" s="901">
        <v>30.7774</v>
      </c>
      <c r="Q184" s="901">
        <v>28.522400000000005</v>
      </c>
      <c r="R184" s="901">
        <v>26.327219346759001</v>
      </c>
      <c r="S184" s="902">
        <v>7.245000000000001</v>
      </c>
      <c r="T184" s="903">
        <v>7.1850000000000076</v>
      </c>
      <c r="U184" s="904">
        <v>7.1850000000000076</v>
      </c>
      <c r="V184" s="901">
        <v>3.9501297461299711</v>
      </c>
    </row>
    <row r="185" spans="2:24" s="725" customFormat="1">
      <c r="B185" s="751"/>
      <c r="C185" s="725" t="s">
        <v>679</v>
      </c>
      <c r="M185" s="901">
        <v>16.2278747935094</v>
      </c>
      <c r="N185" s="901">
        <v>18.288737493531606</v>
      </c>
      <c r="O185" s="901">
        <v>15.957140636855819</v>
      </c>
      <c r="P185" s="901">
        <v>13.409736774273782</v>
      </c>
      <c r="Q185" s="901">
        <v>12.996195947414678</v>
      </c>
      <c r="R185" s="901">
        <v>13.18379771292804</v>
      </c>
      <c r="S185" s="902">
        <v>13.187752852241916</v>
      </c>
      <c r="T185" s="903">
        <v>13.256195316743879</v>
      </c>
      <c r="U185" s="904">
        <v>13.653881176246209</v>
      </c>
      <c r="V185" s="901">
        <v>14.063497611533609</v>
      </c>
    </row>
    <row r="186" spans="2:24" s="725" customFormat="1">
      <c r="B186" s="751"/>
      <c r="C186" s="725" t="s">
        <v>680</v>
      </c>
      <c r="M186" s="901">
        <v>0</v>
      </c>
      <c r="N186" s="901">
        <v>0</v>
      </c>
      <c r="O186" s="901">
        <v>0</v>
      </c>
      <c r="P186" s="901">
        <v>0</v>
      </c>
      <c r="Q186" s="901">
        <v>0</v>
      </c>
      <c r="R186" s="901">
        <v>0</v>
      </c>
      <c r="S186" s="902">
        <v>0</v>
      </c>
      <c r="T186" s="903">
        <v>0</v>
      </c>
      <c r="U186" s="904">
        <v>0</v>
      </c>
      <c r="V186" s="901">
        <v>0</v>
      </c>
    </row>
    <row r="187" spans="2:24" s="725" customFormat="1">
      <c r="B187" s="751"/>
      <c r="C187" s="725" t="s">
        <v>681</v>
      </c>
      <c r="M187" s="901">
        <v>0</v>
      </c>
      <c r="N187" s="901">
        <v>0</v>
      </c>
      <c r="O187" s="901">
        <v>0</v>
      </c>
      <c r="P187" s="901">
        <v>0</v>
      </c>
      <c r="Q187" s="901">
        <v>0</v>
      </c>
      <c r="R187" s="901">
        <v>0</v>
      </c>
      <c r="S187" s="902">
        <v>0</v>
      </c>
      <c r="T187" s="903">
        <v>0</v>
      </c>
      <c r="U187" s="904">
        <v>0</v>
      </c>
      <c r="V187" s="901">
        <v>0</v>
      </c>
    </row>
    <row r="188" spans="2:24" s="725" customFormat="1">
      <c r="B188" s="751"/>
      <c r="C188" s="725" t="s">
        <v>682</v>
      </c>
      <c r="M188" s="901">
        <v>59.544049444111806</v>
      </c>
      <c r="N188" s="901">
        <v>127.88690236636197</v>
      </c>
      <c r="O188" s="901">
        <v>64.575907325037747</v>
      </c>
      <c r="P188" s="901">
        <v>9.4119334742828133</v>
      </c>
      <c r="Q188" s="901">
        <v>6.4249166960686521</v>
      </c>
      <c r="R188" s="901">
        <v>8.5382876848586324</v>
      </c>
      <c r="S188" s="902">
        <v>0.18000959214405465</v>
      </c>
      <c r="T188" s="903">
        <v>3.1150104061087078</v>
      </c>
      <c r="U188" s="904">
        <v>18.099809814366466</v>
      </c>
      <c r="V188" s="901">
        <v>18.642804108797442</v>
      </c>
    </row>
    <row r="189" spans="2:24" s="725" customFormat="1">
      <c r="B189" s="751"/>
      <c r="C189" s="725" t="s">
        <v>683</v>
      </c>
      <c r="M189" s="901">
        <v>0</v>
      </c>
      <c r="N189" s="901">
        <v>0</v>
      </c>
      <c r="O189" s="901">
        <v>0</v>
      </c>
      <c r="P189" s="901">
        <v>0</v>
      </c>
      <c r="Q189" s="901">
        <v>0</v>
      </c>
      <c r="R189" s="901">
        <v>0</v>
      </c>
      <c r="S189" s="902">
        <v>0</v>
      </c>
      <c r="T189" s="903">
        <v>0</v>
      </c>
      <c r="U189" s="904">
        <v>0</v>
      </c>
      <c r="V189" s="901">
        <v>0</v>
      </c>
    </row>
    <row r="190" spans="2:24" s="725" customFormat="1">
      <c r="B190" s="751"/>
      <c r="C190" s="725" t="s">
        <v>684</v>
      </c>
      <c r="M190" s="901">
        <v>0</v>
      </c>
      <c r="N190" s="901">
        <v>0</v>
      </c>
      <c r="O190" s="901">
        <v>0</v>
      </c>
      <c r="P190" s="901">
        <v>0</v>
      </c>
      <c r="Q190" s="901">
        <v>0</v>
      </c>
      <c r="R190" s="901">
        <v>0</v>
      </c>
      <c r="S190" s="902">
        <v>0</v>
      </c>
      <c r="T190" s="903">
        <v>0</v>
      </c>
      <c r="U190" s="904">
        <v>0</v>
      </c>
      <c r="V190" s="901">
        <v>0</v>
      </c>
    </row>
    <row r="191" spans="2:24" s="725" customFormat="1">
      <c r="B191" s="751"/>
      <c r="C191" s="724" t="s">
        <v>507</v>
      </c>
      <c r="E191" s="724"/>
      <c r="F191" s="724"/>
      <c r="G191" s="724"/>
      <c r="H191" s="724"/>
      <c r="I191" s="724"/>
      <c r="J191" s="724"/>
      <c r="K191" s="724"/>
      <c r="L191" s="724"/>
      <c r="M191" s="905">
        <f>SUM(M183:M190)</f>
        <v>191.24255306100562</v>
      </c>
      <c r="N191" s="905">
        <f t="shared" ref="N191:V191" si="42">SUM(N183:N190)</f>
        <v>271.56765610733009</v>
      </c>
      <c r="O191" s="905">
        <f t="shared" si="42"/>
        <v>260.54318209680298</v>
      </c>
      <c r="P191" s="905">
        <f t="shared" si="42"/>
        <v>213.25706241568042</v>
      </c>
      <c r="Q191" s="905">
        <f t="shared" si="42"/>
        <v>206.29841549693629</v>
      </c>
      <c r="R191" s="905">
        <f t="shared" si="42"/>
        <v>206.40420759799861</v>
      </c>
      <c r="S191" s="906">
        <f t="shared" si="42"/>
        <v>178.96766529783889</v>
      </c>
      <c r="T191" s="907">
        <f t="shared" si="42"/>
        <v>172.25688263478682</v>
      </c>
      <c r="U191" s="908">
        <f t="shared" si="42"/>
        <v>164.20292079507354</v>
      </c>
      <c r="V191" s="905">
        <f t="shared" si="42"/>
        <v>142.77100581643032</v>
      </c>
    </row>
    <row r="192" spans="2:24" s="725" customFormat="1">
      <c r="B192" s="751"/>
      <c r="T192" s="766"/>
    </row>
    <row r="193" spans="2:22" s="725" customFormat="1">
      <c r="B193" s="826"/>
      <c r="C193" s="724" t="s">
        <v>685</v>
      </c>
      <c r="T193" s="766"/>
    </row>
    <row r="194" spans="2:22" s="725" customFormat="1">
      <c r="B194" s="751"/>
      <c r="C194" s="725" t="s">
        <v>677</v>
      </c>
      <c r="M194" s="901">
        <v>-1.9562452597196707</v>
      </c>
      <c r="N194" s="901">
        <v>-7.5979875374986108</v>
      </c>
      <c r="O194" s="901">
        <v>-20.351732176407836</v>
      </c>
      <c r="P194" s="901">
        <v>-26.571005059127454</v>
      </c>
      <c r="Q194" s="901">
        <v>-28.87545272250026</v>
      </c>
      <c r="R194" s="901">
        <v>-28.87545272250026</v>
      </c>
      <c r="S194" s="902">
        <v>-28.808995360959162</v>
      </c>
      <c r="T194" s="903">
        <v>-23.477244788187544</v>
      </c>
      <c r="U194" s="904">
        <v>-11.313579545548635</v>
      </c>
      <c r="V194" s="901">
        <v>-14.155198151128168</v>
      </c>
    </row>
    <row r="195" spans="2:22" s="725" customFormat="1">
      <c r="B195" s="751"/>
      <c r="C195" s="725" t="s">
        <v>678</v>
      </c>
      <c r="M195" s="901">
        <v>-1.6664000000000456</v>
      </c>
      <c r="N195" s="901">
        <v>-10.266399999999988</v>
      </c>
      <c r="O195" s="901">
        <v>-3.0493847614631626</v>
      </c>
      <c r="P195" s="901">
        <v>2.3898584799999751</v>
      </c>
      <c r="Q195" s="901">
        <v>2.7005564799999711</v>
      </c>
      <c r="R195" s="901">
        <v>3.3153117444576541</v>
      </c>
      <c r="S195" s="902">
        <v>18.558902480000015</v>
      </c>
      <c r="T195" s="903">
        <v>18.429214480000027</v>
      </c>
      <c r="U195" s="904">
        <v>4.7175372704365515</v>
      </c>
      <c r="V195" s="901">
        <v>0</v>
      </c>
    </row>
    <row r="196" spans="2:22" s="725" customFormat="1">
      <c r="B196" s="751"/>
      <c r="C196" s="725" t="s">
        <v>679</v>
      </c>
      <c r="M196" s="901">
        <v>-8.3604402377386684</v>
      </c>
      <c r="N196" s="901">
        <v>-9.4814813272182619</v>
      </c>
      <c r="O196" s="901">
        <v>-9.9639816085791963</v>
      </c>
      <c r="P196" s="901">
        <v>-10.087805604972322</v>
      </c>
      <c r="Q196" s="901">
        <v>-10.230334739463817</v>
      </c>
      <c r="R196" s="901">
        <v>-10.078171481370561</v>
      </c>
      <c r="S196" s="902">
        <v>0</v>
      </c>
      <c r="T196" s="903">
        <v>0</v>
      </c>
      <c r="U196" s="904">
        <v>0</v>
      </c>
      <c r="V196" s="901">
        <v>0</v>
      </c>
    </row>
    <row r="197" spans="2:22" s="725" customFormat="1">
      <c r="B197" s="751"/>
      <c r="C197" s="725" t="s">
        <v>680</v>
      </c>
      <c r="M197" s="901">
        <v>-3.113400941462011</v>
      </c>
      <c r="N197" s="901">
        <v>-4.9891226283087606</v>
      </c>
      <c r="O197" s="901">
        <v>-5.125107472621357</v>
      </c>
      <c r="P197" s="901">
        <v>-5.1436619179563987</v>
      </c>
      <c r="Q197" s="901">
        <v>-5.1627696993480958</v>
      </c>
      <c r="R197" s="901">
        <v>-5.1720439635295863</v>
      </c>
      <c r="S197" s="902">
        <v>-5.1670360833692328</v>
      </c>
      <c r="T197" s="903">
        <v>-4.4745049277613074</v>
      </c>
      <c r="U197" s="904">
        <v>-4.0911400893128338</v>
      </c>
      <c r="V197" s="901">
        <v>-4.1436594000916305</v>
      </c>
    </row>
    <row r="198" spans="2:22" s="725" customFormat="1">
      <c r="B198" s="751"/>
      <c r="C198" s="725" t="s">
        <v>681</v>
      </c>
      <c r="M198" s="901">
        <v>0</v>
      </c>
      <c r="N198" s="901">
        <v>0</v>
      </c>
      <c r="O198" s="901">
        <v>0</v>
      </c>
      <c r="P198" s="901">
        <v>0</v>
      </c>
      <c r="Q198" s="901">
        <v>0</v>
      </c>
      <c r="R198" s="901">
        <v>0</v>
      </c>
      <c r="S198" s="902">
        <v>0</v>
      </c>
      <c r="T198" s="903">
        <v>0</v>
      </c>
      <c r="U198" s="904">
        <v>0</v>
      </c>
      <c r="V198" s="901">
        <v>0</v>
      </c>
    </row>
    <row r="199" spans="2:22" s="725" customFormat="1">
      <c r="B199" s="751"/>
      <c r="C199" s="725" t="s">
        <v>682</v>
      </c>
      <c r="M199" s="901">
        <v>34.593785099213726</v>
      </c>
      <c r="N199" s="901">
        <v>63.796330962186467</v>
      </c>
      <c r="O199" s="901">
        <v>27.458179658106477</v>
      </c>
      <c r="P199" s="901">
        <v>7.0465897540147822</v>
      </c>
      <c r="Q199" s="901">
        <v>8.1110638326329099</v>
      </c>
      <c r="R199" s="901">
        <v>4.260221860058973</v>
      </c>
      <c r="S199" s="902">
        <v>0</v>
      </c>
      <c r="T199" s="903">
        <v>0</v>
      </c>
      <c r="U199" s="904">
        <v>0</v>
      </c>
      <c r="V199" s="901">
        <v>0</v>
      </c>
    </row>
    <row r="200" spans="2:22" s="725" customFormat="1">
      <c r="B200" s="751"/>
      <c r="C200" s="725" t="s">
        <v>683</v>
      </c>
      <c r="M200" s="901">
        <v>51.666926154564642</v>
      </c>
      <c r="N200" s="901">
        <v>96.600254915410574</v>
      </c>
      <c r="O200" s="901">
        <v>31.297473620125306</v>
      </c>
      <c r="P200" s="901">
        <v>4.2703822352042096</v>
      </c>
      <c r="Q200" s="901">
        <v>4.3977348142641199</v>
      </c>
      <c r="R200" s="901">
        <v>2.1345102098216309</v>
      </c>
      <c r="S200" s="902">
        <v>0.23607786151848509</v>
      </c>
      <c r="T200" s="903">
        <v>11.513307520394578</v>
      </c>
      <c r="U200" s="904">
        <v>16.844820647083196</v>
      </c>
      <c r="V200" s="901">
        <v>16.349039840891901</v>
      </c>
    </row>
    <row r="201" spans="2:22" s="725" customFormat="1">
      <c r="B201" s="751"/>
      <c r="C201" s="725" t="s">
        <v>684</v>
      </c>
      <c r="M201" s="901">
        <v>0</v>
      </c>
      <c r="N201" s="901">
        <v>0</v>
      </c>
      <c r="O201" s="901">
        <v>0</v>
      </c>
      <c r="P201" s="901">
        <v>0</v>
      </c>
      <c r="Q201" s="901">
        <v>0</v>
      </c>
      <c r="R201" s="901">
        <v>0</v>
      </c>
      <c r="S201" s="902">
        <v>0</v>
      </c>
      <c r="T201" s="903">
        <v>0</v>
      </c>
      <c r="U201" s="904">
        <v>0</v>
      </c>
      <c r="V201" s="901">
        <v>0</v>
      </c>
    </row>
    <row r="202" spans="2:22" s="725" customFormat="1">
      <c r="B202" s="751"/>
      <c r="C202" s="724" t="s">
        <v>507</v>
      </c>
      <c r="E202" s="724"/>
      <c r="F202" s="724"/>
      <c r="G202" s="724"/>
      <c r="H202" s="724"/>
      <c r="I202" s="724"/>
      <c r="J202" s="724"/>
      <c r="K202" s="724"/>
      <c r="L202" s="724"/>
      <c r="M202" s="905">
        <f>SUM(M194:M201)</f>
        <v>71.164224814857974</v>
      </c>
      <c r="N202" s="905">
        <f t="shared" ref="N202:V202" si="43">SUM(N194:N201)</f>
        <v>128.06159438457141</v>
      </c>
      <c r="O202" s="905">
        <f t="shared" si="43"/>
        <v>20.265447259160226</v>
      </c>
      <c r="P202" s="905">
        <f t="shared" si="43"/>
        <v>-28.095642112837211</v>
      </c>
      <c r="Q202" s="905">
        <f t="shared" si="43"/>
        <v>-29.059202034415179</v>
      </c>
      <c r="R202" s="905">
        <f t="shared" si="43"/>
        <v>-34.415624353062157</v>
      </c>
      <c r="S202" s="906">
        <f t="shared" si="43"/>
        <v>-15.181051102809896</v>
      </c>
      <c r="T202" s="907">
        <f t="shared" si="43"/>
        <v>1.9907722844457538</v>
      </c>
      <c r="U202" s="908">
        <f t="shared" si="43"/>
        <v>6.1576382826582794</v>
      </c>
      <c r="V202" s="905">
        <f t="shared" si="43"/>
        <v>-1.9498177103278955</v>
      </c>
    </row>
    <row r="203" spans="2:22" s="725" customFormat="1">
      <c r="B203" s="751"/>
      <c r="C203" s="724"/>
      <c r="T203" s="766"/>
    </row>
    <row r="204" spans="2:22" s="725" customFormat="1">
      <c r="B204" s="826"/>
      <c r="C204" s="724" t="s">
        <v>686</v>
      </c>
      <c r="T204" s="766"/>
    </row>
    <row r="205" spans="2:22" s="725" customFormat="1">
      <c r="B205" s="751"/>
      <c r="C205" s="725" t="s">
        <v>677</v>
      </c>
      <c r="M205" s="901">
        <f>SUM(M183, M194)</f>
        <v>109.13198356366476</v>
      </c>
      <c r="N205" s="901">
        <f t="shared" ref="N205:V212" si="44">SUM(N183, N194)</f>
        <v>104.81162870993798</v>
      </c>
      <c r="O205" s="901">
        <f t="shared" si="44"/>
        <v>134.99848007134989</v>
      </c>
      <c r="P205" s="901">
        <f t="shared" si="44"/>
        <v>133.08698710799638</v>
      </c>
      <c r="Q205" s="901">
        <f t="shared" si="44"/>
        <v>129.47945013095267</v>
      </c>
      <c r="R205" s="901">
        <f t="shared" si="44"/>
        <v>129.47945013095267</v>
      </c>
      <c r="S205" s="902">
        <f t="shared" si="44"/>
        <v>129.54590749249377</v>
      </c>
      <c r="T205" s="903">
        <f t="shared" si="44"/>
        <v>125.22343212374669</v>
      </c>
      <c r="U205" s="904">
        <f t="shared" si="44"/>
        <v>113.95065025891221</v>
      </c>
      <c r="V205" s="901">
        <f t="shared" si="44"/>
        <v>91.959376198841113</v>
      </c>
    </row>
    <row r="206" spans="2:22" s="725" customFormat="1">
      <c r="B206" s="751"/>
      <c r="C206" s="725" t="s">
        <v>678</v>
      </c>
      <c r="M206" s="901">
        <f t="shared" ref="M206:M212" si="45">SUM(M184, M195)</f>
        <v>2.7159999999999407</v>
      </c>
      <c r="N206" s="901">
        <f t="shared" si="44"/>
        <v>2.7159999999999389</v>
      </c>
      <c r="O206" s="901">
        <f t="shared" si="44"/>
        <v>21.610537125688541</v>
      </c>
      <c r="P206" s="901">
        <f t="shared" si="44"/>
        <v>33.167258479999973</v>
      </c>
      <c r="Q206" s="901">
        <f t="shared" si="44"/>
        <v>31.222956479999976</v>
      </c>
      <c r="R206" s="901">
        <f t="shared" si="44"/>
        <v>29.642531091216654</v>
      </c>
      <c r="S206" s="902">
        <f t="shared" si="44"/>
        <v>25.803902480000016</v>
      </c>
      <c r="T206" s="903">
        <f t="shared" si="44"/>
        <v>25.614214480000037</v>
      </c>
      <c r="U206" s="904">
        <f t="shared" si="44"/>
        <v>11.902537270436559</v>
      </c>
      <c r="V206" s="901">
        <f t="shared" si="44"/>
        <v>3.9501297461299711</v>
      </c>
    </row>
    <row r="207" spans="2:22" s="725" customFormat="1">
      <c r="B207" s="751"/>
      <c r="C207" s="725" t="s">
        <v>679</v>
      </c>
      <c r="M207" s="901">
        <f t="shared" si="45"/>
        <v>7.8674345557707319</v>
      </c>
      <c r="N207" s="901">
        <f t="shared" si="44"/>
        <v>8.8072561663133442</v>
      </c>
      <c r="O207" s="901">
        <f t="shared" si="44"/>
        <v>5.9931590282766223</v>
      </c>
      <c r="P207" s="901">
        <f t="shared" si="44"/>
        <v>3.3219311693014593</v>
      </c>
      <c r="Q207" s="901">
        <f t="shared" si="44"/>
        <v>2.7658612079508611</v>
      </c>
      <c r="R207" s="901">
        <f t="shared" si="44"/>
        <v>3.1056262315574799</v>
      </c>
      <c r="S207" s="902">
        <f t="shared" si="44"/>
        <v>13.187752852241916</v>
      </c>
      <c r="T207" s="903">
        <f t="shared" si="44"/>
        <v>13.256195316743879</v>
      </c>
      <c r="U207" s="904">
        <f t="shared" si="44"/>
        <v>13.653881176246209</v>
      </c>
      <c r="V207" s="901">
        <f t="shared" si="44"/>
        <v>14.063497611533609</v>
      </c>
    </row>
    <row r="208" spans="2:22" s="725" customFormat="1">
      <c r="B208" s="751"/>
      <c r="C208" s="725" t="s">
        <v>680</v>
      </c>
      <c r="M208" s="901">
        <f t="shared" si="45"/>
        <v>-3.113400941462011</v>
      </c>
      <c r="N208" s="901">
        <f t="shared" si="44"/>
        <v>-4.9891226283087606</v>
      </c>
      <c r="O208" s="901">
        <f t="shared" si="44"/>
        <v>-5.125107472621357</v>
      </c>
      <c r="P208" s="901">
        <f t="shared" si="44"/>
        <v>-5.1436619179563987</v>
      </c>
      <c r="Q208" s="901">
        <f t="shared" si="44"/>
        <v>-5.1627696993480958</v>
      </c>
      <c r="R208" s="901">
        <f t="shared" si="44"/>
        <v>-5.1720439635295863</v>
      </c>
      <c r="S208" s="902">
        <f t="shared" si="44"/>
        <v>-5.1670360833692328</v>
      </c>
      <c r="T208" s="903">
        <f t="shared" si="44"/>
        <v>-4.4745049277613074</v>
      </c>
      <c r="U208" s="904">
        <f t="shared" si="44"/>
        <v>-4.0911400893128338</v>
      </c>
      <c r="V208" s="901">
        <f t="shared" si="44"/>
        <v>-4.1436594000916305</v>
      </c>
    </row>
    <row r="209" spans="1:31" s="725" customFormat="1">
      <c r="B209" s="751"/>
      <c r="C209" s="725" t="s">
        <v>681</v>
      </c>
      <c r="M209" s="901">
        <f t="shared" si="45"/>
        <v>0</v>
      </c>
      <c r="N209" s="901">
        <f t="shared" si="44"/>
        <v>0</v>
      </c>
      <c r="O209" s="901">
        <f t="shared" si="44"/>
        <v>0</v>
      </c>
      <c r="P209" s="901">
        <f t="shared" si="44"/>
        <v>0</v>
      </c>
      <c r="Q209" s="901">
        <f t="shared" si="44"/>
        <v>0</v>
      </c>
      <c r="R209" s="901">
        <f t="shared" si="44"/>
        <v>0</v>
      </c>
      <c r="S209" s="902">
        <f t="shared" si="44"/>
        <v>0</v>
      </c>
      <c r="T209" s="903">
        <f t="shared" si="44"/>
        <v>0</v>
      </c>
      <c r="U209" s="904">
        <f t="shared" si="44"/>
        <v>0</v>
      </c>
      <c r="V209" s="901">
        <f t="shared" si="44"/>
        <v>0</v>
      </c>
    </row>
    <row r="210" spans="1:31" s="725" customFormat="1">
      <c r="B210" s="751"/>
      <c r="C210" s="725" t="s">
        <v>682</v>
      </c>
      <c r="M210" s="901">
        <f t="shared" si="45"/>
        <v>94.137834543325539</v>
      </c>
      <c r="N210" s="901">
        <f t="shared" si="44"/>
        <v>191.68323332854843</v>
      </c>
      <c r="O210" s="901">
        <f t="shared" si="44"/>
        <v>92.034086983144221</v>
      </c>
      <c r="P210" s="901">
        <f t="shared" si="44"/>
        <v>16.458523228297594</v>
      </c>
      <c r="Q210" s="901">
        <f t="shared" si="44"/>
        <v>14.535980528701561</v>
      </c>
      <c r="R210" s="901">
        <f t="shared" si="44"/>
        <v>12.798509544917605</v>
      </c>
      <c r="S210" s="902">
        <f t="shared" si="44"/>
        <v>0.18000959214405465</v>
      </c>
      <c r="T210" s="903">
        <f t="shared" si="44"/>
        <v>3.1150104061087078</v>
      </c>
      <c r="U210" s="904">
        <f t="shared" si="44"/>
        <v>18.099809814366466</v>
      </c>
      <c r="V210" s="901">
        <f t="shared" si="44"/>
        <v>18.642804108797442</v>
      </c>
    </row>
    <row r="211" spans="1:31" s="725" customFormat="1">
      <c r="B211" s="751"/>
      <c r="C211" s="725" t="s">
        <v>683</v>
      </c>
      <c r="M211" s="901">
        <f t="shared" si="45"/>
        <v>51.666926154564642</v>
      </c>
      <c r="N211" s="901">
        <f t="shared" si="44"/>
        <v>96.600254915410574</v>
      </c>
      <c r="O211" s="901">
        <f t="shared" si="44"/>
        <v>31.297473620125306</v>
      </c>
      <c r="P211" s="901">
        <f t="shared" si="44"/>
        <v>4.2703822352042096</v>
      </c>
      <c r="Q211" s="901">
        <f t="shared" si="44"/>
        <v>4.3977348142641199</v>
      </c>
      <c r="R211" s="901">
        <f t="shared" si="44"/>
        <v>2.1345102098216309</v>
      </c>
      <c r="S211" s="902">
        <f t="shared" si="44"/>
        <v>0.23607786151848509</v>
      </c>
      <c r="T211" s="903">
        <f t="shared" si="44"/>
        <v>11.513307520394578</v>
      </c>
      <c r="U211" s="904">
        <f t="shared" si="44"/>
        <v>16.844820647083196</v>
      </c>
      <c r="V211" s="901">
        <f t="shared" si="44"/>
        <v>16.349039840891901</v>
      </c>
    </row>
    <row r="212" spans="1:31" s="725" customFormat="1">
      <c r="B212" s="751"/>
      <c r="C212" s="725" t="s">
        <v>684</v>
      </c>
      <c r="M212" s="901">
        <f t="shared" si="45"/>
        <v>0</v>
      </c>
      <c r="N212" s="901">
        <f t="shared" si="44"/>
        <v>0</v>
      </c>
      <c r="O212" s="901">
        <f t="shared" si="44"/>
        <v>0</v>
      </c>
      <c r="P212" s="901">
        <f t="shared" si="44"/>
        <v>0</v>
      </c>
      <c r="Q212" s="901">
        <f t="shared" si="44"/>
        <v>0</v>
      </c>
      <c r="R212" s="901">
        <f t="shared" si="44"/>
        <v>0</v>
      </c>
      <c r="S212" s="902">
        <f t="shared" si="44"/>
        <v>0</v>
      </c>
      <c r="T212" s="903">
        <f t="shared" si="44"/>
        <v>0</v>
      </c>
      <c r="U212" s="904">
        <f t="shared" si="44"/>
        <v>0</v>
      </c>
      <c r="V212" s="901">
        <f t="shared" si="44"/>
        <v>0</v>
      </c>
    </row>
    <row r="213" spans="1:31" s="725" customFormat="1">
      <c r="B213" s="751"/>
      <c r="C213" s="724" t="s">
        <v>507</v>
      </c>
      <c r="E213" s="724"/>
      <c r="F213" s="724"/>
      <c r="G213" s="724"/>
      <c r="H213" s="724"/>
      <c r="I213" s="724"/>
      <c r="J213" s="724"/>
      <c r="K213" s="724"/>
      <c r="L213" s="724"/>
      <c r="M213" s="905">
        <f>SUM(M205:M212)</f>
        <v>262.40677787586361</v>
      </c>
      <c r="N213" s="905">
        <f t="shared" ref="N213:V213" si="46">SUM(N205:N212)</f>
        <v>399.62925049190153</v>
      </c>
      <c r="O213" s="905">
        <f t="shared" si="46"/>
        <v>280.80862935596326</v>
      </c>
      <c r="P213" s="905">
        <f t="shared" si="46"/>
        <v>185.16142030284323</v>
      </c>
      <c r="Q213" s="905">
        <f t="shared" si="46"/>
        <v>177.23921346252106</v>
      </c>
      <c r="R213" s="905">
        <f t="shared" si="46"/>
        <v>171.98858324493648</v>
      </c>
      <c r="S213" s="906">
        <f t="shared" si="46"/>
        <v>163.78661419502899</v>
      </c>
      <c r="T213" s="907">
        <f t="shared" si="46"/>
        <v>174.24765491923259</v>
      </c>
      <c r="U213" s="908">
        <f t="shared" si="46"/>
        <v>170.36055907773181</v>
      </c>
      <c r="V213" s="905">
        <f t="shared" si="46"/>
        <v>140.8211881061024</v>
      </c>
    </row>
    <row r="214" spans="1:31" s="725" customFormat="1">
      <c r="B214" s="751"/>
      <c r="C214" s="751"/>
      <c r="D214" s="724"/>
      <c r="T214" s="766"/>
    </row>
    <row r="215" spans="1:31" s="832" customFormat="1" ht="15" customHeight="1">
      <c r="A215" s="827"/>
      <c r="B215" s="828" t="s">
        <v>687</v>
      </c>
      <c r="C215" s="828"/>
      <c r="D215" s="828"/>
      <c r="E215" s="828"/>
      <c r="F215" s="828"/>
      <c r="G215" s="828"/>
      <c r="H215" s="828"/>
      <c r="I215" s="828"/>
      <c r="J215" s="828"/>
      <c r="K215" s="828"/>
      <c r="L215" s="828"/>
      <c r="M215" s="828"/>
      <c r="N215" s="828"/>
      <c r="O215" s="828"/>
      <c r="P215" s="828"/>
      <c r="Q215" s="828"/>
      <c r="R215" s="828"/>
      <c r="S215" s="828"/>
      <c r="T215" s="829"/>
      <c r="U215" s="828"/>
      <c r="V215" s="828"/>
      <c r="W215" s="830"/>
      <c r="X215" s="831"/>
      <c r="Y215" s="831"/>
      <c r="Z215" s="831"/>
      <c r="AA215" s="831"/>
      <c r="AB215" s="831"/>
      <c r="AC215" s="831"/>
      <c r="AD215" s="831"/>
      <c r="AE215" s="831"/>
    </row>
    <row r="216" spans="1:31" s="725" customFormat="1"/>
    <row r="217" spans="1:31" s="725" customFormat="1"/>
  </sheetData>
  <sheetProtection insertRows="0" sort="0" autoFilter="0" pivotTables="0"/>
  <mergeCells count="2">
    <mergeCell ref="M7:Q7"/>
    <mergeCell ref="R7:V7"/>
  </mergeCells>
  <conditionalFormatting sqref="M9:U9">
    <cfRule type="expression" dxfId="33" priority="3">
      <formula>AND(M$8="Actuals",N$8="Forecast")</formula>
    </cfRule>
  </conditionalFormatting>
  <conditionalFormatting sqref="M22:V22">
    <cfRule type="expression" dxfId="32" priority="1">
      <formula>M22&lt;&gt;"OK"</formula>
    </cfRule>
  </conditionalFormatting>
  <conditionalFormatting sqref="M95:V95">
    <cfRule type="cellIs" priority="6" stopIfTrue="1" operator="greaterThanOrEqual">
      <formula>0</formula>
    </cfRule>
  </conditionalFormatting>
  <conditionalFormatting sqref="M129:V129">
    <cfRule type="cellIs" priority="7" stopIfTrue="1" operator="greaterThanOrEqual">
      <formula>0</formula>
    </cfRule>
  </conditionalFormatting>
  <conditionalFormatting sqref="M176:V176">
    <cfRule type="cellIs" priority="5" stopIfTrue="1" operator="greaterThanOrEqual">
      <formula>0</formula>
    </cfRule>
  </conditionalFormatting>
  <conditionalFormatting sqref="U9">
    <cfRule type="expression" dxfId="31" priority="4">
      <formula>AND(U$5="Actuals",V$5="Forecast")</formula>
    </cfRule>
  </conditionalFormatting>
  <conditionalFormatting sqref="V9">
    <cfRule type="expression" dxfId="30" priority="8">
      <formula>AND(V$5="Actuals",#REF!="Forecast")</formula>
    </cfRule>
    <cfRule type="expression" dxfId="29"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Normal="100" workbookViewId="0"/>
  </sheetViews>
  <sheetFormatPr defaultColWidth="0" defaultRowHeight="12.35" zeroHeight="1"/>
  <cols>
    <col min="1" max="1" width="8.3671875" style="166" customWidth="1"/>
    <col min="2" max="2" width="85.734375" style="166" bestFit="1" customWidth="1"/>
    <col min="3" max="3" width="14.1015625" style="166" customWidth="1"/>
    <col min="4" max="8" width="11.1015625" style="166" customWidth="1"/>
    <col min="9" max="9" width="5" style="166" customWidth="1"/>
    <col min="10" max="10" width="12.89453125" style="166" customWidth="1"/>
    <col min="11" max="23" width="9.26171875" style="166" customWidth="1"/>
    <col min="24" max="16384" width="9" style="166" hidden="1"/>
  </cols>
  <sheetData>
    <row r="1" spans="1:23" ht="20.350000000000001">
      <c r="A1" s="449" t="s">
        <v>256</v>
      </c>
      <c r="B1" s="451"/>
      <c r="C1" s="452"/>
      <c r="D1" s="452"/>
      <c r="E1" s="452"/>
      <c r="F1" s="452"/>
      <c r="G1" s="452"/>
      <c r="H1" s="452"/>
      <c r="I1" s="574"/>
    </row>
    <row r="2" spans="1:23" ht="20.350000000000001">
      <c r="A2" s="454" t="str">
        <f>Licensee</f>
        <v>Cadent-WM</v>
      </c>
      <c r="B2" s="456"/>
      <c r="C2" s="457"/>
      <c r="D2" s="457"/>
      <c r="E2" s="457"/>
      <c r="F2" s="457"/>
      <c r="G2" s="457"/>
      <c r="H2" s="457"/>
      <c r="I2" s="459"/>
    </row>
    <row r="3" spans="1:23" ht="20.350000000000001">
      <c r="A3" s="674">
        <f>Reporting_Year</f>
        <v>2023</v>
      </c>
      <c r="B3" s="675" t="str">
        <f>'R5 - Financing'!B3</f>
        <v/>
      </c>
      <c r="C3" s="460"/>
      <c r="D3" s="460"/>
      <c r="E3" s="460"/>
      <c r="F3" s="460"/>
      <c r="G3" s="460"/>
      <c r="H3" s="460"/>
      <c r="I3" s="462"/>
    </row>
    <row r="4" spans="1:23" ht="12.75" customHeight="1">
      <c r="A4" s="676"/>
      <c r="B4" s="676"/>
      <c r="C4" s="676"/>
      <c r="D4" s="676"/>
      <c r="E4" s="676"/>
      <c r="F4" s="676"/>
      <c r="G4" s="676"/>
      <c r="H4" s="676"/>
      <c r="I4" s="677"/>
    </row>
    <row r="5" spans="1:23">
      <c r="A5" s="464"/>
      <c r="B5" s="598"/>
      <c r="C5" s="598"/>
      <c r="D5" s="463" t="str">
        <f t="shared" ref="D5:H5" si="0">IF(D6&lt;=Reporting_Year,"Actuals","Forecast")</f>
        <v>Actuals</v>
      </c>
      <c r="E5" s="463" t="str">
        <f t="shared" si="0"/>
        <v>Actuals</v>
      </c>
      <c r="F5" s="463" t="str">
        <f t="shared" si="0"/>
        <v>Forecast</v>
      </c>
      <c r="G5" s="463" t="str">
        <f t="shared" si="0"/>
        <v>Forecast</v>
      </c>
      <c r="H5" s="463" t="str">
        <f t="shared" si="0"/>
        <v>Forecast</v>
      </c>
      <c r="I5" s="464"/>
      <c r="J5" s="464"/>
      <c r="K5" s="464"/>
      <c r="L5" s="464"/>
      <c r="M5" s="464"/>
      <c r="N5" s="464"/>
      <c r="O5" s="464"/>
      <c r="P5" s="464"/>
      <c r="Q5" s="464"/>
      <c r="R5" s="464"/>
      <c r="S5" s="464"/>
      <c r="T5" s="464"/>
      <c r="U5" s="464"/>
      <c r="V5" s="464"/>
      <c r="W5" s="464"/>
    </row>
    <row r="6" spans="1:23">
      <c r="A6" s="464"/>
      <c r="B6" s="464"/>
      <c r="C6" s="464"/>
      <c r="D6" s="575">
        <f>'RFPR cover'!$C$6</f>
        <v>2022</v>
      </c>
      <c r="E6" s="576">
        <f>D6+1</f>
        <v>2023</v>
      </c>
      <c r="F6" s="576">
        <f t="shared" ref="F6:H6" si="1">E6+1</f>
        <v>2024</v>
      </c>
      <c r="G6" s="576">
        <f t="shared" si="1"/>
        <v>2025</v>
      </c>
      <c r="H6" s="576">
        <f t="shared" si="1"/>
        <v>2026</v>
      </c>
      <c r="I6" s="464"/>
      <c r="J6" s="464"/>
      <c r="K6" s="464"/>
      <c r="L6" s="464"/>
      <c r="M6" s="464"/>
      <c r="N6" s="464"/>
      <c r="O6" s="464"/>
      <c r="P6" s="464"/>
      <c r="Q6" s="464"/>
      <c r="R6" s="464"/>
      <c r="S6" s="464"/>
      <c r="T6" s="464"/>
      <c r="U6" s="464"/>
      <c r="V6" s="464"/>
      <c r="W6" s="464"/>
    </row>
    <row r="7" spans="1:23">
      <c r="A7" s="464"/>
      <c r="B7" s="464"/>
      <c r="C7" s="464"/>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464"/>
      <c r="J7" s="464"/>
      <c r="K7" s="464"/>
      <c r="L7" s="464"/>
      <c r="M7" s="464"/>
      <c r="N7" s="464"/>
      <c r="O7" s="464"/>
      <c r="P7" s="464"/>
      <c r="Q7" s="464"/>
      <c r="R7" s="464"/>
      <c r="S7" s="464"/>
      <c r="T7" s="464"/>
      <c r="U7" s="464"/>
      <c r="V7" s="464"/>
      <c r="W7" s="464"/>
    </row>
    <row r="8" spans="1:23">
      <c r="A8" s="464"/>
      <c r="B8" s="464"/>
      <c r="C8" s="464"/>
      <c r="D8" s="464"/>
      <c r="E8" s="464"/>
      <c r="F8" s="464"/>
      <c r="G8" s="464"/>
      <c r="H8" s="464"/>
      <c r="I8" s="464"/>
      <c r="J8" s="464"/>
      <c r="K8" s="464"/>
      <c r="L8" s="464"/>
      <c r="M8" s="464"/>
      <c r="N8" s="464"/>
      <c r="O8" s="464"/>
      <c r="P8" s="464"/>
      <c r="Q8" s="464"/>
      <c r="R8" s="464"/>
      <c r="S8" s="464"/>
      <c r="T8" s="464"/>
      <c r="U8" s="464"/>
      <c r="V8" s="464"/>
      <c r="W8" s="464"/>
    </row>
    <row r="9" spans="1:23">
      <c r="A9" s="464"/>
      <c r="B9" s="123" t="s">
        <v>688</v>
      </c>
      <c r="C9" s="30" t="s">
        <v>425</v>
      </c>
      <c r="D9" s="909">
        <v>-826.13110988999938</v>
      </c>
      <c r="E9" s="916">
        <f>D11</f>
        <v>-92</v>
      </c>
      <c r="F9" s="916">
        <f t="shared" ref="F9:H9" si="2">E11</f>
        <v>-544</v>
      </c>
      <c r="G9" s="916">
        <f t="shared" si="2"/>
        <v>-339.2</v>
      </c>
      <c r="H9" s="916">
        <f t="shared" si="2"/>
        <v>-583.18444406951801</v>
      </c>
      <c r="I9" s="464"/>
      <c r="J9" s="464"/>
      <c r="K9" s="464"/>
      <c r="L9" s="464"/>
      <c r="M9" s="464"/>
      <c r="N9" s="464"/>
      <c r="O9" s="464"/>
      <c r="P9" s="464"/>
      <c r="Q9" s="464"/>
      <c r="R9" s="464"/>
      <c r="S9" s="464"/>
      <c r="T9" s="464"/>
      <c r="U9" s="464"/>
      <c r="V9" s="464"/>
      <c r="W9" s="464"/>
    </row>
    <row r="10" spans="1:23">
      <c r="A10" s="464"/>
      <c r="B10" s="123"/>
      <c r="C10" s="464"/>
      <c r="D10" s="464"/>
      <c r="E10" s="464"/>
      <c r="F10" s="464"/>
      <c r="G10" s="464"/>
      <c r="H10" s="464"/>
      <c r="I10" s="464"/>
      <c r="J10" s="464"/>
      <c r="K10" s="464"/>
      <c r="L10" s="464"/>
      <c r="M10" s="464"/>
      <c r="N10" s="464"/>
      <c r="O10" s="464"/>
      <c r="P10" s="464"/>
      <c r="Q10" s="464"/>
      <c r="R10" s="464"/>
      <c r="S10" s="464"/>
      <c r="T10" s="464"/>
      <c r="U10" s="464"/>
      <c r="V10" s="464"/>
      <c r="W10" s="464"/>
    </row>
    <row r="11" spans="1:23">
      <c r="B11" s="123" t="s">
        <v>689</v>
      </c>
      <c r="C11" s="30" t="s">
        <v>425</v>
      </c>
      <c r="D11" s="917">
        <f>'R6a - Net Debt input'!T30</f>
        <v>-92</v>
      </c>
      <c r="E11" s="917">
        <f>'R6a - Net Debt input'!U30</f>
        <v>-544</v>
      </c>
      <c r="F11" s="917">
        <f>'R6a - Net Debt input'!V30</f>
        <v>-339.2</v>
      </c>
      <c r="G11" s="917">
        <f>'R6a - Net Debt input'!W30</f>
        <v>-583.18444406951801</v>
      </c>
      <c r="H11" s="917">
        <f>'R6a - Net Debt input'!X30</f>
        <v>-134.40600000000001</v>
      </c>
    </row>
    <row r="12" spans="1:23">
      <c r="B12" s="472" t="str">
        <f>'R6a - Net Debt input'!D32</f>
        <v>Bonds</v>
      </c>
      <c r="C12" s="30" t="s">
        <v>425</v>
      </c>
      <c r="D12" s="918">
        <f>'R6a - Net Debt input'!T32</f>
        <v>0</v>
      </c>
      <c r="E12" s="918">
        <f>'R6a - Net Debt input'!U32</f>
        <v>0</v>
      </c>
      <c r="F12" s="918">
        <f>'R6a - Net Debt input'!V32</f>
        <v>0</v>
      </c>
      <c r="G12" s="918">
        <f>'R6a - Net Debt input'!W32</f>
        <v>0</v>
      </c>
      <c r="H12" s="918">
        <f>'R6a - Net Debt input'!X32</f>
        <v>0</v>
      </c>
    </row>
    <row r="13" spans="1:23">
      <c r="B13" s="472" t="str">
        <f>'R6a - Net Debt input'!D33</f>
        <v>External Loans</v>
      </c>
      <c r="C13" s="30" t="s">
        <v>425</v>
      </c>
      <c r="D13" s="918">
        <f>'R6a - Net Debt input'!T33</f>
        <v>921.75888442691485</v>
      </c>
      <c r="E13" s="918">
        <f>'R6a - Net Debt input'!U33</f>
        <v>991.7208878156041</v>
      </c>
      <c r="F13" s="918">
        <f>'R6a - Net Debt input'!V33</f>
        <v>1134.1083043085819</v>
      </c>
      <c r="G13" s="918">
        <f>'R6a - Net Debt input'!W33</f>
        <v>826.06082883585805</v>
      </c>
      <c r="H13" s="918">
        <f>'R6a - Net Debt input'!X33</f>
        <v>826.06082883585805</v>
      </c>
    </row>
    <row r="14" spans="1:23">
      <c r="B14" s="472" t="str">
        <f>'R6a - Net Debt input'!D34</f>
        <v>Private Placements</v>
      </c>
      <c r="C14" s="30" t="s">
        <v>425</v>
      </c>
      <c r="D14" s="918">
        <f>'R6a - Net Debt input'!T34</f>
        <v>0</v>
      </c>
      <c r="E14" s="918">
        <f>'R6a - Net Debt input'!U34</f>
        <v>0</v>
      </c>
      <c r="F14" s="918">
        <f>'R6a - Net Debt input'!V34</f>
        <v>0</v>
      </c>
      <c r="G14" s="918">
        <f>'R6a - Net Debt input'!W34</f>
        <v>0</v>
      </c>
      <c r="H14" s="918">
        <f>'R6a - Net Debt input'!X34</f>
        <v>0</v>
      </c>
    </row>
    <row r="15" spans="1:23">
      <c r="B15" s="472" t="str">
        <f>'R6a - Net Debt input'!D35</f>
        <v>Group company loans (licensee lender)</v>
      </c>
      <c r="C15" s="30" t="s">
        <v>425</v>
      </c>
      <c r="D15" s="918">
        <f>'R6a - Net Debt input'!T35</f>
        <v>0</v>
      </c>
      <c r="E15" s="918">
        <f>'R6a - Net Debt input'!U35</f>
        <v>0</v>
      </c>
      <c r="F15" s="918">
        <f>'R6a - Net Debt input'!V35</f>
        <v>0</v>
      </c>
      <c r="G15" s="918">
        <f>'R6a - Net Debt input'!W35</f>
        <v>0</v>
      </c>
      <c r="H15" s="918">
        <f>'R6a - Net Debt input'!X35</f>
        <v>0</v>
      </c>
    </row>
    <row r="16" spans="1:23">
      <c r="B16" s="472" t="str">
        <f>'R6a - Net Debt input'!D36</f>
        <v>Group company loans (licensee borrower)</v>
      </c>
      <c r="C16" s="30" t="s">
        <v>425</v>
      </c>
      <c r="D16" s="918">
        <f>'R6a - Net Debt input'!T36</f>
        <v>0</v>
      </c>
      <c r="E16" s="918">
        <f>'R6a - Net Debt input'!U36</f>
        <v>0</v>
      </c>
      <c r="F16" s="918">
        <f>'R6a - Net Debt input'!V36</f>
        <v>0</v>
      </c>
      <c r="G16" s="918">
        <f>'R6a - Net Debt input'!W36</f>
        <v>0</v>
      </c>
      <c r="H16" s="918">
        <f>'R6a - Net Debt input'!X36</f>
        <v>0</v>
      </c>
    </row>
    <row r="17" spans="2:10">
      <c r="B17" s="472" t="str">
        <f>'R6a - Net Debt input'!D37</f>
        <v>Group Loans from Finco back to back with finco bond issue</v>
      </c>
      <c r="C17" s="30" t="s">
        <v>425</v>
      </c>
      <c r="D17" s="918">
        <f>'R6a - Net Debt input'!T37</f>
        <v>5744.0574474325094</v>
      </c>
      <c r="E17" s="918">
        <f>'R6a - Net Debt input'!U37</f>
        <v>6276.6283464101834</v>
      </c>
      <c r="F17" s="918">
        <f>'R6a - Net Debt input'!V37</f>
        <v>6327.7424246323671</v>
      </c>
      <c r="G17" s="918">
        <f>'R6a - Net Debt input'!W37</f>
        <v>5955.4942933444236</v>
      </c>
      <c r="H17" s="918">
        <f>'R6a - Net Debt input'!X37</f>
        <v>5961.9192100404925</v>
      </c>
    </row>
    <row r="18" spans="2:10">
      <c r="B18" s="472" t="str">
        <f>'R6a - Net Debt input'!D38</f>
        <v>Swaps Pay Leg</v>
      </c>
      <c r="C18" s="30" t="s">
        <v>425</v>
      </c>
      <c r="D18" s="918">
        <f>'R6a - Net Debt input'!T38</f>
        <v>3235.982</v>
      </c>
      <c r="E18" s="918">
        <f>'R6a - Net Debt input'!U38</f>
        <v>3235.982</v>
      </c>
      <c r="F18" s="918">
        <f>'R6a - Net Debt input'!V38</f>
        <v>3642.076</v>
      </c>
      <c r="G18" s="918">
        <f>'R6a - Net Debt input'!W38</f>
        <v>3261.5509999999995</v>
      </c>
      <c r="H18" s="918">
        <f>'R6a - Net Debt input'!X38</f>
        <v>3261.5509999999995</v>
      </c>
    </row>
    <row r="19" spans="2:10">
      <c r="B19" s="472" t="str">
        <f>'R6a - Net Debt input'!D39</f>
        <v>Swaps Receive Leg</v>
      </c>
      <c r="C19" s="30" t="s">
        <v>425</v>
      </c>
      <c r="D19" s="918">
        <f>'R6a - Net Debt input'!T39</f>
        <v>-3235.982</v>
      </c>
      <c r="E19" s="918">
        <f>'R6a - Net Debt input'!U39</f>
        <v>-3235.982</v>
      </c>
      <c r="F19" s="918">
        <f>'R6a - Net Debt input'!V39</f>
        <v>-3642.0559999999996</v>
      </c>
      <c r="G19" s="918">
        <f>'R6a - Net Debt input'!W39</f>
        <v>-3261.5309999999995</v>
      </c>
      <c r="H19" s="918">
        <f>'R6a - Net Debt input'!X39</f>
        <v>-3261.5309999999995</v>
      </c>
    </row>
    <row r="20" spans="2:10">
      <c r="B20" s="472" t="str">
        <f>'R6a - Net Debt input'!D40</f>
        <v>Other</v>
      </c>
      <c r="C20" s="30" t="s">
        <v>425</v>
      </c>
      <c r="D20" s="918">
        <f>'R6a - Net Debt input'!T40</f>
        <v>0</v>
      </c>
      <c r="E20" s="918">
        <f>'R6a - Net Debt input'!U40</f>
        <v>0</v>
      </c>
      <c r="F20" s="918">
        <f>'R6a - Net Debt input'!V40</f>
        <v>0</v>
      </c>
      <c r="G20" s="918">
        <f>'R6a - Net Debt input'!W40</f>
        <v>0</v>
      </c>
      <c r="H20" s="918">
        <f>'R6a - Net Debt input'!X40</f>
        <v>0</v>
      </c>
    </row>
    <row r="21" spans="2:10">
      <c r="B21" s="547" t="s">
        <v>690</v>
      </c>
      <c r="C21" s="42" t="s">
        <v>425</v>
      </c>
      <c r="D21" s="919">
        <f>SUM(D11:D20)</f>
        <v>6573.8163318594234</v>
      </c>
      <c r="E21" s="919">
        <f>SUM(E11:E20)</f>
        <v>6724.3492342257887</v>
      </c>
      <c r="F21" s="919">
        <f>SUM(F11:F20)</f>
        <v>7122.6707289409505</v>
      </c>
      <c r="G21" s="919">
        <f>SUM(G11:G20)</f>
        <v>6198.3906781107653</v>
      </c>
      <c r="H21" s="919">
        <f>SUM(H11:H20)</f>
        <v>6653.594038876352</v>
      </c>
      <c r="I21" s="464"/>
      <c r="J21" s="910"/>
    </row>
    <row r="22" spans="2:10">
      <c r="B22" s="547"/>
      <c r="C22" s="30"/>
      <c r="D22" s="43"/>
      <c r="E22" s="43"/>
      <c r="F22" s="43"/>
      <c r="G22" s="43"/>
      <c r="H22" s="43"/>
      <c r="I22" s="464"/>
      <c r="J22" s="464"/>
    </row>
    <row r="23" spans="2:10">
      <c r="B23" s="547" t="s">
        <v>691</v>
      </c>
      <c r="C23" s="683"/>
      <c r="D23" s="911"/>
      <c r="E23" s="911"/>
      <c r="F23" s="911"/>
      <c r="G23" s="911"/>
      <c r="H23" s="911"/>
      <c r="I23" s="464"/>
      <c r="J23" s="464"/>
    </row>
    <row r="24" spans="2:10">
      <c r="B24" s="685" t="str">
        <f>'R6a - Net Debt input'!D61</f>
        <v>Unamortised Issue Costs</v>
      </c>
      <c r="C24" s="30" t="s">
        <v>425</v>
      </c>
      <c r="D24" s="920">
        <f>'R6a - Net Debt input'!T61</f>
        <v>0</v>
      </c>
      <c r="E24" s="920">
        <f>'R6a - Net Debt input'!U61</f>
        <v>0</v>
      </c>
      <c r="F24" s="920">
        <f>'R6a - Net Debt input'!V61</f>
        <v>0</v>
      </c>
      <c r="G24" s="920">
        <f>'R6a - Net Debt input'!W61</f>
        <v>0</v>
      </c>
      <c r="H24" s="920">
        <f>'R6a - Net Debt input'!X61</f>
        <v>0</v>
      </c>
      <c r="J24" s="464"/>
    </row>
    <row r="25" spans="2:10">
      <c r="B25" s="685" t="str">
        <f>'R6a - Net Debt input'!D62</f>
        <v>Fixed asset investments not readily convertible to cash</v>
      </c>
      <c r="C25" s="30" t="s">
        <v>425</v>
      </c>
      <c r="D25" s="920">
        <f>'R6a - Net Debt input'!T62</f>
        <v>0</v>
      </c>
      <c r="E25" s="920">
        <f>'R6a - Net Debt input'!U62</f>
        <v>0</v>
      </c>
      <c r="F25" s="920">
        <f>'R6a - Net Debt input'!V62</f>
        <v>0</v>
      </c>
      <c r="G25" s="920">
        <f>'R6a - Net Debt input'!W62</f>
        <v>0</v>
      </c>
      <c r="H25" s="920">
        <f>'R6a - Net Debt input'!X62</f>
        <v>0</v>
      </c>
      <c r="J25" s="464"/>
    </row>
    <row r="26" spans="2:10">
      <c r="B26" s="685" t="str">
        <f>'R6a - Net Debt input'!D63</f>
        <v>Preference shares</v>
      </c>
      <c r="C26" s="30" t="s">
        <v>425</v>
      </c>
      <c r="D26" s="920">
        <f>'R6a - Net Debt input'!T63</f>
        <v>0</v>
      </c>
      <c r="E26" s="920">
        <f>'R6a - Net Debt input'!U63</f>
        <v>0</v>
      </c>
      <c r="F26" s="920">
        <f>'R6a - Net Debt input'!V63</f>
        <v>0</v>
      </c>
      <c r="G26" s="920">
        <f>'R6a - Net Debt input'!W63</f>
        <v>0</v>
      </c>
      <c r="H26" s="920">
        <f>'R6a - Net Debt input'!X63</f>
        <v>0</v>
      </c>
      <c r="J26" s="464"/>
    </row>
    <row r="27" spans="2:10">
      <c r="B27" s="685" t="str">
        <f>'R6a - Net Debt input'!D64</f>
        <v>Long term loans (Not for benefit of regulated business or distribution in nature)</v>
      </c>
      <c r="C27" s="30" t="s">
        <v>425</v>
      </c>
      <c r="D27" s="920">
        <f>'R6a - Net Debt input'!T64</f>
        <v>0</v>
      </c>
      <c r="E27" s="920">
        <f>'R6a - Net Debt input'!U64</f>
        <v>0</v>
      </c>
      <c r="F27" s="920">
        <f>'R6a - Net Debt input'!V64</f>
        <v>0</v>
      </c>
      <c r="G27" s="920">
        <f>'R6a - Net Debt input'!W64</f>
        <v>0</v>
      </c>
      <c r="H27" s="920">
        <f>'R6a - Net Debt input'!X64</f>
        <v>0</v>
      </c>
      <c r="J27" s="464"/>
    </row>
    <row r="28" spans="2:10">
      <c r="B28" s="685" t="str">
        <f>'R6a - Net Debt input'!D65</f>
        <v>ILS accretion</v>
      </c>
      <c r="C28" s="30" t="s">
        <v>425</v>
      </c>
      <c r="D28" s="920">
        <f>'R6a - Net Debt input'!T65</f>
        <v>126.26711447</v>
      </c>
      <c r="E28" s="920">
        <f>'R6a - Net Debt input'!U65</f>
        <v>293.572788</v>
      </c>
      <c r="F28" s="920">
        <f>'R6a - Net Debt input'!V65</f>
        <v>383.68448402321371</v>
      </c>
      <c r="G28" s="920">
        <f>'R6a - Net Debt input'!W65</f>
        <v>432.60945326815079</v>
      </c>
      <c r="H28" s="920">
        <f>'R6a - Net Debt input'!X65</f>
        <v>471.94293373799559</v>
      </c>
      <c r="J28" s="464"/>
    </row>
    <row r="29" spans="2:10">
      <c r="B29" s="685" t="str">
        <f>'R6a - Net Debt input'!D66</f>
        <v>Finance leases</v>
      </c>
      <c r="C29" s="30" t="s">
        <v>425</v>
      </c>
      <c r="D29" s="920">
        <f>'R6a - Net Debt input'!T66</f>
        <v>3.4998633046304457</v>
      </c>
      <c r="E29" s="920">
        <f>'R6a - Net Debt input'!U66</f>
        <v>2.7495612636834843</v>
      </c>
      <c r="F29" s="920">
        <f>'R6a - Net Debt input'!V66</f>
        <v>1.9872170229528296</v>
      </c>
      <c r="G29" s="920">
        <f>'R6a - Net Debt input'!W66</f>
        <v>1.224872782222175</v>
      </c>
      <c r="H29" s="920">
        <f>'R6a - Net Debt input'!X66</f>
        <v>0.46252854149152045</v>
      </c>
      <c r="J29" s="464"/>
    </row>
    <row r="30" spans="2:10" ht="12.75" customHeight="1">
      <c r="B30" s="685" t="str">
        <f>'R6a - Net Debt input'!D67</f>
        <v>Ultimate Sterling liability</v>
      </c>
      <c r="C30" s="30" t="s">
        <v>425</v>
      </c>
      <c r="D30" s="920">
        <f>'R6a - Net Debt input'!T67</f>
        <v>11.384768063166845</v>
      </c>
      <c r="E30" s="920">
        <f>'R6a - Net Debt input'!U67</f>
        <v>11.384768063166845</v>
      </c>
      <c r="F30" s="920">
        <f>'R6a - Net Debt input'!V67</f>
        <v>29.642788128854505</v>
      </c>
      <c r="G30" s="920">
        <f>'R6a - Net Debt input'!W67</f>
        <v>30.089647252732419</v>
      </c>
      <c r="H30" s="920">
        <f>'R6a - Net Debt input'!X67</f>
        <v>30.089647252732419</v>
      </c>
      <c r="J30" s="464"/>
    </row>
    <row r="31" spans="2:10">
      <c r="B31" s="685" t="str">
        <f>'R6a - Net Debt input'!D68</f>
        <v>Net debt relating to other three networks</v>
      </c>
      <c r="C31" s="30" t="s">
        <v>425</v>
      </c>
      <c r="D31" s="920">
        <f>'R6a - Net Debt input'!T68</f>
        <v>-5499.87345764764</v>
      </c>
      <c r="E31" s="920">
        <f>'R6a - Net Debt input'!U68</f>
        <v>-5761.7716556580153</v>
      </c>
      <c r="F31" s="920">
        <f>'R6a - Net Debt input'!V68</f>
        <v>-6180.9219989031626</v>
      </c>
      <c r="G31" s="920">
        <f>'R6a - Net Debt input'!W68</f>
        <v>-5466.5741181741087</v>
      </c>
      <c r="H31" s="920">
        <f>'R6a - Net Debt input'!X68</f>
        <v>-5876.049238812122</v>
      </c>
      <c r="J31" s="464"/>
    </row>
    <row r="32" spans="2:10">
      <c r="B32" s="685" t="str">
        <f>'R6a - Net Debt input'!D69</f>
        <v>5. [Insert adjustment as necessary]</v>
      </c>
      <c r="C32" s="30" t="s">
        <v>425</v>
      </c>
      <c r="D32" s="920">
        <f>'R6a - Net Debt input'!T69</f>
        <v>0</v>
      </c>
      <c r="E32" s="920">
        <f>'R6a - Net Debt input'!U69</f>
        <v>0</v>
      </c>
      <c r="F32" s="920">
        <f>'R6a - Net Debt input'!V69</f>
        <v>0</v>
      </c>
      <c r="G32" s="920">
        <f>'R6a - Net Debt input'!W69</f>
        <v>0</v>
      </c>
      <c r="H32" s="920">
        <f>'R6a - Net Debt input'!X69</f>
        <v>0</v>
      </c>
      <c r="J32" s="464"/>
    </row>
    <row r="33" spans="2:11">
      <c r="B33" s="685" t="str">
        <f>'R6a - Net Debt input'!D70</f>
        <v>6. [Insert adjustment as necessary]</v>
      </c>
      <c r="C33" s="30" t="s">
        <v>425</v>
      </c>
      <c r="D33" s="920">
        <f>'R6a - Net Debt input'!T70</f>
        <v>0</v>
      </c>
      <c r="E33" s="920">
        <f>'R6a - Net Debt input'!U70</f>
        <v>0</v>
      </c>
      <c r="F33" s="920">
        <f>'R6a - Net Debt input'!V70</f>
        <v>0</v>
      </c>
      <c r="G33" s="920">
        <f>'R6a - Net Debt input'!W70</f>
        <v>0</v>
      </c>
      <c r="H33" s="920">
        <f>'R6a - Net Debt input'!X70</f>
        <v>0</v>
      </c>
      <c r="J33" s="464"/>
    </row>
    <row r="34" spans="2:11">
      <c r="B34" s="685" t="str">
        <f>'R6a - Net Debt input'!D71</f>
        <v>7. [Insert adjustment as necessary]</v>
      </c>
      <c r="C34" s="30" t="s">
        <v>425</v>
      </c>
      <c r="D34" s="920">
        <f>'R6a - Net Debt input'!T71</f>
        <v>0</v>
      </c>
      <c r="E34" s="920">
        <f>'R6a - Net Debt input'!U71</f>
        <v>0</v>
      </c>
      <c r="F34" s="920">
        <f>'R6a - Net Debt input'!V71</f>
        <v>0</v>
      </c>
      <c r="G34" s="920">
        <f>'R6a - Net Debt input'!W71</f>
        <v>0</v>
      </c>
      <c r="H34" s="920">
        <f>'R6a - Net Debt input'!X71</f>
        <v>0</v>
      </c>
      <c r="J34" s="464"/>
    </row>
    <row r="35" spans="2:11">
      <c r="B35" s="685" t="str">
        <f>'R6a - Net Debt input'!D72</f>
        <v>8. [Insert adjustment as necessary]</v>
      </c>
      <c r="C35" s="30" t="s">
        <v>425</v>
      </c>
      <c r="D35" s="920">
        <f>'R6a - Net Debt input'!T72</f>
        <v>0</v>
      </c>
      <c r="E35" s="920">
        <f>'R6a - Net Debt input'!U72</f>
        <v>0</v>
      </c>
      <c r="F35" s="920">
        <f>'R6a - Net Debt input'!V72</f>
        <v>0</v>
      </c>
      <c r="G35" s="920">
        <f>'R6a - Net Debt input'!W72</f>
        <v>0</v>
      </c>
      <c r="H35" s="920">
        <f>'R6a - Net Debt input'!X72</f>
        <v>0</v>
      </c>
      <c r="J35" s="464"/>
      <c r="K35" s="912"/>
    </row>
    <row r="36" spans="2:11">
      <c r="B36" s="685" t="str">
        <f>'R6a - Net Debt input'!D73</f>
        <v>9. [Insert adjustment as necessary]</v>
      </c>
      <c r="C36" s="30" t="s">
        <v>425</v>
      </c>
      <c r="D36" s="920">
        <f>'R6a - Net Debt input'!T73</f>
        <v>0</v>
      </c>
      <c r="E36" s="920">
        <f>'R6a - Net Debt input'!U73</f>
        <v>0</v>
      </c>
      <c r="F36" s="920">
        <f>'R6a - Net Debt input'!V73</f>
        <v>0</v>
      </c>
      <c r="G36" s="920">
        <f>'R6a - Net Debt input'!W73</f>
        <v>0</v>
      </c>
      <c r="H36" s="920">
        <f>'R6a - Net Debt input'!X73</f>
        <v>0</v>
      </c>
    </row>
    <row r="37" spans="2:11">
      <c r="B37" s="685" t="str">
        <f>'R6a - Net Debt input'!D74</f>
        <v>10. [Insert adjustment as necessary]</v>
      </c>
      <c r="C37" s="30" t="s">
        <v>425</v>
      </c>
      <c r="D37" s="920">
        <f>'R6a - Net Debt input'!T74</f>
        <v>0</v>
      </c>
      <c r="E37" s="920">
        <f>'R6a - Net Debt input'!U74</f>
        <v>0</v>
      </c>
      <c r="F37" s="920">
        <f>'R6a - Net Debt input'!V74</f>
        <v>0</v>
      </c>
      <c r="G37" s="920">
        <f>'R6a - Net Debt input'!W74</f>
        <v>0</v>
      </c>
      <c r="H37" s="920">
        <f>'R6a - Net Debt input'!X74</f>
        <v>0</v>
      </c>
    </row>
    <row r="38" spans="2:11">
      <c r="B38" s="685" t="str">
        <f>'R6a - Net Debt input'!D75</f>
        <v>11. [Insert adjustment as necessary]</v>
      </c>
      <c r="C38" s="30" t="s">
        <v>425</v>
      </c>
      <c r="D38" s="920">
        <f>'R6a - Net Debt input'!T75</f>
        <v>0</v>
      </c>
      <c r="E38" s="920">
        <f>'R6a - Net Debt input'!U75</f>
        <v>0</v>
      </c>
      <c r="F38" s="920">
        <f>'R6a - Net Debt input'!V75</f>
        <v>0</v>
      </c>
      <c r="G38" s="920">
        <f>'R6a - Net Debt input'!W75</f>
        <v>0</v>
      </c>
      <c r="H38" s="920">
        <f>'R6a - Net Debt input'!X75</f>
        <v>0</v>
      </c>
    </row>
    <row r="39" spans="2:11">
      <c r="B39" s="685" t="str">
        <f>'R6a - Net Debt input'!D76</f>
        <v>12. [Insert adjustment as necessary]</v>
      </c>
      <c r="C39" s="30" t="s">
        <v>425</v>
      </c>
      <c r="D39" s="920">
        <f>'R6a - Net Debt input'!T76</f>
        <v>0</v>
      </c>
      <c r="E39" s="920">
        <f>'R6a - Net Debt input'!U76</f>
        <v>0</v>
      </c>
      <c r="F39" s="920">
        <f>'R6a - Net Debt input'!V76</f>
        <v>0</v>
      </c>
      <c r="G39" s="920">
        <f>'R6a - Net Debt input'!W76</f>
        <v>0</v>
      </c>
      <c r="H39" s="920">
        <f>'R6a - Net Debt input'!X76</f>
        <v>0</v>
      </c>
    </row>
    <row r="40" spans="2:11">
      <c r="B40" s="686" t="s">
        <v>692</v>
      </c>
      <c r="C40" s="30" t="s">
        <v>425</v>
      </c>
      <c r="D40" s="121">
        <f>SUM(D21,D24:D39)</f>
        <v>1215.094620049581</v>
      </c>
      <c r="E40" s="121">
        <f t="shared" ref="E40:H40" si="3">SUM(E21,E24:E39)</f>
        <v>1270.2846958946238</v>
      </c>
      <c r="F40" s="121">
        <f t="shared" si="3"/>
        <v>1357.0632192128087</v>
      </c>
      <c r="G40" s="121">
        <f t="shared" si="3"/>
        <v>1195.740533239762</v>
      </c>
      <c r="H40" s="121">
        <f t="shared" si="3"/>
        <v>1280.0399095964485</v>
      </c>
    </row>
    <row r="41" spans="2:11">
      <c r="B41" s="687" t="s">
        <v>693</v>
      </c>
      <c r="C41" s="30" t="s">
        <v>425</v>
      </c>
      <c r="D41" s="531"/>
      <c r="E41" s="913"/>
      <c r="F41" s="913">
        <v>45.007491390119462</v>
      </c>
      <c r="G41" s="913">
        <v>116.6608584661942</v>
      </c>
      <c r="H41" s="913">
        <v>134.15566970834004</v>
      </c>
    </row>
    <row r="42" spans="2:11">
      <c r="B42" s="686" t="s">
        <v>694</v>
      </c>
      <c r="C42" s="30" t="s">
        <v>425</v>
      </c>
      <c r="D42" s="19">
        <f>SUM(D40:D41)</f>
        <v>1215.094620049581</v>
      </c>
      <c r="E42" s="20">
        <f t="shared" ref="E42:H42" si="4">SUM(E40:E41)</f>
        <v>1270.2846958946238</v>
      </c>
      <c r="F42" s="20">
        <f t="shared" si="4"/>
        <v>1402.0707106029281</v>
      </c>
      <c r="G42" s="20">
        <f t="shared" si="4"/>
        <v>1312.4013917059563</v>
      </c>
      <c r="H42" s="20">
        <f t="shared" si="4"/>
        <v>1414.1955793047887</v>
      </c>
    </row>
    <row r="43" spans="2:11">
      <c r="D43" s="711" t="str">
        <f>IF(ABS(D40-'R6a - Net Debt input'!T77)&lt;Data!$F$7,"OK","Error")</f>
        <v>OK</v>
      </c>
      <c r="E43" s="711" t="str">
        <f>IF(ABS(E40-'R6a - Net Debt input'!U77)&lt;Data!$F$7,"OK","Error")</f>
        <v>OK</v>
      </c>
      <c r="F43" s="711" t="str">
        <f>IF(ABS(F40-'R6a - Net Debt input'!V77)&lt;Data!$F$7,"OK","Error")</f>
        <v>OK</v>
      </c>
      <c r="G43" s="711" t="str">
        <f>IF(ABS(G40-'R6a - Net Debt input'!W77)&lt;Data!$F$7,"OK","Error")</f>
        <v>OK</v>
      </c>
      <c r="H43" s="711" t="str">
        <f>IF(ABS(H40-'R6a - Net Debt input'!X77)&lt;Data!$F$7,"OK","Error")</f>
        <v>OK</v>
      </c>
    </row>
    <row r="44" spans="2:11"/>
    <row r="45" spans="2:11">
      <c r="B45" s="914" t="s">
        <v>695</v>
      </c>
      <c r="C45" s="30" t="s">
        <v>425</v>
      </c>
      <c r="D45" s="913">
        <v>1161.3176359498336</v>
      </c>
      <c r="E45" s="20">
        <f>D46</f>
        <v>1215.094620049581</v>
      </c>
      <c r="F45" s="20">
        <f t="shared" ref="F45:H45" si="5">E46</f>
        <v>1270.2846958946238</v>
      </c>
      <c r="G45" s="20">
        <f t="shared" si="5"/>
        <v>1402.0707106029281</v>
      </c>
      <c r="H45" s="20">
        <f t="shared" si="5"/>
        <v>1312.4013917059563</v>
      </c>
      <c r="I45" s="197"/>
    </row>
    <row r="46" spans="2:11">
      <c r="B46" s="914" t="s">
        <v>696</v>
      </c>
      <c r="C46" s="30" t="s">
        <v>425</v>
      </c>
      <c r="D46" s="922">
        <f>D42</f>
        <v>1215.094620049581</v>
      </c>
      <c r="E46" s="921">
        <f>E42</f>
        <v>1270.2846958946238</v>
      </c>
      <c r="F46" s="921">
        <f t="shared" ref="F46:H46" si="6">F42</f>
        <v>1402.0707106029281</v>
      </c>
      <c r="G46" s="921">
        <f t="shared" si="6"/>
        <v>1312.4013917059563</v>
      </c>
      <c r="H46" s="921">
        <f t="shared" si="6"/>
        <v>1414.1955793047887</v>
      </c>
      <c r="I46" s="197"/>
    </row>
    <row r="47" spans="2:11">
      <c r="D47" s="915"/>
      <c r="E47" s="915"/>
      <c r="F47" s="915"/>
      <c r="G47" s="915"/>
      <c r="H47" s="915"/>
    </row>
    <row r="48" spans="2:11">
      <c r="B48" s="547" t="s">
        <v>697</v>
      </c>
      <c r="D48" s="915"/>
      <c r="E48" s="915"/>
      <c r="F48" s="915"/>
      <c r="G48" s="915"/>
      <c r="H48" s="915"/>
    </row>
    <row r="49" spans="2:10">
      <c r="B49" s="685" t="s">
        <v>698</v>
      </c>
      <c r="C49" s="30" t="s">
        <v>425</v>
      </c>
      <c r="D49" s="913">
        <v>49.207350581214577</v>
      </c>
      <c r="E49" s="913">
        <v>57.727789754335035</v>
      </c>
      <c r="F49" s="913">
        <v>49.300849347993896</v>
      </c>
      <c r="G49" s="913">
        <v>48.036509680793181</v>
      </c>
      <c r="H49" s="913">
        <v>47.660954210351974</v>
      </c>
    </row>
    <row r="50" spans="2:10">
      <c r="B50" s="685" t="s">
        <v>699</v>
      </c>
      <c r="C50" s="30" t="s">
        <v>425</v>
      </c>
      <c r="D50" s="913">
        <v>7.6027938840828737</v>
      </c>
      <c r="E50" s="913">
        <v>8.3544634958911974</v>
      </c>
      <c r="F50" s="913">
        <v>7.6229731947956108</v>
      </c>
      <c r="G50" s="913">
        <v>7.2944987348070578</v>
      </c>
      <c r="H50" s="913">
        <v>7.2699497704549794</v>
      </c>
    </row>
    <row r="51" spans="2:10">
      <c r="B51" s="685" t="s">
        <v>700</v>
      </c>
      <c r="C51" s="30" t="s">
        <v>425</v>
      </c>
      <c r="D51" s="913">
        <v>15.580596845326026</v>
      </c>
      <c r="E51" s="913">
        <v>-12.081025703490699</v>
      </c>
      <c r="F51" s="913">
        <v>0</v>
      </c>
      <c r="G51" s="913">
        <v>0</v>
      </c>
      <c r="H51" s="913">
        <v>0</v>
      </c>
    </row>
    <row r="52" spans="2:10">
      <c r="B52" s="685" t="s">
        <v>701</v>
      </c>
      <c r="C52" s="30" t="s">
        <v>425</v>
      </c>
      <c r="D52" s="913">
        <v>6.9148466629408594</v>
      </c>
      <c r="E52" s="913">
        <v>-3.5965657668110635</v>
      </c>
      <c r="F52" s="913">
        <v>0</v>
      </c>
      <c r="G52" s="913">
        <v>0</v>
      </c>
      <c r="H52" s="913">
        <v>0</v>
      </c>
    </row>
    <row r="53" spans="2:10">
      <c r="B53" s="685" t="s">
        <v>702</v>
      </c>
      <c r="C53" s="30" t="s">
        <v>425</v>
      </c>
      <c r="D53" s="913">
        <v>13.74666230984762</v>
      </c>
      <c r="E53" s="913">
        <v>17.206229380866123</v>
      </c>
      <c r="F53" s="913">
        <v>21.072978293834453</v>
      </c>
      <c r="G53" s="913">
        <v>21.212639887347237</v>
      </c>
      <c r="H53" s="913">
        <v>21.1412506995031</v>
      </c>
    </row>
    <row r="54" spans="2:10">
      <c r="B54" s="685" t="s">
        <v>1013</v>
      </c>
      <c r="C54" s="30" t="s">
        <v>425</v>
      </c>
      <c r="D54" s="913">
        <v>-2.7580995526103123</v>
      </c>
      <c r="E54" s="913">
        <v>-2.9772949327278271</v>
      </c>
      <c r="F54" s="913">
        <v>-2.526876150768953</v>
      </c>
      <c r="G54" s="913">
        <v>-2.2286646517829705</v>
      </c>
      <c r="H54" s="913">
        <v>-1.9472673280969761</v>
      </c>
    </row>
    <row r="55" spans="2:10">
      <c r="B55" s="685" t="s">
        <v>703</v>
      </c>
      <c r="C55" s="30" t="s">
        <v>425</v>
      </c>
      <c r="D55" s="913">
        <v>5908.5711794472045</v>
      </c>
      <c r="E55" s="913">
        <v>6054.9374506594459</v>
      </c>
      <c r="F55" s="913">
        <v>6729.6521544717116</v>
      </c>
      <c r="G55" s="913">
        <v>6339.6595131190043</v>
      </c>
      <c r="H55" s="913">
        <v>6832.1653720668037</v>
      </c>
    </row>
    <row r="56" spans="2:10">
      <c r="B56" s="685" t="s">
        <v>704</v>
      </c>
      <c r="C56" s="30" t="s">
        <v>425</v>
      </c>
      <c r="D56" s="913">
        <v>0</v>
      </c>
      <c r="E56" s="913">
        <v>0</v>
      </c>
      <c r="F56" s="913">
        <v>0</v>
      </c>
      <c r="G56" s="913">
        <v>0</v>
      </c>
      <c r="H56" s="913">
        <v>0</v>
      </c>
    </row>
    <row r="57" spans="2:10">
      <c r="B57" s="685" t="s">
        <v>705</v>
      </c>
      <c r="C57" s="30" t="s">
        <v>425</v>
      </c>
      <c r="D57" s="913">
        <v>0</v>
      </c>
      <c r="E57" s="913">
        <v>0</v>
      </c>
      <c r="F57" s="913">
        <v>0</v>
      </c>
      <c r="G57" s="913">
        <v>0</v>
      </c>
      <c r="H57" s="913">
        <v>0</v>
      </c>
    </row>
    <row r="58" spans="2:10">
      <c r="B58" s="685" t="s">
        <v>706</v>
      </c>
      <c r="C58" s="30" t="s">
        <v>425</v>
      </c>
      <c r="D58" s="913">
        <v>0</v>
      </c>
      <c r="E58" s="913">
        <v>0</v>
      </c>
      <c r="F58" s="913">
        <v>0</v>
      </c>
      <c r="G58" s="913">
        <v>0</v>
      </c>
      <c r="H58" s="913">
        <v>0</v>
      </c>
    </row>
    <row r="59" spans="2:10">
      <c r="B59" s="685" t="s">
        <v>707</v>
      </c>
      <c r="C59" s="30" t="s">
        <v>425</v>
      </c>
      <c r="D59" s="19">
        <f>SUM(D46:D58)</f>
        <v>7213.9599502275869</v>
      </c>
      <c r="E59" s="19">
        <f t="shared" ref="E59:H59" si="7">SUM(E46:E58)</f>
        <v>7389.8557427821324</v>
      </c>
      <c r="F59" s="19">
        <f t="shared" si="7"/>
        <v>8207.1927897604946</v>
      </c>
      <c r="G59" s="19">
        <f t="shared" si="7"/>
        <v>7726.3758884761246</v>
      </c>
      <c r="H59" s="19">
        <f t="shared" si="7"/>
        <v>8320.4858387238055</v>
      </c>
    </row>
    <row r="60" spans="2:10">
      <c r="D60" s="915"/>
      <c r="E60" s="915"/>
      <c r="F60" s="915"/>
      <c r="G60" s="915"/>
      <c r="H60" s="915"/>
    </row>
    <row r="61" spans="2:10">
      <c r="B61" s="547" t="s">
        <v>708</v>
      </c>
    </row>
    <row r="62" spans="2:10">
      <c r="B62" s="166" t="s">
        <v>709</v>
      </c>
      <c r="C62" s="197" t="s">
        <v>389</v>
      </c>
      <c r="D62" s="923">
        <f>'R6a - Net Debt input'!T80</f>
        <v>0</v>
      </c>
      <c r="E62" s="923">
        <f>'R6a - Net Debt input'!U80</f>
        <v>0</v>
      </c>
      <c r="F62" s="923">
        <f>'R6a - Net Debt input'!V80</f>
        <v>0</v>
      </c>
      <c r="G62" s="923">
        <f>'R6a - Net Debt input'!W80</f>
        <v>0</v>
      </c>
      <c r="H62" s="923">
        <f>'R6a - Net Debt input'!X80</f>
        <v>0</v>
      </c>
    </row>
    <row r="63" spans="2:10">
      <c r="B63" s="166" t="s">
        <v>642</v>
      </c>
      <c r="C63" s="197" t="s">
        <v>389</v>
      </c>
      <c r="D63" s="924">
        <f>1-D62</f>
        <v>1</v>
      </c>
      <c r="E63" s="925">
        <f t="shared" ref="E63:H63" si="8">1-E62</f>
        <v>1</v>
      </c>
      <c r="F63" s="925">
        <f t="shared" si="8"/>
        <v>1</v>
      </c>
      <c r="G63" s="925">
        <f t="shared" si="8"/>
        <v>1</v>
      </c>
      <c r="H63" s="925">
        <f t="shared" si="8"/>
        <v>1</v>
      </c>
      <c r="J63" s="912"/>
    </row>
    <row r="64" spans="2:10">
      <c r="C64" s="197"/>
      <c r="D64" s="197"/>
      <c r="E64" s="197"/>
      <c r="F64" s="197"/>
      <c r="G64" s="197"/>
      <c r="H64" s="197"/>
      <c r="I64" s="197"/>
    </row>
    <row r="65" spans="2:8">
      <c r="B65" s="166" t="s">
        <v>710</v>
      </c>
      <c r="C65" s="30" t="s">
        <v>425</v>
      </c>
      <c r="D65" s="926">
        <f>AVERAGE(D45:D46)*D63</f>
        <v>1188.2061279997074</v>
      </c>
      <c r="E65" s="927">
        <f t="shared" ref="E65:H65" si="9">AVERAGE(E45:E46)*E63</f>
        <v>1242.6896579721024</v>
      </c>
      <c r="F65" s="927">
        <f t="shared" si="9"/>
        <v>1336.177703248776</v>
      </c>
      <c r="G65" s="927">
        <f t="shared" si="9"/>
        <v>1357.2360511544421</v>
      </c>
      <c r="H65" s="927">
        <f t="shared" si="9"/>
        <v>1363.2984855053724</v>
      </c>
    </row>
    <row r="66" spans="2:8">
      <c r="B66" s="166" t="s">
        <v>711</v>
      </c>
      <c r="C66" s="30" t="s">
        <v>425</v>
      </c>
      <c r="D66" s="928">
        <f>D67-D65</f>
        <v>728.11430241493008</v>
      </c>
      <c r="E66" s="929">
        <f t="shared" ref="E66:H66" si="10">E67-E65</f>
        <v>836.15294661730741</v>
      </c>
      <c r="F66" s="929">
        <f t="shared" si="10"/>
        <v>854.05373637664002</v>
      </c>
      <c r="G66" s="929">
        <f t="shared" si="10"/>
        <v>864.14848212603556</v>
      </c>
      <c r="H66" s="929">
        <f t="shared" si="10"/>
        <v>866.87991059453043</v>
      </c>
    </row>
    <row r="67" spans="2:8">
      <c r="B67" s="166" t="s">
        <v>712</v>
      </c>
      <c r="C67" s="30" t="s">
        <v>425</v>
      </c>
      <c r="D67" s="930">
        <f>IF(D6=RIIO_2_start_date,AVERAGE(('R7 - RAV'!F15*'R7 - RAV'!F30),'R7 - RAV'!F32),AVERAGE('R7 - RAV'!E32:F32))</f>
        <v>1916.3204304146375</v>
      </c>
      <c r="E67" s="930">
        <f>IF(E6=RIIO_2_start_date,AVERAGE(('R7 - RAV'!G15*'R7 - RAV'!G30),'R7 - RAV'!G32),AVERAGE('R7 - RAV'!F32:G32))</f>
        <v>2078.8426045894098</v>
      </c>
      <c r="F67" s="930">
        <f>IF(F6=RIIO_2_start_date,AVERAGE(('R7 - RAV'!H15*'R7 - RAV'!H30),'R7 - RAV'!H32),AVERAGE('R7 - RAV'!G32:H32))</f>
        <v>2190.231439625416</v>
      </c>
      <c r="G67" s="930">
        <f>IF(G6=RIIO_2_start_date,AVERAGE(('R7 - RAV'!I15*'R7 - RAV'!I30),'R7 - RAV'!I32),AVERAGE('R7 - RAV'!H32:I32))</f>
        <v>2221.3845332804776</v>
      </c>
      <c r="H67" s="930">
        <f>IF(H6=RIIO_2_start_date,AVERAGE(('R7 - RAV'!J15*'R7 - RAV'!J30),'R7 - RAV'!J32),AVERAGE('R7 - RAV'!I32:J32))</f>
        <v>2230.1783960999028</v>
      </c>
    </row>
    <row r="68" spans="2:8">
      <c r="B68" s="166" t="s">
        <v>713</v>
      </c>
      <c r="C68" s="30" t="s">
        <v>389</v>
      </c>
      <c r="D68" s="931">
        <f>D65/D67</f>
        <v>0.62004564014516783</v>
      </c>
      <c r="E68" s="932">
        <f t="shared" ref="E68:H68" si="11">E65/E67</f>
        <v>0.59777957947785321</v>
      </c>
      <c r="F68" s="932">
        <f t="shared" si="11"/>
        <v>0.61006233363050233</v>
      </c>
      <c r="G68" s="932">
        <f t="shared" si="11"/>
        <v>0.61098654052034584</v>
      </c>
      <c r="H68" s="932">
        <f t="shared" si="11"/>
        <v>0.61129570974657677</v>
      </c>
    </row>
    <row r="69" spans="2:8">
      <c r="B69" s="166" t="s">
        <v>24</v>
      </c>
      <c r="C69" s="30" t="s">
        <v>389</v>
      </c>
      <c r="D69" s="933">
        <f>Data!$C$8</f>
        <v>0.6</v>
      </c>
      <c r="E69" s="934">
        <f>Data!$C$8</f>
        <v>0.6</v>
      </c>
      <c r="F69" s="934">
        <f>Data!$C$8</f>
        <v>0.6</v>
      </c>
      <c r="G69" s="934">
        <f>Data!$C$8</f>
        <v>0.6</v>
      </c>
      <c r="H69" s="934">
        <f>Data!$C$8</f>
        <v>0.6</v>
      </c>
    </row>
    <row r="70" spans="2:8">
      <c r="B70" s="166" t="s">
        <v>714</v>
      </c>
      <c r="C70" s="30" t="s">
        <v>389</v>
      </c>
      <c r="D70" s="935">
        <f t="shared" ref="D70:H70" si="12">IF(ISBLANK(D21),"n/a",D68-D69)</f>
        <v>2.0045640145167853E-2</v>
      </c>
      <c r="E70" s="936">
        <f t="shared" si="12"/>
        <v>-2.220420522146771E-3</v>
      </c>
      <c r="F70" s="936">
        <f t="shared" si="12"/>
        <v>1.0062333630502351E-2</v>
      </c>
      <c r="G70" s="936">
        <f t="shared" si="12"/>
        <v>1.0986540520345867E-2</v>
      </c>
      <c r="H70" s="936">
        <f t="shared" si="12"/>
        <v>1.1295709746576788E-2</v>
      </c>
    </row>
    <row r="71" spans="2:8"/>
    <row r="72" spans="2:8">
      <c r="B72" s="166" t="s">
        <v>715</v>
      </c>
      <c r="C72" s="586" t="str">
        <f>Data!$C$9</f>
        <v>£m 18/19</v>
      </c>
      <c r="D72" s="937">
        <f>D74*D68</f>
        <v>1072.46943001717</v>
      </c>
      <c r="E72" s="938">
        <f t="shared" ref="E72:H72" si="13">E74*E68</f>
        <v>1043.0180955547278</v>
      </c>
      <c r="F72" s="938">
        <f t="shared" si="13"/>
        <v>1068.3792728014641</v>
      </c>
      <c r="G72" s="938">
        <f t="shared" si="13"/>
        <v>1073.1968521401461</v>
      </c>
      <c r="H72" s="938">
        <f t="shared" si="13"/>
        <v>1073.9598076981783</v>
      </c>
    </row>
    <row r="73" spans="2:8">
      <c r="B73" s="166" t="s">
        <v>716</v>
      </c>
      <c r="C73" s="586" t="str">
        <f>Data!$C$9</f>
        <v>£m 18/19</v>
      </c>
      <c r="D73" s="939">
        <f>D74*(1-D68)</f>
        <v>657.19264738422703</v>
      </c>
      <c r="E73" s="940">
        <f t="shared" ref="E73:H73" si="14">E74*(1-E68)</f>
        <v>701.80245596993325</v>
      </c>
      <c r="F73" s="940">
        <f t="shared" si="14"/>
        <v>682.88320302375473</v>
      </c>
      <c r="G73" s="940">
        <f t="shared" si="14"/>
        <v>683.30150087784261</v>
      </c>
      <c r="H73" s="940">
        <f t="shared" si="14"/>
        <v>682.89827354601528</v>
      </c>
    </row>
    <row r="74" spans="2:8">
      <c r="B74" s="166" t="s">
        <v>717</v>
      </c>
      <c r="C74" s="586" t="str">
        <f>Data!$C$9</f>
        <v>£m 18/19</v>
      </c>
      <c r="D74" s="930">
        <f>'R7 - RAV'!F41</f>
        <v>1729.662077401397</v>
      </c>
      <c r="E74" s="930">
        <f>'R7 - RAV'!G41</f>
        <v>1744.8205515246609</v>
      </c>
      <c r="F74" s="930">
        <f>'R7 - RAV'!H41</f>
        <v>1751.2624758252189</v>
      </c>
      <c r="G74" s="930">
        <f>'R7 - RAV'!I41</f>
        <v>1756.4983530179888</v>
      </c>
      <c r="H74" s="930">
        <f>'R7 - RAV'!J41</f>
        <v>1756.8580812441937</v>
      </c>
    </row>
    <row r="75" spans="2:8">
      <c r="B75" s="166" t="s">
        <v>713</v>
      </c>
      <c r="C75" s="30" t="s">
        <v>389</v>
      </c>
      <c r="D75" s="931">
        <f>D72/D74</f>
        <v>0.62004564014516783</v>
      </c>
      <c r="E75" s="932">
        <f t="shared" ref="E75:H75" si="15">E72/E74</f>
        <v>0.59777957947785321</v>
      </c>
      <c r="F75" s="932">
        <f t="shared" si="15"/>
        <v>0.61006233363050233</v>
      </c>
      <c r="G75" s="932">
        <f t="shared" si="15"/>
        <v>0.61098654052034584</v>
      </c>
      <c r="H75" s="932">
        <f t="shared" si="15"/>
        <v>0.61129570974657677</v>
      </c>
    </row>
    <row r="76" spans="2:8">
      <c r="B76" s="166" t="s">
        <v>24</v>
      </c>
      <c r="C76" s="30" t="s">
        <v>389</v>
      </c>
      <c r="D76" s="933">
        <f>Data!$C$8</f>
        <v>0.6</v>
      </c>
      <c r="E76" s="934">
        <f>Data!$C$8</f>
        <v>0.6</v>
      </c>
      <c r="F76" s="934">
        <f>Data!$C$8</f>
        <v>0.6</v>
      </c>
      <c r="G76" s="934">
        <f>Data!$C$8</f>
        <v>0.6</v>
      </c>
      <c r="H76" s="934">
        <f>Data!$C$8</f>
        <v>0.6</v>
      </c>
    </row>
    <row r="77" spans="2:8">
      <c r="B77" s="166" t="s">
        <v>714</v>
      </c>
      <c r="C77" s="30" t="s">
        <v>389</v>
      </c>
      <c r="D77" s="935">
        <f t="shared" ref="D77:H77" si="16">IF(ISBLANK(D21),"n/a",D75-D76)</f>
        <v>2.0045640145167853E-2</v>
      </c>
      <c r="E77" s="936">
        <f t="shared" si="16"/>
        <v>-2.220420522146771E-3</v>
      </c>
      <c r="F77" s="936">
        <f t="shared" si="16"/>
        <v>1.0062333630502351E-2</v>
      </c>
      <c r="G77" s="936">
        <f t="shared" si="16"/>
        <v>1.0986540520345867E-2</v>
      </c>
      <c r="H77" s="936">
        <f t="shared" si="16"/>
        <v>1.1295709746576788E-2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28" priority="2">
      <formula>D$5="Forecast"</formula>
    </cfRule>
    <cfRule type="expression" dxfId="27" priority="3">
      <formula>C$12="N/A"</formula>
    </cfRule>
  </conditionalFormatting>
  <conditionalFormatting sqref="D41:H41">
    <cfRule type="expression" dxfId="26"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5"/>
  <sheetViews>
    <sheetView showGridLines="0" zoomScale="70" zoomScaleNormal="70" workbookViewId="0"/>
  </sheetViews>
  <sheetFormatPr defaultColWidth="0" defaultRowHeight="12.35" zeroHeight="1" outlineLevelRow="1"/>
  <cols>
    <col min="1" max="1" width="8" customWidth="1"/>
    <col min="2" max="2" width="2.89453125" customWidth="1"/>
    <col min="3" max="3" width="2.734375" customWidth="1"/>
    <col min="4" max="4" width="14.1015625" customWidth="1"/>
    <col min="5" max="11" width="6.89453125" customWidth="1"/>
    <col min="12" max="14" width="8.26171875" customWidth="1"/>
    <col min="15" max="16" width="6.89453125" customWidth="1"/>
    <col min="17" max="17" width="6" customWidth="1"/>
    <col min="18" max="19" width="17" customWidth="1"/>
    <col min="20" max="29" width="10.47265625" customWidth="1"/>
    <col min="30" max="30" width="8.62890625" customWidth="1"/>
    <col min="31" max="42" width="9.26171875" customWidth="1"/>
    <col min="43" max="16384" width="9" hidden="1"/>
  </cols>
  <sheetData>
    <row r="1" spans="1:42" ht="20.350000000000001">
      <c r="A1" s="350" t="s">
        <v>257</v>
      </c>
      <c r="B1" s="444"/>
      <c r="C1" s="444"/>
      <c r="D1" s="445"/>
      <c r="E1" s="445"/>
      <c r="F1" s="445"/>
      <c r="G1" s="445"/>
      <c r="H1" s="445"/>
      <c r="I1" s="448"/>
      <c r="J1" s="448"/>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446"/>
      <c r="AK1" s="446"/>
      <c r="AL1" s="446"/>
      <c r="AM1" s="446"/>
      <c r="AN1" s="446"/>
      <c r="AO1" s="446"/>
      <c r="AP1" s="446"/>
    </row>
    <row r="2" spans="1:42" ht="20.350000000000001">
      <c r="A2" s="422" t="str">
        <f>Licensee</f>
        <v>Cadent-WM</v>
      </c>
      <c r="B2" s="164"/>
      <c r="C2" s="164"/>
      <c r="D2" s="7"/>
      <c r="E2" s="7"/>
      <c r="F2" s="7"/>
      <c r="G2" s="7"/>
      <c r="H2" s="7"/>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row>
    <row r="3" spans="1:42" ht="20.350000000000001">
      <c r="A3" s="331">
        <f>Reporting_Year</f>
        <v>2023</v>
      </c>
      <c r="B3" s="330"/>
      <c r="C3" s="330"/>
      <c r="D3" s="330"/>
      <c r="E3" s="330"/>
      <c r="F3" s="330"/>
      <c r="G3" s="327"/>
      <c r="H3" s="327"/>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row>
    <row r="4" spans="1:42" ht="15.35">
      <c r="A4" s="381"/>
      <c r="B4" s="382"/>
      <c r="C4" s="382"/>
      <c r="D4" s="55"/>
      <c r="E4" s="55"/>
      <c r="F4" s="381"/>
      <c r="G4" s="381"/>
      <c r="H4" s="381"/>
      <c r="I4" s="381"/>
      <c r="J4" s="383"/>
      <c r="K4" s="383"/>
      <c r="L4" s="383"/>
      <c r="M4" s="383"/>
      <c r="N4" s="383"/>
      <c r="O4" s="383"/>
      <c r="P4" s="383"/>
      <c r="Q4" s="383"/>
      <c r="R4" s="384"/>
      <c r="S4" s="384"/>
      <c r="T4" s="384"/>
      <c r="U4" s="384"/>
      <c r="V4" s="384"/>
      <c r="W4" s="384"/>
      <c r="X4" s="55"/>
      <c r="Y4" s="384"/>
      <c r="Z4" s="55"/>
      <c r="AA4" s="55"/>
      <c r="AB4" s="55"/>
      <c r="AC4" s="55"/>
      <c r="AD4" s="55"/>
      <c r="AE4" s="55"/>
      <c r="AF4" s="55"/>
      <c r="AG4" s="55"/>
      <c r="AH4" s="55"/>
      <c r="AI4" s="55"/>
      <c r="AJ4" s="55"/>
      <c r="AK4" s="55"/>
      <c r="AL4" s="55"/>
      <c r="AM4" s="55"/>
      <c r="AN4" s="55"/>
      <c r="AO4" s="55"/>
      <c r="AP4" s="55"/>
    </row>
    <row r="5" spans="1:42" ht="15.35">
      <c r="A5" s="381"/>
      <c r="B5" s="82" t="s">
        <v>718</v>
      </c>
      <c r="C5" s="82"/>
      <c r="D5" s="57"/>
      <c r="E5" s="57"/>
      <c r="F5" s="57"/>
      <c r="G5" s="57"/>
      <c r="H5" s="57"/>
      <c r="I5" s="57"/>
      <c r="J5" s="57"/>
      <c r="K5" s="57"/>
      <c r="L5" s="57"/>
      <c r="M5" s="57"/>
      <c r="N5" s="57"/>
      <c r="O5" s="57"/>
      <c r="P5" s="57"/>
      <c r="Q5" s="57"/>
      <c r="R5" s="76"/>
      <c r="S5" s="76"/>
      <c r="T5" s="57" t="s">
        <v>719</v>
      </c>
      <c r="U5" s="57"/>
      <c r="V5" s="57"/>
      <c r="W5" s="57"/>
      <c r="X5" s="57"/>
      <c r="Y5" s="57"/>
      <c r="Z5" s="57"/>
      <c r="AA5" s="57"/>
      <c r="AB5" s="57"/>
      <c r="AC5" s="57"/>
      <c r="AD5" s="57"/>
      <c r="AE5" s="57"/>
      <c r="AF5" s="57"/>
      <c r="AG5" s="57"/>
      <c r="AH5" s="57"/>
      <c r="AI5" s="57"/>
      <c r="AJ5" s="57"/>
      <c r="AK5" s="57"/>
      <c r="AL5" s="57"/>
      <c r="AM5" s="57"/>
      <c r="AN5" s="57"/>
      <c r="AO5" s="57"/>
      <c r="AP5" s="57"/>
    </row>
    <row r="6" spans="1:42" ht="15">
      <c r="A6" s="56"/>
      <c r="B6" s="96"/>
      <c r="C6" s="9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56"/>
      <c r="AO6" s="56"/>
      <c r="AP6" s="56"/>
    </row>
    <row r="7" spans="1:42" ht="15.35">
      <c r="A7" s="56"/>
      <c r="B7" s="385" t="s">
        <v>425</v>
      </c>
      <c r="C7" s="385"/>
      <c r="D7" s="76"/>
      <c r="E7" s="76"/>
      <c r="F7" s="76"/>
      <c r="G7" s="76"/>
      <c r="H7" s="76"/>
      <c r="I7" s="76"/>
      <c r="J7" s="76"/>
      <c r="K7" s="76"/>
      <c r="L7" s="76"/>
      <c r="M7" s="76"/>
      <c r="N7" s="76"/>
      <c r="O7" s="76"/>
      <c r="P7" s="76"/>
      <c r="Q7" s="76"/>
      <c r="R7" s="76"/>
      <c r="S7" s="384"/>
      <c r="T7" s="1288" t="s">
        <v>602</v>
      </c>
      <c r="U7" s="1289"/>
      <c r="V7" s="1289"/>
      <c r="W7" s="1289"/>
      <c r="X7" s="1290"/>
      <c r="Y7" s="1291" t="s">
        <v>603</v>
      </c>
      <c r="Z7" s="1292"/>
      <c r="AA7" s="1292"/>
      <c r="AB7" s="1292"/>
      <c r="AC7" s="1294"/>
      <c r="AD7" s="76"/>
      <c r="AE7" s="76"/>
      <c r="AF7" s="76"/>
      <c r="AG7" s="76"/>
      <c r="AH7" s="76"/>
      <c r="AI7" s="76"/>
      <c r="AJ7" s="76"/>
      <c r="AK7" s="76"/>
      <c r="AL7" s="76"/>
      <c r="AM7" s="76"/>
      <c r="AN7" s="56"/>
      <c r="AO7" s="56"/>
      <c r="AP7" s="56"/>
    </row>
    <row r="8" spans="1:42">
      <c r="A8" s="59"/>
      <c r="B8" s="386"/>
      <c r="C8" s="386"/>
      <c r="D8" s="58"/>
      <c r="E8" s="58"/>
      <c r="F8" s="59"/>
      <c r="G8" s="59"/>
      <c r="H8" s="59"/>
      <c r="I8" s="59"/>
      <c r="J8" s="59"/>
      <c r="K8" s="59"/>
      <c r="L8" s="59"/>
      <c r="M8" s="59"/>
      <c r="N8" s="59"/>
      <c r="O8" s="59"/>
      <c r="P8" s="59"/>
      <c r="Q8" s="59"/>
      <c r="R8" s="59"/>
      <c r="S8" s="59"/>
      <c r="T8" s="216" t="str">
        <f t="shared" ref="T8:AC8" si="0">IF(T9&lt;=Reporting_Year,"Actuals","Forecast")</f>
        <v>Actuals</v>
      </c>
      <c r="U8" s="332" t="str">
        <f t="shared" si="0"/>
        <v>Actuals</v>
      </c>
      <c r="V8" s="332" t="str">
        <f t="shared" si="0"/>
        <v>Forecast</v>
      </c>
      <c r="W8" s="332" t="str">
        <f t="shared" si="0"/>
        <v>Forecast</v>
      </c>
      <c r="X8" s="332" t="str">
        <f t="shared" si="0"/>
        <v>Forecast</v>
      </c>
      <c r="Y8" s="332" t="str">
        <f t="shared" si="0"/>
        <v>Forecast</v>
      </c>
      <c r="Z8" s="332" t="str">
        <f t="shared" si="0"/>
        <v>Forecast</v>
      </c>
      <c r="AA8" s="332" t="str">
        <f t="shared" si="0"/>
        <v>Forecast</v>
      </c>
      <c r="AB8" s="94" t="str">
        <f t="shared" si="0"/>
        <v>Forecast</v>
      </c>
      <c r="AC8" s="217" t="str">
        <f t="shared" si="0"/>
        <v>Forecast</v>
      </c>
      <c r="AD8" s="59"/>
      <c r="AE8" s="59"/>
      <c r="AF8" s="59"/>
      <c r="AG8" s="59"/>
      <c r="AH8" s="59"/>
      <c r="AI8" s="59"/>
      <c r="AJ8" s="59"/>
      <c r="AK8" s="59"/>
      <c r="AL8" s="59"/>
      <c r="AM8" s="59"/>
      <c r="AN8" s="59"/>
      <c r="AO8" s="59"/>
      <c r="AP8" s="59"/>
    </row>
    <row r="9" spans="1:42">
      <c r="A9" s="59"/>
      <c r="B9" s="67"/>
      <c r="C9" s="67"/>
      <c r="D9" s="58"/>
      <c r="E9" s="58"/>
      <c r="F9" s="59" t="s">
        <v>604</v>
      </c>
      <c r="G9" s="59"/>
      <c r="H9" s="59"/>
      <c r="I9" s="59"/>
      <c r="J9" s="59"/>
      <c r="K9" s="59"/>
      <c r="L9" s="59"/>
      <c r="M9" s="59"/>
      <c r="N9" s="59"/>
      <c r="O9" s="355">
        <f>RIIO_2_start_date - 2022</f>
        <v>0</v>
      </c>
      <c r="P9" s="59"/>
      <c r="Q9" s="59"/>
      <c r="R9" s="59"/>
      <c r="S9" s="75" t="s">
        <v>605</v>
      </c>
      <c r="T9" s="25">
        <f>RIIO_2_start_date</f>
        <v>2022</v>
      </c>
      <c r="U9" s="26">
        <f>T9+1</f>
        <v>2023</v>
      </c>
      <c r="V9" s="26">
        <f t="shared" ref="V9:AC9" si="1">U9+1</f>
        <v>2024</v>
      </c>
      <c r="W9" s="26">
        <f t="shared" si="1"/>
        <v>2025</v>
      </c>
      <c r="X9" s="26">
        <f t="shared" si="1"/>
        <v>2026</v>
      </c>
      <c r="Y9" s="26">
        <f t="shared" si="1"/>
        <v>2027</v>
      </c>
      <c r="Z9" s="26">
        <f t="shared" si="1"/>
        <v>2028</v>
      </c>
      <c r="AA9" s="92">
        <f t="shared" si="1"/>
        <v>2029</v>
      </c>
      <c r="AB9" s="95">
        <f t="shared" si="1"/>
        <v>2030</v>
      </c>
      <c r="AC9" s="35">
        <f t="shared" si="1"/>
        <v>2031</v>
      </c>
      <c r="AD9" s="59"/>
      <c r="AE9" s="59"/>
      <c r="AF9" s="59"/>
      <c r="AG9" s="59"/>
      <c r="AH9" s="59"/>
      <c r="AI9" s="59"/>
      <c r="AJ9" s="59"/>
      <c r="AK9" s="59"/>
      <c r="AL9" s="59"/>
      <c r="AM9" s="59"/>
      <c r="AN9" s="59"/>
      <c r="AO9" s="59"/>
      <c r="AP9" s="59"/>
    </row>
    <row r="10" spans="1:42">
      <c r="A10" s="59"/>
      <c r="B10" s="67"/>
      <c r="C10" s="67"/>
      <c r="D10" s="59"/>
      <c r="E10" s="59"/>
      <c r="F10" s="59"/>
      <c r="G10" s="59"/>
      <c r="H10" s="59"/>
      <c r="I10" s="59"/>
      <c r="J10" s="59"/>
      <c r="K10" s="59"/>
      <c r="L10" s="59"/>
      <c r="M10" s="59"/>
      <c r="N10" s="59"/>
      <c r="O10" s="59"/>
      <c r="P10" s="59"/>
      <c r="Q10" s="59"/>
      <c r="R10" s="59"/>
      <c r="S10" s="59" t="s">
        <v>720</v>
      </c>
      <c r="T10" s="357">
        <f>DATE(T$9 - 1, 4, 1)</f>
        <v>44287</v>
      </c>
      <c r="U10" s="357">
        <f t="shared" ref="U10:AC10" si="2">DATE(U$9 - 1, 4, 1)</f>
        <v>44652</v>
      </c>
      <c r="V10" s="357">
        <f t="shared" si="2"/>
        <v>45017</v>
      </c>
      <c r="W10" s="357">
        <f t="shared" si="2"/>
        <v>45383</v>
      </c>
      <c r="X10" s="357">
        <f t="shared" si="2"/>
        <v>45748</v>
      </c>
      <c r="Y10" s="357">
        <f t="shared" si="2"/>
        <v>46113</v>
      </c>
      <c r="Z10" s="357">
        <f t="shared" si="2"/>
        <v>46478</v>
      </c>
      <c r="AA10" s="357">
        <f t="shared" si="2"/>
        <v>46844</v>
      </c>
      <c r="AB10" s="357">
        <f t="shared" si="2"/>
        <v>47209</v>
      </c>
      <c r="AC10" s="357">
        <f t="shared" si="2"/>
        <v>47574</v>
      </c>
      <c r="AD10" s="59"/>
      <c r="AE10" s="59"/>
      <c r="AF10" s="59"/>
      <c r="AG10" s="59"/>
      <c r="AH10" s="59"/>
      <c r="AI10" s="59"/>
      <c r="AJ10" s="59"/>
      <c r="AK10" s="59"/>
      <c r="AL10" s="59"/>
      <c r="AM10" s="59"/>
      <c r="AN10" s="59"/>
      <c r="AO10" s="59"/>
      <c r="AP10" s="59"/>
    </row>
    <row r="11" spans="1:42">
      <c r="A11" s="59"/>
      <c r="B11" s="59"/>
      <c r="C11" s="59"/>
      <c r="D11" s="59"/>
      <c r="E11" s="59"/>
      <c r="F11" s="59"/>
      <c r="G11" s="59"/>
      <c r="H11" s="59"/>
      <c r="I11" s="59"/>
      <c r="J11" s="59"/>
      <c r="K11" s="59"/>
      <c r="L11" s="59"/>
      <c r="M11" s="59"/>
      <c r="N11" s="59"/>
      <c r="O11" s="59"/>
      <c r="P11" s="59"/>
      <c r="Q11" s="59"/>
      <c r="R11" s="59"/>
      <c r="S11" s="59" t="s">
        <v>33</v>
      </c>
      <c r="T11" s="357">
        <f>DATE(T$9, 3, 31)</f>
        <v>44651</v>
      </c>
      <c r="U11" s="357">
        <f t="shared" ref="U11:AC11" si="3">DATE(U$9, 3, 31)</f>
        <v>45016</v>
      </c>
      <c r="V11" s="357">
        <f t="shared" si="3"/>
        <v>45382</v>
      </c>
      <c r="W11" s="357">
        <f t="shared" si="3"/>
        <v>45747</v>
      </c>
      <c r="X11" s="357">
        <f t="shared" si="3"/>
        <v>46112</v>
      </c>
      <c r="Y11" s="357">
        <f t="shared" si="3"/>
        <v>46477</v>
      </c>
      <c r="Z11" s="357">
        <f t="shared" si="3"/>
        <v>46843</v>
      </c>
      <c r="AA11" s="357">
        <f t="shared" si="3"/>
        <v>47208</v>
      </c>
      <c r="AB11" s="357">
        <f t="shared" si="3"/>
        <v>47573</v>
      </c>
      <c r="AC11" s="357">
        <f t="shared" si="3"/>
        <v>47938</v>
      </c>
      <c r="AD11" s="59"/>
      <c r="AE11" s="59"/>
      <c r="AF11" s="59"/>
      <c r="AG11" s="59"/>
      <c r="AH11" s="59"/>
      <c r="AI11" s="59"/>
      <c r="AJ11" s="59"/>
      <c r="AK11" s="59"/>
      <c r="AL11" s="59"/>
      <c r="AM11" s="59"/>
      <c r="AN11" s="59"/>
      <c r="AO11" s="59"/>
      <c r="AP11" s="59"/>
    </row>
    <row r="12" spans="1:42">
      <c r="A12" s="59"/>
      <c r="B12" s="83" t="s">
        <v>721</v>
      </c>
      <c r="C12" s="83"/>
      <c r="D12" s="58" t="s">
        <v>722</v>
      </c>
      <c r="E12" s="58"/>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row>
    <row r="13" spans="1:42" outlineLevel="1">
      <c r="A13" s="59"/>
      <c r="B13" s="67"/>
      <c r="C13" s="67"/>
      <c r="D13" s="59"/>
      <c r="E13" s="59"/>
      <c r="F13" s="61"/>
      <c r="G13" s="61"/>
      <c r="H13" s="61"/>
      <c r="I13" s="61"/>
      <c r="J13" s="59"/>
      <c r="K13" s="59"/>
      <c r="L13" s="59"/>
      <c r="M13" s="59"/>
      <c r="N13" s="59"/>
      <c r="O13" s="59"/>
      <c r="P13" s="59"/>
      <c r="Q13" s="59"/>
      <c r="R13" s="59"/>
      <c r="S13" s="59"/>
      <c r="T13" s="71" t="s">
        <v>611</v>
      </c>
      <c r="U13" s="72" t="s">
        <v>611</v>
      </c>
      <c r="V13" s="72" t="s">
        <v>611</v>
      </c>
      <c r="W13" s="72" t="s">
        <v>611</v>
      </c>
      <c r="X13" s="72" t="s">
        <v>611</v>
      </c>
      <c r="Y13" s="72" t="s">
        <v>611</v>
      </c>
      <c r="Z13" s="72" t="s">
        <v>611</v>
      </c>
      <c r="AA13" s="77" t="s">
        <v>611</v>
      </c>
      <c r="AB13" s="80" t="s">
        <v>611</v>
      </c>
      <c r="AC13" s="72" t="s">
        <v>611</v>
      </c>
      <c r="AD13" s="59"/>
      <c r="AE13" s="59"/>
      <c r="AF13" s="59"/>
      <c r="AG13" s="59"/>
      <c r="AH13" s="59"/>
      <c r="AI13" s="59"/>
      <c r="AJ13" s="59"/>
      <c r="AK13" s="59"/>
      <c r="AL13" s="59"/>
      <c r="AM13" s="59"/>
      <c r="AN13" s="59"/>
      <c r="AO13" s="59"/>
      <c r="AP13" s="59"/>
    </row>
    <row r="14" spans="1:42" outlineLevel="1">
      <c r="A14" s="59"/>
      <c r="B14" s="67"/>
      <c r="C14" s="67"/>
      <c r="D14" s="59"/>
      <c r="E14" s="59"/>
      <c r="F14" s="59" t="s">
        <v>723</v>
      </c>
      <c r="G14" s="59"/>
      <c r="H14" s="59"/>
      <c r="I14" s="59"/>
      <c r="J14" s="59"/>
      <c r="K14" s="59"/>
      <c r="L14" s="59"/>
      <c r="M14" s="59"/>
      <c r="N14" s="59"/>
      <c r="O14" s="59"/>
      <c r="P14" s="59"/>
      <c r="Q14" s="59"/>
      <c r="R14" s="59"/>
      <c r="S14" s="59"/>
      <c r="T14" s="137">
        <v>-13</v>
      </c>
      <c r="U14" s="137">
        <v>-21</v>
      </c>
      <c r="V14" s="137">
        <v>-339.2</v>
      </c>
      <c r="W14" s="137">
        <v>-583.18444406951801</v>
      </c>
      <c r="X14" s="137">
        <v>-134.40600000000001</v>
      </c>
      <c r="Y14" s="137">
        <v>-60</v>
      </c>
      <c r="Z14" s="137">
        <v>-60</v>
      </c>
      <c r="AA14" s="137">
        <v>-60</v>
      </c>
      <c r="AB14" s="137">
        <v>-60</v>
      </c>
      <c r="AC14" s="137">
        <v>-60</v>
      </c>
      <c r="AD14" s="59"/>
      <c r="AE14" s="59"/>
      <c r="AF14" s="59"/>
      <c r="AG14" s="59"/>
      <c r="AH14" s="59"/>
      <c r="AI14" s="59"/>
      <c r="AJ14" s="59"/>
      <c r="AK14" s="59"/>
      <c r="AL14" s="59"/>
      <c r="AM14" s="59"/>
      <c r="AN14" s="59"/>
      <c r="AO14" s="59"/>
      <c r="AP14" s="59"/>
    </row>
    <row r="15" spans="1:42" outlineLevel="1">
      <c r="A15" s="59"/>
      <c r="B15" s="67"/>
      <c r="C15" s="67"/>
      <c r="D15" s="59"/>
      <c r="E15" s="59"/>
      <c r="F15" s="59" t="s">
        <v>724</v>
      </c>
      <c r="G15" s="59"/>
      <c r="H15" s="59"/>
      <c r="I15" s="59"/>
      <c r="J15" s="59"/>
      <c r="K15" s="59"/>
      <c r="L15" s="59"/>
      <c r="M15" s="59"/>
      <c r="N15" s="59"/>
      <c r="O15" s="59"/>
      <c r="P15" s="59"/>
      <c r="Q15" s="59"/>
      <c r="R15" s="59"/>
      <c r="S15" s="59"/>
      <c r="T15" s="137">
        <v>0</v>
      </c>
      <c r="U15" s="137">
        <v>0</v>
      </c>
      <c r="V15" s="137">
        <v>0</v>
      </c>
      <c r="W15" s="137">
        <v>0</v>
      </c>
      <c r="X15" s="137">
        <v>0</v>
      </c>
      <c r="Y15" s="137">
        <v>0</v>
      </c>
      <c r="Z15" s="137">
        <v>0</v>
      </c>
      <c r="AA15" s="137">
        <v>0</v>
      </c>
      <c r="AB15" s="137">
        <v>0</v>
      </c>
      <c r="AC15" s="137">
        <v>0</v>
      </c>
      <c r="AD15" s="59"/>
      <c r="AE15" s="59"/>
      <c r="AF15" s="59"/>
      <c r="AG15" s="59"/>
      <c r="AH15" s="59"/>
      <c r="AI15" s="59"/>
      <c r="AJ15" s="59"/>
      <c r="AK15" s="59"/>
      <c r="AL15" s="59"/>
      <c r="AM15" s="59"/>
      <c r="AN15" s="59"/>
      <c r="AO15" s="59"/>
      <c r="AP15" s="59"/>
    </row>
    <row r="16" spans="1:42" outlineLevel="1">
      <c r="A16" s="59"/>
      <c r="B16" s="67"/>
      <c r="C16" s="67"/>
      <c r="D16" s="59"/>
      <c r="E16" s="59"/>
      <c r="F16" s="59" t="s">
        <v>725</v>
      </c>
      <c r="G16" s="59"/>
      <c r="H16" s="59"/>
      <c r="I16" s="59"/>
      <c r="J16" s="59"/>
      <c r="K16" s="59"/>
      <c r="L16" s="59"/>
      <c r="M16" s="59"/>
      <c r="N16" s="59"/>
      <c r="O16" s="59"/>
      <c r="P16" s="59"/>
      <c r="Q16" s="59"/>
      <c r="R16" s="59"/>
      <c r="S16" s="59"/>
      <c r="T16" s="137">
        <v>-80</v>
      </c>
      <c r="U16" s="137">
        <v>-523</v>
      </c>
      <c r="V16" s="137">
        <v>0</v>
      </c>
      <c r="W16" s="137">
        <v>0</v>
      </c>
      <c r="X16" s="137">
        <v>0</v>
      </c>
      <c r="Y16" s="137">
        <v>0</v>
      </c>
      <c r="Z16" s="137">
        <v>0</v>
      </c>
      <c r="AA16" s="137">
        <v>0</v>
      </c>
      <c r="AB16" s="137">
        <v>0</v>
      </c>
      <c r="AC16" s="137">
        <v>0</v>
      </c>
      <c r="AD16" s="59"/>
      <c r="AE16" s="59"/>
      <c r="AF16" s="59"/>
      <c r="AG16" s="59"/>
      <c r="AH16" s="59"/>
      <c r="AI16" s="59"/>
      <c r="AJ16" s="59"/>
      <c r="AK16" s="59"/>
      <c r="AL16" s="59"/>
      <c r="AM16" s="59"/>
      <c r="AN16" s="59"/>
      <c r="AO16" s="59"/>
      <c r="AP16" s="59"/>
    </row>
    <row r="17" spans="1:42" outlineLevel="1">
      <c r="A17" s="59"/>
      <c r="B17" s="67"/>
      <c r="C17" s="67"/>
      <c r="D17" s="59"/>
      <c r="E17" s="59"/>
      <c r="F17" s="59" t="s">
        <v>726</v>
      </c>
      <c r="G17" s="59"/>
      <c r="H17" s="59"/>
      <c r="I17" s="59"/>
      <c r="J17" s="59"/>
      <c r="K17" s="59"/>
      <c r="L17" s="59"/>
      <c r="M17" s="59"/>
      <c r="N17" s="59"/>
      <c r="O17" s="59"/>
      <c r="P17" s="59"/>
      <c r="Q17" s="59"/>
      <c r="R17" s="59"/>
      <c r="S17" s="59"/>
      <c r="T17" s="137">
        <v>1</v>
      </c>
      <c r="U17" s="137">
        <v>0</v>
      </c>
      <c r="V17" s="137">
        <v>0</v>
      </c>
      <c r="W17" s="137">
        <v>0</v>
      </c>
      <c r="X17" s="137">
        <v>0</v>
      </c>
      <c r="Y17" s="137">
        <v>0</v>
      </c>
      <c r="Z17" s="137">
        <v>0</v>
      </c>
      <c r="AA17" s="137">
        <v>0</v>
      </c>
      <c r="AB17" s="137">
        <v>0</v>
      </c>
      <c r="AC17" s="137">
        <v>0</v>
      </c>
      <c r="AD17" s="59"/>
      <c r="AE17" s="59"/>
      <c r="AF17" s="59"/>
      <c r="AG17" s="59"/>
      <c r="AH17" s="59"/>
      <c r="AI17" s="59"/>
      <c r="AJ17" s="59"/>
      <c r="AK17" s="59"/>
      <c r="AL17" s="59"/>
      <c r="AM17" s="59"/>
      <c r="AN17" s="59"/>
      <c r="AO17" s="59"/>
      <c r="AP17" s="59"/>
    </row>
    <row r="18" spans="1:42" outlineLevel="1">
      <c r="A18" s="59"/>
      <c r="B18" s="67"/>
      <c r="C18" s="67"/>
      <c r="D18" s="59"/>
      <c r="E18" s="59"/>
      <c r="F18" s="59" t="s">
        <v>727</v>
      </c>
      <c r="G18" s="59"/>
      <c r="H18" s="59"/>
      <c r="I18" s="59"/>
      <c r="J18" s="59"/>
      <c r="K18" s="59"/>
      <c r="L18" s="59"/>
      <c r="M18" s="59"/>
      <c r="N18" s="59"/>
      <c r="O18" s="59"/>
      <c r="P18" s="59"/>
      <c r="Q18" s="59"/>
      <c r="R18" s="59"/>
      <c r="S18" s="59"/>
      <c r="T18" s="137">
        <v>0</v>
      </c>
      <c r="U18" s="137">
        <v>0</v>
      </c>
      <c r="V18" s="137">
        <v>0</v>
      </c>
      <c r="W18" s="137">
        <v>0</v>
      </c>
      <c r="X18" s="137">
        <v>0</v>
      </c>
      <c r="Y18" s="137">
        <v>0</v>
      </c>
      <c r="Z18" s="137">
        <v>0</v>
      </c>
      <c r="AA18" s="137">
        <v>0</v>
      </c>
      <c r="AB18" s="137">
        <v>0</v>
      </c>
      <c r="AC18" s="137">
        <v>0</v>
      </c>
      <c r="AD18" s="59"/>
      <c r="AE18" s="59"/>
      <c r="AF18" s="59"/>
      <c r="AG18" s="59"/>
      <c r="AH18" s="59"/>
      <c r="AI18" s="59"/>
      <c r="AJ18" s="59"/>
      <c r="AK18" s="59"/>
      <c r="AL18" s="59"/>
      <c r="AM18" s="59"/>
      <c r="AN18" s="59"/>
      <c r="AO18" s="59"/>
      <c r="AP18" s="59"/>
    </row>
    <row r="19" spans="1:42" outlineLevel="1">
      <c r="A19" s="59"/>
      <c r="B19" s="67"/>
      <c r="C19" s="67"/>
      <c r="D19" s="59"/>
      <c r="E19" s="59"/>
      <c r="F19" s="59" t="s">
        <v>728</v>
      </c>
      <c r="G19" s="59"/>
      <c r="H19" s="59"/>
      <c r="I19" s="59"/>
      <c r="J19" s="59"/>
      <c r="K19" s="59"/>
      <c r="L19" s="59"/>
      <c r="M19" s="59"/>
      <c r="N19" s="59"/>
      <c r="O19" s="59"/>
      <c r="P19" s="59"/>
      <c r="Q19" s="59"/>
      <c r="R19" s="59"/>
      <c r="S19" s="59"/>
      <c r="T19" s="137">
        <v>0</v>
      </c>
      <c r="U19" s="137">
        <v>0</v>
      </c>
      <c r="V19" s="137">
        <v>0</v>
      </c>
      <c r="W19" s="137">
        <v>0</v>
      </c>
      <c r="X19" s="137">
        <v>0</v>
      </c>
      <c r="Y19" s="137">
        <v>0</v>
      </c>
      <c r="Z19" s="137">
        <v>0</v>
      </c>
      <c r="AA19" s="137">
        <v>0</v>
      </c>
      <c r="AB19" s="137">
        <v>0</v>
      </c>
      <c r="AC19" s="137">
        <v>0</v>
      </c>
      <c r="AD19" s="59"/>
      <c r="AE19" s="59"/>
      <c r="AF19" s="59"/>
      <c r="AG19" s="59"/>
      <c r="AH19" s="59"/>
      <c r="AI19" s="59"/>
      <c r="AJ19" s="59"/>
      <c r="AK19" s="59"/>
      <c r="AL19" s="59"/>
      <c r="AM19" s="59"/>
      <c r="AN19" s="59"/>
      <c r="AO19" s="59"/>
      <c r="AP19" s="59"/>
    </row>
    <row r="20" spans="1:42" ht="12.75" customHeight="1" outlineLevel="1">
      <c r="A20" s="59"/>
      <c r="B20" s="67"/>
      <c r="C20" s="67"/>
      <c r="D20" s="59"/>
      <c r="E20" s="59"/>
      <c r="F20" s="358" t="s">
        <v>1123</v>
      </c>
      <c r="G20" s="359"/>
      <c r="H20" s="360"/>
      <c r="I20" s="360"/>
      <c r="J20" s="361"/>
      <c r="K20" s="66"/>
      <c r="L20" s="66"/>
      <c r="M20" s="66"/>
      <c r="N20" s="66"/>
      <c r="O20" s="66"/>
      <c r="P20" s="59"/>
      <c r="Q20" s="66"/>
      <c r="R20" s="66"/>
      <c r="S20" s="66"/>
      <c r="T20" s="137">
        <v>0</v>
      </c>
      <c r="U20" s="137">
        <v>0</v>
      </c>
      <c r="V20" s="137">
        <v>0</v>
      </c>
      <c r="W20" s="137">
        <v>0</v>
      </c>
      <c r="X20" s="137">
        <v>0</v>
      </c>
      <c r="Y20" s="137">
        <v>0</v>
      </c>
      <c r="Z20" s="137">
        <v>0</v>
      </c>
      <c r="AA20" s="137">
        <v>0</v>
      </c>
      <c r="AB20" s="137">
        <v>0</v>
      </c>
      <c r="AC20" s="137">
        <v>0</v>
      </c>
      <c r="AD20" s="59"/>
      <c r="AE20" s="59"/>
      <c r="AF20" s="59"/>
      <c r="AG20" s="59"/>
      <c r="AH20" s="59"/>
      <c r="AI20" s="59"/>
      <c r="AJ20" s="59"/>
      <c r="AK20" s="59"/>
      <c r="AL20" s="59"/>
      <c r="AM20" s="59"/>
      <c r="AN20" s="59"/>
      <c r="AO20" s="59"/>
      <c r="AP20" s="59"/>
    </row>
    <row r="21" spans="1:42" ht="12.75" customHeight="1" outlineLevel="1">
      <c r="A21" s="59"/>
      <c r="B21" s="67"/>
      <c r="C21" s="67"/>
      <c r="D21" s="59"/>
      <c r="E21" s="59"/>
      <c r="F21" s="358" t="s">
        <v>1124</v>
      </c>
      <c r="G21" s="359"/>
      <c r="H21" s="360"/>
      <c r="I21" s="360"/>
      <c r="J21" s="361"/>
      <c r="K21" s="66"/>
      <c r="L21" s="66"/>
      <c r="M21" s="66"/>
      <c r="N21" s="66"/>
      <c r="O21" s="66"/>
      <c r="P21" s="59"/>
      <c r="Q21" s="66"/>
      <c r="R21" s="66"/>
      <c r="S21" s="66"/>
      <c r="T21" s="362">
        <v>0</v>
      </c>
      <c r="U21" s="363">
        <v>0</v>
      </c>
      <c r="V21" s="363">
        <v>0</v>
      </c>
      <c r="W21" s="363">
        <v>0</v>
      </c>
      <c r="X21" s="363">
        <v>0</v>
      </c>
      <c r="Y21" s="363">
        <v>0</v>
      </c>
      <c r="Z21" s="363">
        <v>0</v>
      </c>
      <c r="AA21" s="137">
        <v>0</v>
      </c>
      <c r="AB21" s="137">
        <v>0</v>
      </c>
      <c r="AC21" s="363">
        <v>0</v>
      </c>
      <c r="AD21" s="59"/>
      <c r="AE21" s="59"/>
      <c r="AF21" s="59"/>
      <c r="AG21" s="59"/>
      <c r="AH21" s="59"/>
      <c r="AI21" s="59"/>
      <c r="AJ21" s="59"/>
      <c r="AK21" s="59"/>
      <c r="AL21" s="59"/>
      <c r="AM21" s="59"/>
      <c r="AN21" s="59"/>
      <c r="AO21" s="59"/>
      <c r="AP21" s="59"/>
    </row>
    <row r="22" spans="1:42" ht="12.75" customHeight="1" outlineLevel="1">
      <c r="A22" s="59"/>
      <c r="B22" s="67"/>
      <c r="C22" s="67"/>
      <c r="D22" s="59"/>
      <c r="E22" s="59"/>
      <c r="F22" s="358" t="s">
        <v>1125</v>
      </c>
      <c r="G22" s="359"/>
      <c r="H22" s="360"/>
      <c r="I22" s="360"/>
      <c r="J22" s="361"/>
      <c r="K22" s="66"/>
      <c r="L22" s="66"/>
      <c r="M22" s="66"/>
      <c r="N22" s="66"/>
      <c r="O22" s="66"/>
      <c r="P22" s="59"/>
      <c r="Q22" s="66"/>
      <c r="R22" s="66"/>
      <c r="S22" s="66"/>
      <c r="T22" s="362">
        <v>0</v>
      </c>
      <c r="U22" s="363">
        <v>0</v>
      </c>
      <c r="V22" s="363">
        <v>0</v>
      </c>
      <c r="W22" s="363">
        <v>0</v>
      </c>
      <c r="X22" s="363">
        <v>0</v>
      </c>
      <c r="Y22" s="363">
        <v>0</v>
      </c>
      <c r="Z22" s="363">
        <v>0</v>
      </c>
      <c r="AA22" s="137">
        <v>0</v>
      </c>
      <c r="AB22" s="137">
        <v>0</v>
      </c>
      <c r="AC22" s="363">
        <v>0</v>
      </c>
      <c r="AD22" s="59"/>
      <c r="AE22" s="59"/>
      <c r="AF22" s="59"/>
      <c r="AG22" s="59"/>
      <c r="AH22" s="59"/>
      <c r="AI22" s="59"/>
      <c r="AJ22" s="59"/>
      <c r="AK22" s="59"/>
      <c r="AL22" s="59"/>
      <c r="AM22" s="59"/>
      <c r="AN22" s="59"/>
      <c r="AO22" s="59"/>
      <c r="AP22" s="59"/>
    </row>
    <row r="23" spans="1:42" ht="12.75" customHeight="1" outlineLevel="1">
      <c r="A23" s="59"/>
      <c r="B23" s="67"/>
      <c r="C23" s="67"/>
      <c r="D23" s="59"/>
      <c r="E23" s="59"/>
      <c r="F23" s="358" t="s">
        <v>1126</v>
      </c>
      <c r="G23" s="359"/>
      <c r="H23" s="360"/>
      <c r="I23" s="360"/>
      <c r="J23" s="361"/>
      <c r="K23" s="66"/>
      <c r="L23" s="66"/>
      <c r="M23" s="66"/>
      <c r="N23" s="66"/>
      <c r="O23" s="66"/>
      <c r="P23" s="59"/>
      <c r="Q23" s="66"/>
      <c r="R23" s="66"/>
      <c r="S23" s="66"/>
      <c r="T23" s="362">
        <v>0</v>
      </c>
      <c r="U23" s="363">
        <v>0</v>
      </c>
      <c r="V23" s="363">
        <v>0</v>
      </c>
      <c r="W23" s="363">
        <v>0</v>
      </c>
      <c r="X23" s="363">
        <v>0</v>
      </c>
      <c r="Y23" s="363">
        <v>0</v>
      </c>
      <c r="Z23" s="363">
        <v>0</v>
      </c>
      <c r="AA23" s="137">
        <v>0</v>
      </c>
      <c r="AB23" s="137">
        <v>0</v>
      </c>
      <c r="AC23" s="363">
        <v>0</v>
      </c>
      <c r="AD23" s="59"/>
      <c r="AE23" s="59"/>
      <c r="AF23" s="59"/>
      <c r="AG23" s="59"/>
      <c r="AH23" s="59"/>
      <c r="AI23" s="59"/>
      <c r="AJ23" s="59"/>
      <c r="AK23" s="59"/>
      <c r="AL23" s="59"/>
      <c r="AM23" s="59"/>
      <c r="AN23" s="59"/>
      <c r="AO23" s="59"/>
      <c r="AP23" s="59"/>
    </row>
    <row r="24" spans="1:42" ht="12.75" customHeight="1" outlineLevel="1">
      <c r="A24" s="59"/>
      <c r="B24" s="67"/>
      <c r="C24" s="67"/>
      <c r="D24" s="59"/>
      <c r="E24" s="59"/>
      <c r="F24" s="358" t="s">
        <v>1127</v>
      </c>
      <c r="G24" s="359"/>
      <c r="H24" s="360"/>
      <c r="I24" s="360"/>
      <c r="J24" s="361"/>
      <c r="K24" s="66"/>
      <c r="L24" s="66"/>
      <c r="M24" s="66"/>
      <c r="N24" s="66"/>
      <c r="O24" s="66"/>
      <c r="P24" s="59"/>
      <c r="Q24" s="66"/>
      <c r="R24" s="66"/>
      <c r="S24" s="66"/>
      <c r="T24" s="362">
        <v>0</v>
      </c>
      <c r="U24" s="363">
        <v>0</v>
      </c>
      <c r="V24" s="363">
        <v>0</v>
      </c>
      <c r="W24" s="363">
        <v>0</v>
      </c>
      <c r="X24" s="363">
        <v>0</v>
      </c>
      <c r="Y24" s="363">
        <v>0</v>
      </c>
      <c r="Z24" s="363">
        <v>0</v>
      </c>
      <c r="AA24" s="137">
        <v>0</v>
      </c>
      <c r="AB24" s="137">
        <v>0</v>
      </c>
      <c r="AC24" s="363">
        <v>0</v>
      </c>
      <c r="AD24" s="59"/>
      <c r="AE24" s="59"/>
      <c r="AF24" s="59"/>
      <c r="AG24" s="59"/>
      <c r="AH24" s="59"/>
      <c r="AI24" s="59"/>
      <c r="AJ24" s="59"/>
      <c r="AK24" s="59"/>
      <c r="AL24" s="59"/>
      <c r="AM24" s="59"/>
      <c r="AN24" s="59"/>
      <c r="AO24" s="59"/>
      <c r="AP24" s="59"/>
    </row>
    <row r="25" spans="1:42" ht="12.75" customHeight="1" outlineLevel="1">
      <c r="A25" s="59"/>
      <c r="B25" s="67"/>
      <c r="C25" s="67"/>
      <c r="D25" s="59"/>
      <c r="E25" s="59"/>
      <c r="F25" s="358" t="s">
        <v>1128</v>
      </c>
      <c r="G25" s="359"/>
      <c r="H25" s="360"/>
      <c r="I25" s="360"/>
      <c r="J25" s="361"/>
      <c r="K25" s="66"/>
      <c r="L25" s="66"/>
      <c r="M25" s="66"/>
      <c r="N25" s="66"/>
      <c r="O25" s="66"/>
      <c r="P25" s="59"/>
      <c r="Q25" s="66"/>
      <c r="R25" s="66"/>
      <c r="S25" s="66"/>
      <c r="T25" s="362">
        <v>0</v>
      </c>
      <c r="U25" s="363">
        <v>0</v>
      </c>
      <c r="V25" s="363">
        <v>0</v>
      </c>
      <c r="W25" s="363">
        <v>0</v>
      </c>
      <c r="X25" s="363">
        <v>0</v>
      </c>
      <c r="Y25" s="363">
        <v>0</v>
      </c>
      <c r="Z25" s="363">
        <v>0</v>
      </c>
      <c r="AA25" s="137">
        <v>0</v>
      </c>
      <c r="AB25" s="137">
        <v>0</v>
      </c>
      <c r="AC25" s="363">
        <v>0</v>
      </c>
      <c r="AD25" s="59"/>
      <c r="AE25" s="59"/>
      <c r="AF25" s="59"/>
      <c r="AG25" s="59"/>
      <c r="AH25" s="59"/>
      <c r="AI25" s="59"/>
      <c r="AJ25" s="59"/>
      <c r="AK25" s="59"/>
      <c r="AL25" s="59"/>
      <c r="AM25" s="59"/>
      <c r="AN25" s="59"/>
      <c r="AO25" s="59"/>
      <c r="AP25" s="59"/>
    </row>
    <row r="26" spans="1:42" ht="12.75" customHeight="1" outlineLevel="1">
      <c r="A26" s="59"/>
      <c r="B26" s="67"/>
      <c r="C26" s="67"/>
      <c r="D26" s="59"/>
      <c r="E26" s="59"/>
      <c r="F26" s="358" t="s">
        <v>703</v>
      </c>
      <c r="G26" s="359"/>
      <c r="H26" s="360"/>
      <c r="I26" s="360"/>
      <c r="J26" s="361"/>
      <c r="K26" s="66"/>
      <c r="L26" s="66"/>
      <c r="M26" s="66"/>
      <c r="N26" s="66"/>
      <c r="O26" s="66"/>
      <c r="P26" s="59"/>
      <c r="Q26" s="66"/>
      <c r="R26" s="66"/>
      <c r="S26" s="66"/>
      <c r="T26" s="362">
        <v>0</v>
      </c>
      <c r="U26" s="363">
        <v>0</v>
      </c>
      <c r="V26" s="363">
        <v>0</v>
      </c>
      <c r="W26" s="363">
        <v>0</v>
      </c>
      <c r="X26" s="363">
        <v>0</v>
      </c>
      <c r="Y26" s="363">
        <v>0</v>
      </c>
      <c r="Z26" s="363">
        <v>0</v>
      </c>
      <c r="AA26" s="137">
        <v>0</v>
      </c>
      <c r="AB26" s="137">
        <v>0</v>
      </c>
      <c r="AC26" s="363">
        <v>0</v>
      </c>
      <c r="AD26" s="59"/>
      <c r="AE26" s="59"/>
      <c r="AF26" s="59"/>
      <c r="AG26" s="59"/>
      <c r="AH26" s="59"/>
      <c r="AI26" s="59"/>
      <c r="AJ26" s="59"/>
      <c r="AK26" s="59"/>
      <c r="AL26" s="59"/>
      <c r="AM26" s="59"/>
      <c r="AN26" s="59"/>
      <c r="AO26" s="59"/>
      <c r="AP26" s="59"/>
    </row>
    <row r="27" spans="1:42" ht="12.75" customHeight="1" outlineLevel="1">
      <c r="A27" s="59"/>
      <c r="B27" s="67"/>
      <c r="C27" s="67"/>
      <c r="D27" s="59"/>
      <c r="E27" s="59"/>
      <c r="F27" s="358" t="s">
        <v>704</v>
      </c>
      <c r="G27" s="359"/>
      <c r="H27" s="360"/>
      <c r="I27" s="360"/>
      <c r="J27" s="361"/>
      <c r="K27" s="66"/>
      <c r="L27" s="66"/>
      <c r="M27" s="66"/>
      <c r="N27" s="66"/>
      <c r="O27" s="66"/>
      <c r="P27" s="59"/>
      <c r="Q27" s="66"/>
      <c r="R27" s="66"/>
      <c r="S27" s="66"/>
      <c r="T27" s="362">
        <v>0</v>
      </c>
      <c r="U27" s="363">
        <v>0</v>
      </c>
      <c r="V27" s="363">
        <v>0</v>
      </c>
      <c r="W27" s="363">
        <v>0</v>
      </c>
      <c r="X27" s="363">
        <v>0</v>
      </c>
      <c r="Y27" s="363">
        <v>0</v>
      </c>
      <c r="Z27" s="363">
        <v>0</v>
      </c>
      <c r="AA27" s="137">
        <v>0</v>
      </c>
      <c r="AB27" s="137">
        <v>0</v>
      </c>
      <c r="AC27" s="363">
        <v>0</v>
      </c>
      <c r="AD27" s="59"/>
      <c r="AE27" s="59"/>
      <c r="AF27" s="59"/>
      <c r="AG27" s="59"/>
      <c r="AH27" s="59"/>
      <c r="AI27" s="59"/>
      <c r="AJ27" s="59"/>
      <c r="AK27" s="59"/>
      <c r="AL27" s="59"/>
      <c r="AM27" s="59"/>
      <c r="AN27" s="59"/>
      <c r="AO27" s="59"/>
      <c r="AP27" s="59"/>
    </row>
    <row r="28" spans="1:42" ht="12.75" customHeight="1" outlineLevel="1">
      <c r="A28" s="59"/>
      <c r="B28" s="67"/>
      <c r="C28" s="67"/>
      <c r="D28" s="59"/>
      <c r="E28" s="59"/>
      <c r="F28" s="358" t="s">
        <v>705</v>
      </c>
      <c r="G28" s="359"/>
      <c r="H28" s="360"/>
      <c r="I28" s="360"/>
      <c r="J28" s="361"/>
      <c r="K28" s="66"/>
      <c r="L28" s="66"/>
      <c r="M28" s="66"/>
      <c r="N28" s="66"/>
      <c r="O28" s="66"/>
      <c r="P28" s="59"/>
      <c r="Q28" s="66"/>
      <c r="R28" s="66"/>
      <c r="S28" s="66"/>
      <c r="T28" s="362">
        <v>0</v>
      </c>
      <c r="U28" s="363">
        <v>0</v>
      </c>
      <c r="V28" s="363">
        <v>0</v>
      </c>
      <c r="W28" s="363">
        <v>0</v>
      </c>
      <c r="X28" s="363">
        <v>0</v>
      </c>
      <c r="Y28" s="363">
        <v>0</v>
      </c>
      <c r="Z28" s="363">
        <v>0</v>
      </c>
      <c r="AA28" s="137">
        <v>0</v>
      </c>
      <c r="AB28" s="137">
        <v>0</v>
      </c>
      <c r="AC28" s="363">
        <v>0</v>
      </c>
      <c r="AD28" s="59"/>
      <c r="AE28" s="59"/>
      <c r="AF28" s="59"/>
      <c r="AG28" s="59"/>
      <c r="AH28" s="59"/>
      <c r="AI28" s="59"/>
      <c r="AJ28" s="59"/>
      <c r="AK28" s="59"/>
      <c r="AL28" s="59"/>
      <c r="AM28" s="59"/>
      <c r="AN28" s="59"/>
      <c r="AO28" s="59"/>
      <c r="AP28" s="59"/>
    </row>
    <row r="29" spans="1:42" ht="12.75" customHeight="1" outlineLevel="1">
      <c r="A29" s="59"/>
      <c r="B29" s="67"/>
      <c r="C29" s="67"/>
      <c r="D29" s="59"/>
      <c r="E29" s="59"/>
      <c r="F29" s="358" t="s">
        <v>706</v>
      </c>
      <c r="G29" s="359"/>
      <c r="H29" s="360"/>
      <c r="I29" s="360"/>
      <c r="J29" s="361"/>
      <c r="K29" s="66"/>
      <c r="L29" s="66"/>
      <c r="M29" s="66"/>
      <c r="N29" s="66"/>
      <c r="O29" s="66"/>
      <c r="P29" s="59"/>
      <c r="Q29" s="66"/>
      <c r="R29" s="66"/>
      <c r="S29" s="66"/>
      <c r="T29" s="362">
        <v>0</v>
      </c>
      <c r="U29" s="363">
        <v>0</v>
      </c>
      <c r="V29" s="363">
        <v>0</v>
      </c>
      <c r="W29" s="363">
        <v>0</v>
      </c>
      <c r="X29" s="363">
        <v>0</v>
      </c>
      <c r="Y29" s="363">
        <v>0</v>
      </c>
      <c r="Z29" s="363">
        <v>0</v>
      </c>
      <c r="AA29" s="137">
        <v>0</v>
      </c>
      <c r="AB29" s="137">
        <v>0</v>
      </c>
      <c r="AC29" s="363">
        <v>0</v>
      </c>
      <c r="AD29" s="59"/>
      <c r="AE29" s="59"/>
      <c r="AF29" s="59"/>
      <c r="AG29" s="59"/>
      <c r="AH29" s="59"/>
      <c r="AI29" s="59"/>
      <c r="AJ29" s="59"/>
      <c r="AK29" s="59"/>
      <c r="AL29" s="59"/>
      <c r="AM29" s="59"/>
      <c r="AN29" s="59"/>
      <c r="AO29" s="59"/>
      <c r="AP29" s="59"/>
    </row>
    <row r="30" spans="1:42">
      <c r="A30" s="364"/>
      <c r="B30" s="67"/>
      <c r="C30" s="67"/>
      <c r="D30" s="59"/>
      <c r="E30" s="59"/>
      <c r="F30" s="59"/>
      <c r="G30" s="59"/>
      <c r="H30" s="59"/>
      <c r="I30" s="59"/>
      <c r="J30" s="59"/>
      <c r="K30" s="59"/>
      <c r="L30" s="59"/>
      <c r="M30" s="59"/>
      <c r="N30" s="59"/>
      <c r="O30" s="59"/>
      <c r="P30" s="59"/>
      <c r="Q30" s="59"/>
      <c r="R30" s="59"/>
      <c r="S30" s="333" t="s">
        <v>729</v>
      </c>
      <c r="T30" s="838">
        <f>SUM(T14:T29)</f>
        <v>-92</v>
      </c>
      <c r="U30" s="838">
        <f t="shared" ref="U30:AC30" si="4">SUM(U14:U29)</f>
        <v>-544</v>
      </c>
      <c r="V30" s="838">
        <f t="shared" si="4"/>
        <v>-339.2</v>
      </c>
      <c r="W30" s="838">
        <f t="shared" si="4"/>
        <v>-583.18444406951801</v>
      </c>
      <c r="X30" s="838">
        <f t="shared" si="4"/>
        <v>-134.40600000000001</v>
      </c>
      <c r="Y30" s="838">
        <f t="shared" si="4"/>
        <v>-60</v>
      </c>
      <c r="Z30" s="838">
        <f t="shared" si="4"/>
        <v>-60</v>
      </c>
      <c r="AA30" s="838">
        <f t="shared" si="4"/>
        <v>-60</v>
      </c>
      <c r="AB30" s="838">
        <f t="shared" si="4"/>
        <v>-60</v>
      </c>
      <c r="AC30" s="838">
        <f t="shared" si="4"/>
        <v>-60</v>
      </c>
      <c r="AD30" s="59"/>
      <c r="AE30" s="59"/>
      <c r="AF30" s="59"/>
      <c r="AG30" s="59"/>
      <c r="AH30" s="59"/>
      <c r="AI30" s="59"/>
      <c r="AJ30" s="59"/>
      <c r="AK30" s="59"/>
      <c r="AL30" s="59"/>
      <c r="AM30" s="59"/>
      <c r="AN30" s="59"/>
      <c r="AO30" s="59"/>
      <c r="AP30" s="59"/>
    </row>
    <row r="31" spans="1:42">
      <c r="A31" s="59"/>
      <c r="B31" s="83"/>
      <c r="C31" s="83"/>
      <c r="D31" s="58"/>
      <c r="E31" s="58"/>
      <c r="F31" s="58"/>
      <c r="G31" s="58"/>
      <c r="H31" s="58"/>
      <c r="I31" s="58"/>
      <c r="J31" s="59"/>
      <c r="K31" s="59"/>
      <c r="L31" s="58" t="s">
        <v>607</v>
      </c>
      <c r="M31" s="59"/>
      <c r="N31" s="59"/>
      <c r="O31" s="58" t="s">
        <v>730</v>
      </c>
      <c r="P31" s="59"/>
      <c r="Q31" s="59"/>
      <c r="R31" s="59"/>
      <c r="S31" s="59"/>
      <c r="T31" s="59"/>
      <c r="U31" s="59"/>
      <c r="V31" s="59"/>
      <c r="W31" s="59"/>
      <c r="X31" s="59"/>
      <c r="Y31" s="59"/>
      <c r="Z31" s="59"/>
      <c r="AA31" s="59"/>
      <c r="AB31" s="79"/>
      <c r="AC31" s="59"/>
      <c r="AD31" s="59"/>
      <c r="AE31" s="59"/>
      <c r="AF31" s="59"/>
      <c r="AG31" s="59"/>
      <c r="AH31" s="59"/>
      <c r="AI31" s="59"/>
      <c r="AJ31" s="59"/>
      <c r="AK31" s="59"/>
      <c r="AL31" s="59"/>
      <c r="AM31" s="59"/>
      <c r="AN31" s="59"/>
      <c r="AO31" s="59"/>
      <c r="AP31" s="59"/>
    </row>
    <row r="32" spans="1:42" outlineLevel="1">
      <c r="A32" s="364"/>
      <c r="B32" s="83" t="s">
        <v>731</v>
      </c>
      <c r="C32" s="83"/>
      <c r="D32" s="58" t="s">
        <v>732</v>
      </c>
      <c r="E32" s="59"/>
      <c r="F32" s="58"/>
      <c r="G32" s="58"/>
      <c r="H32" s="58"/>
      <c r="I32" s="58"/>
      <c r="J32" s="59"/>
      <c r="K32" s="59"/>
      <c r="L32" s="356" t="str">
        <f>Data!D265</f>
        <v>Bond</v>
      </c>
      <c r="M32" s="356"/>
      <c r="N32" s="356"/>
      <c r="O32" s="333" t="s">
        <v>733</v>
      </c>
      <c r="P32" s="59"/>
      <c r="Q32" s="59"/>
      <c r="R32" s="59"/>
      <c r="S32" s="333" t="s">
        <v>734</v>
      </c>
      <c r="T32" s="838">
        <v>0</v>
      </c>
      <c r="U32" s="839">
        <v>0</v>
      </c>
      <c r="V32" s="839">
        <v>0</v>
      </c>
      <c r="W32" s="839">
        <v>0</v>
      </c>
      <c r="X32" s="839">
        <v>0</v>
      </c>
      <c r="Y32" s="839">
        <v>0</v>
      </c>
      <c r="Z32" s="839">
        <v>0</v>
      </c>
      <c r="AA32" s="840">
        <v>0</v>
      </c>
      <c r="AB32" s="941">
        <v>0</v>
      </c>
      <c r="AC32" s="839">
        <v>0</v>
      </c>
      <c r="AD32" s="59"/>
      <c r="AE32" s="59"/>
      <c r="AF32" s="59"/>
      <c r="AG32" s="59"/>
      <c r="AH32" s="59"/>
      <c r="AI32" s="59"/>
      <c r="AJ32" s="59"/>
      <c r="AK32" s="59"/>
      <c r="AL32" s="59"/>
      <c r="AM32" s="59"/>
      <c r="AN32" s="59"/>
      <c r="AO32" s="59"/>
      <c r="AP32" s="59"/>
    </row>
    <row r="33" spans="1:42">
      <c r="A33" s="59"/>
      <c r="B33" s="83" t="s">
        <v>735</v>
      </c>
      <c r="C33" s="67"/>
      <c r="D33" s="58" t="s">
        <v>736</v>
      </c>
      <c r="E33" s="59"/>
      <c r="F33" s="58"/>
      <c r="G33" s="58"/>
      <c r="H33" s="58"/>
      <c r="I33" s="58"/>
      <c r="J33" s="59"/>
      <c r="K33" s="59"/>
      <c r="L33" s="356" t="str">
        <f>Data!D266</f>
        <v>External Loan</v>
      </c>
      <c r="M33" s="356"/>
      <c r="N33" s="356"/>
      <c r="O33" s="333" t="s">
        <v>733</v>
      </c>
      <c r="P33" s="59"/>
      <c r="Q33" s="59"/>
      <c r="R33" s="59"/>
      <c r="S33" s="333" t="s">
        <v>737</v>
      </c>
      <c r="T33" s="838">
        <v>921.75888442691485</v>
      </c>
      <c r="U33" s="839">
        <v>991.7208878156041</v>
      </c>
      <c r="V33" s="839">
        <v>1134.1083043085819</v>
      </c>
      <c r="W33" s="839">
        <v>826.06082883585805</v>
      </c>
      <c r="X33" s="839">
        <v>826.06082883585805</v>
      </c>
      <c r="Y33" s="839">
        <v>426.06082883585799</v>
      </c>
      <c r="Z33" s="839">
        <v>426.06082883585799</v>
      </c>
      <c r="AA33" s="840">
        <v>426.06082883585799</v>
      </c>
      <c r="AB33" s="941">
        <v>0</v>
      </c>
      <c r="AC33" s="839">
        <v>0</v>
      </c>
      <c r="AD33" s="59"/>
      <c r="AE33" s="59"/>
      <c r="AF33" s="59"/>
      <c r="AG33" s="59"/>
      <c r="AH33" s="59"/>
      <c r="AI33" s="59"/>
      <c r="AJ33" s="59"/>
      <c r="AK33" s="59"/>
      <c r="AL33" s="59"/>
      <c r="AM33" s="59"/>
      <c r="AN33" s="59"/>
      <c r="AO33" s="59"/>
      <c r="AP33" s="59"/>
    </row>
    <row r="34" spans="1:42">
      <c r="A34" s="59"/>
      <c r="B34" s="83" t="s">
        <v>738</v>
      </c>
      <c r="C34" s="67"/>
      <c r="D34" s="58" t="s">
        <v>739</v>
      </c>
      <c r="E34" s="59"/>
      <c r="F34" s="58"/>
      <c r="G34" s="67"/>
      <c r="H34" s="67"/>
      <c r="I34" s="59"/>
      <c r="J34" s="59"/>
      <c r="K34" s="59"/>
      <c r="L34" s="356" t="str">
        <f>Data!D267</f>
        <v>Private Placement</v>
      </c>
      <c r="M34" s="356"/>
      <c r="N34" s="356"/>
      <c r="O34" s="333" t="s">
        <v>733</v>
      </c>
      <c r="P34" s="59"/>
      <c r="Q34" s="59"/>
      <c r="R34" s="59"/>
      <c r="S34" s="333" t="s">
        <v>740</v>
      </c>
      <c r="T34" s="838">
        <v>0</v>
      </c>
      <c r="U34" s="839">
        <v>0</v>
      </c>
      <c r="V34" s="839">
        <v>0</v>
      </c>
      <c r="W34" s="839">
        <v>0</v>
      </c>
      <c r="X34" s="839">
        <v>0</v>
      </c>
      <c r="Y34" s="839">
        <v>0</v>
      </c>
      <c r="Z34" s="839">
        <v>0</v>
      </c>
      <c r="AA34" s="840">
        <v>0</v>
      </c>
      <c r="AB34" s="941">
        <v>0</v>
      </c>
      <c r="AC34" s="839">
        <v>0</v>
      </c>
      <c r="AD34" s="59"/>
      <c r="AE34" s="59"/>
      <c r="AF34" s="59"/>
      <c r="AG34" s="59"/>
      <c r="AH34" s="59"/>
      <c r="AI34" s="59"/>
      <c r="AJ34" s="59"/>
      <c r="AK34" s="59"/>
      <c r="AL34" s="59"/>
      <c r="AM34" s="59"/>
      <c r="AN34" s="59"/>
      <c r="AO34" s="59"/>
      <c r="AP34" s="59"/>
    </row>
    <row r="35" spans="1:42">
      <c r="A35" s="59"/>
      <c r="B35" s="83" t="s">
        <v>741</v>
      </c>
      <c r="C35" s="83"/>
      <c r="D35" s="58" t="s">
        <v>742</v>
      </c>
      <c r="E35" s="58"/>
      <c r="F35" s="58"/>
      <c r="G35" s="58"/>
      <c r="H35" s="58"/>
      <c r="I35" s="58"/>
      <c r="J35" s="58"/>
      <c r="K35" s="58"/>
      <c r="L35" s="356" t="str">
        <f>Data!D268</f>
        <v>Group company loan (licensee lender)</v>
      </c>
      <c r="M35" s="356"/>
      <c r="N35" s="356"/>
      <c r="O35" s="333" t="s">
        <v>733</v>
      </c>
      <c r="P35" s="58"/>
      <c r="Q35" s="59"/>
      <c r="R35" s="59"/>
      <c r="S35" s="333" t="s">
        <v>743</v>
      </c>
      <c r="T35" s="838">
        <v>0</v>
      </c>
      <c r="U35" s="839">
        <v>0</v>
      </c>
      <c r="V35" s="839">
        <v>0</v>
      </c>
      <c r="W35" s="839">
        <v>0</v>
      </c>
      <c r="X35" s="839">
        <v>0</v>
      </c>
      <c r="Y35" s="839">
        <v>0</v>
      </c>
      <c r="Z35" s="839">
        <v>0</v>
      </c>
      <c r="AA35" s="840">
        <v>0</v>
      </c>
      <c r="AB35" s="941">
        <v>0</v>
      </c>
      <c r="AC35" s="839">
        <v>0</v>
      </c>
      <c r="AD35" s="59"/>
      <c r="AE35" s="59"/>
      <c r="AF35" s="59"/>
      <c r="AG35" s="59"/>
      <c r="AH35" s="59"/>
      <c r="AI35" s="59"/>
      <c r="AJ35" s="59"/>
      <c r="AK35" s="59"/>
      <c r="AL35" s="59"/>
      <c r="AM35" s="59"/>
      <c r="AN35" s="59"/>
      <c r="AO35" s="59"/>
      <c r="AP35" s="59"/>
    </row>
    <row r="36" spans="1:42">
      <c r="A36" s="59"/>
      <c r="B36" s="83" t="s">
        <v>744</v>
      </c>
      <c r="C36" s="67"/>
      <c r="D36" s="58" t="s">
        <v>745</v>
      </c>
      <c r="E36" s="59"/>
      <c r="F36" s="58"/>
      <c r="G36" s="67"/>
      <c r="H36" s="67"/>
      <c r="I36" s="59"/>
      <c r="J36" s="59"/>
      <c r="K36" s="59"/>
      <c r="L36" s="356" t="str">
        <f>Data!D269</f>
        <v>Group company loan (licensee borrower)</v>
      </c>
      <c r="M36" s="356"/>
      <c r="N36" s="356"/>
      <c r="O36" s="333" t="s">
        <v>733</v>
      </c>
      <c r="P36" s="59"/>
      <c r="Q36" s="59"/>
      <c r="R36" s="59"/>
      <c r="S36" s="333" t="s">
        <v>746</v>
      </c>
      <c r="T36" s="838">
        <v>0</v>
      </c>
      <c r="U36" s="839">
        <v>0</v>
      </c>
      <c r="V36" s="839">
        <v>0</v>
      </c>
      <c r="W36" s="839">
        <v>0</v>
      </c>
      <c r="X36" s="839">
        <v>0</v>
      </c>
      <c r="Y36" s="839">
        <v>0</v>
      </c>
      <c r="Z36" s="839">
        <v>0</v>
      </c>
      <c r="AA36" s="840">
        <v>0</v>
      </c>
      <c r="AB36" s="941">
        <v>0</v>
      </c>
      <c r="AC36" s="839">
        <v>0</v>
      </c>
      <c r="AD36" s="59"/>
      <c r="AE36" s="59"/>
      <c r="AF36" s="59"/>
      <c r="AG36" s="59"/>
      <c r="AH36" s="59"/>
      <c r="AI36" s="59"/>
      <c r="AJ36" s="59"/>
      <c r="AK36" s="59"/>
      <c r="AL36" s="59"/>
      <c r="AM36" s="59"/>
      <c r="AN36" s="59"/>
      <c r="AO36" s="59"/>
      <c r="AP36" s="59"/>
    </row>
    <row r="37" spans="1:42" ht="12.7" thickBot="1">
      <c r="A37" s="59"/>
      <c r="B37" s="83" t="s">
        <v>747</v>
      </c>
      <c r="C37" s="67"/>
      <c r="D37" s="58" t="s">
        <v>748</v>
      </c>
      <c r="E37" s="59"/>
      <c r="F37" s="58"/>
      <c r="G37" s="67"/>
      <c r="H37" s="67"/>
      <c r="I37" s="59"/>
      <c r="J37" s="59"/>
      <c r="K37" s="59"/>
      <c r="L37" s="356" t="str">
        <f>Data!D270</f>
        <v>Group Loan from Finco back to back with finco bond issue</v>
      </c>
      <c r="M37" s="356"/>
      <c r="N37" s="356"/>
      <c r="O37" s="333" t="s">
        <v>733</v>
      </c>
      <c r="P37" s="59"/>
      <c r="Q37" s="59"/>
      <c r="R37" s="59"/>
      <c r="S37" s="333" t="s">
        <v>749</v>
      </c>
      <c r="T37" s="942">
        <v>5744.0574474325094</v>
      </c>
      <c r="U37" s="943">
        <v>6276.6283464101834</v>
      </c>
      <c r="V37" s="943">
        <v>6327.7424246323671</v>
      </c>
      <c r="W37" s="943">
        <v>5955.4942933444236</v>
      </c>
      <c r="X37" s="943">
        <v>5961.9192100404925</v>
      </c>
      <c r="Y37" s="943">
        <v>5970.4574977253505</v>
      </c>
      <c r="Z37" s="943">
        <v>5970.637507317495</v>
      </c>
      <c r="AA37" s="944">
        <v>5126.9145177236032</v>
      </c>
      <c r="AB37" s="945">
        <v>4510.4618724602769</v>
      </c>
      <c r="AC37" s="943">
        <v>4017.8543408190749</v>
      </c>
      <c r="AD37" s="59"/>
      <c r="AE37" s="59"/>
      <c r="AF37" s="59"/>
      <c r="AG37" s="59"/>
      <c r="AH37" s="59"/>
      <c r="AI37" s="59"/>
      <c r="AJ37" s="59"/>
      <c r="AK37" s="59"/>
      <c r="AL37" s="59"/>
      <c r="AM37" s="59"/>
      <c r="AN37" s="59"/>
      <c r="AO37" s="59"/>
      <c r="AP37" s="59"/>
    </row>
    <row r="38" spans="1:42">
      <c r="A38" s="59"/>
      <c r="B38" s="83" t="s">
        <v>750</v>
      </c>
      <c r="C38" s="83"/>
      <c r="D38" s="58" t="s">
        <v>751</v>
      </c>
      <c r="E38" s="58"/>
      <c r="F38" s="58"/>
      <c r="G38" s="58"/>
      <c r="H38" s="58"/>
      <c r="I38" s="58"/>
      <c r="J38" s="58"/>
      <c r="K38" s="58"/>
      <c r="L38" s="356" t="str">
        <f>Data!D271</f>
        <v>Swap Pay Leg</v>
      </c>
      <c r="M38" s="356"/>
      <c r="N38" s="356"/>
      <c r="O38" s="333" t="s">
        <v>752</v>
      </c>
      <c r="P38" s="58"/>
      <c r="Q38" s="58"/>
      <c r="R38" s="59"/>
      <c r="S38" s="333" t="s">
        <v>753</v>
      </c>
      <c r="T38" s="946">
        <v>3235.982</v>
      </c>
      <c r="U38" s="947">
        <v>3235.982</v>
      </c>
      <c r="V38" s="947">
        <v>3642.076</v>
      </c>
      <c r="W38" s="947">
        <v>3261.5509999999995</v>
      </c>
      <c r="X38" s="947">
        <v>3261.5509999999995</v>
      </c>
      <c r="Y38" s="947">
        <v>2861.5509999999995</v>
      </c>
      <c r="Z38" s="947">
        <v>2761.5509999999995</v>
      </c>
      <c r="AA38" s="948">
        <v>2561.5509999999995</v>
      </c>
      <c r="AB38" s="949">
        <v>1484.681</v>
      </c>
      <c r="AC38" s="947">
        <v>805.06200000000001</v>
      </c>
      <c r="AD38" s="59"/>
      <c r="AE38" s="59"/>
      <c r="AF38" s="59"/>
      <c r="AG38" s="59"/>
      <c r="AH38" s="59"/>
      <c r="AI38" s="59"/>
      <c r="AJ38" s="59"/>
      <c r="AK38" s="59"/>
      <c r="AL38" s="59"/>
      <c r="AM38" s="59"/>
      <c r="AN38" s="59"/>
      <c r="AO38" s="59"/>
      <c r="AP38" s="59"/>
    </row>
    <row r="39" spans="1:42" ht="12.7" thickBot="1">
      <c r="A39" s="59"/>
      <c r="B39" s="83" t="s">
        <v>754</v>
      </c>
      <c r="C39" s="67"/>
      <c r="D39" s="58" t="s">
        <v>755</v>
      </c>
      <c r="E39" s="59"/>
      <c r="F39" s="58"/>
      <c r="G39" s="67"/>
      <c r="H39" s="67"/>
      <c r="I39" s="67"/>
      <c r="J39" s="59"/>
      <c r="K39" s="59"/>
      <c r="L39" s="356" t="str">
        <f>Data!D272</f>
        <v>Swap Receive Leg</v>
      </c>
      <c r="M39" s="356"/>
      <c r="N39" s="356"/>
      <c r="O39" s="333" t="s">
        <v>752</v>
      </c>
      <c r="P39" s="59"/>
      <c r="Q39" s="59"/>
      <c r="R39" s="59"/>
      <c r="S39" s="333" t="s">
        <v>756</v>
      </c>
      <c r="T39" s="950">
        <v>-3235.982</v>
      </c>
      <c r="U39" s="951">
        <v>-3235.982</v>
      </c>
      <c r="V39" s="951">
        <v>-3642.0559999999996</v>
      </c>
      <c r="W39" s="951">
        <v>-3261.5309999999995</v>
      </c>
      <c r="X39" s="951">
        <v>-3261.5309999999995</v>
      </c>
      <c r="Y39" s="951">
        <v>-2861.5309999999995</v>
      </c>
      <c r="Z39" s="951">
        <v>-2761.5309999999995</v>
      </c>
      <c r="AA39" s="952">
        <v>-2561.5309999999995</v>
      </c>
      <c r="AB39" s="953">
        <v>-1484.6809999999998</v>
      </c>
      <c r="AC39" s="951">
        <v>-805.06200000000001</v>
      </c>
      <c r="AD39" s="59"/>
      <c r="AE39" s="59"/>
      <c r="AF39" s="59"/>
      <c r="AG39" s="59"/>
      <c r="AH39" s="59"/>
      <c r="AI39" s="59"/>
      <c r="AJ39" s="59"/>
      <c r="AK39" s="59"/>
      <c r="AL39" s="59"/>
      <c r="AM39" s="59"/>
      <c r="AN39" s="59"/>
      <c r="AO39" s="59"/>
      <c r="AP39" s="59"/>
    </row>
    <row r="40" spans="1:42">
      <c r="A40" s="59"/>
      <c r="B40" s="83" t="s">
        <v>757</v>
      </c>
      <c r="C40" s="67"/>
      <c r="D40" s="58" t="s">
        <v>207</v>
      </c>
      <c r="E40" s="59"/>
      <c r="F40" s="58"/>
      <c r="G40" s="67"/>
      <c r="H40" s="67"/>
      <c r="I40" s="67"/>
      <c r="J40" s="59"/>
      <c r="K40" s="59"/>
      <c r="L40" s="356" t="str">
        <f>Data!D275</f>
        <v>Other</v>
      </c>
      <c r="M40" s="356"/>
      <c r="N40" s="356"/>
      <c r="O40" s="333" t="s">
        <v>733</v>
      </c>
      <c r="P40" s="59"/>
      <c r="Q40" s="59"/>
      <c r="R40" s="59"/>
      <c r="S40" s="333" t="s">
        <v>758</v>
      </c>
      <c r="T40" s="954">
        <v>0</v>
      </c>
      <c r="U40" s="955">
        <v>0</v>
      </c>
      <c r="V40" s="955">
        <v>0</v>
      </c>
      <c r="W40" s="955">
        <v>0</v>
      </c>
      <c r="X40" s="955">
        <v>0</v>
      </c>
      <c r="Y40" s="955">
        <v>0</v>
      </c>
      <c r="Z40" s="955">
        <v>0</v>
      </c>
      <c r="AA40" s="956">
        <v>0</v>
      </c>
      <c r="AB40" s="957">
        <v>0</v>
      </c>
      <c r="AC40" s="955">
        <v>0</v>
      </c>
      <c r="AD40" s="59"/>
      <c r="AE40" s="59"/>
      <c r="AF40" s="59"/>
      <c r="AG40" s="59"/>
      <c r="AH40" s="59"/>
      <c r="AI40" s="59"/>
      <c r="AJ40" s="59"/>
      <c r="AK40" s="59"/>
      <c r="AL40" s="59"/>
      <c r="AM40" s="59"/>
      <c r="AN40" s="59"/>
      <c r="AO40" s="59"/>
      <c r="AP40" s="59"/>
    </row>
    <row r="41" spans="1:42">
      <c r="A41" s="59"/>
      <c r="B41" s="67"/>
      <c r="C41" s="67"/>
      <c r="D41" s="69" t="s">
        <v>450</v>
      </c>
      <c r="E41" s="59"/>
      <c r="F41" s="59"/>
      <c r="G41" s="59"/>
      <c r="H41" s="59"/>
      <c r="I41" s="59"/>
      <c r="J41" s="59"/>
      <c r="K41" s="59"/>
      <c r="L41" s="59"/>
      <c r="M41" s="59"/>
      <c r="N41" s="59"/>
      <c r="O41" s="59"/>
      <c r="P41" s="59"/>
      <c r="Q41" s="59"/>
      <c r="R41" s="59"/>
      <c r="S41" s="59"/>
      <c r="T41" s="59" t="str">
        <f t="shared" ref="T41:AC41" si="5">IF(ABS(SUM(T32:T40) - T141) &lt; materiality_threshold,"OK","Error")</f>
        <v>OK</v>
      </c>
      <c r="U41" s="59" t="str">
        <f t="shared" si="5"/>
        <v>OK</v>
      </c>
      <c r="V41" s="59" t="str">
        <f t="shared" si="5"/>
        <v>OK</v>
      </c>
      <c r="W41" s="59" t="str">
        <f t="shared" si="5"/>
        <v>OK</v>
      </c>
      <c r="X41" s="59" t="str">
        <f t="shared" si="5"/>
        <v>OK</v>
      </c>
      <c r="Y41" s="59" t="str">
        <f t="shared" si="5"/>
        <v>OK</v>
      </c>
      <c r="Z41" s="59" t="str">
        <f t="shared" si="5"/>
        <v>OK</v>
      </c>
      <c r="AA41" s="958" t="str">
        <f t="shared" si="5"/>
        <v>OK</v>
      </c>
      <c r="AB41" s="59" t="str">
        <f t="shared" si="5"/>
        <v>OK</v>
      </c>
      <c r="AC41" s="59" t="str">
        <f t="shared" si="5"/>
        <v>OK</v>
      </c>
      <c r="AD41" s="59"/>
      <c r="AE41" s="59"/>
      <c r="AF41" s="59"/>
      <c r="AG41" s="59"/>
      <c r="AH41" s="59"/>
      <c r="AI41" s="59"/>
      <c r="AJ41" s="59"/>
      <c r="AK41" s="59"/>
      <c r="AL41" s="59"/>
      <c r="AM41" s="59"/>
      <c r="AN41" s="59"/>
      <c r="AO41" s="59"/>
      <c r="AP41" s="59"/>
    </row>
    <row r="42" spans="1:42">
      <c r="A42" s="59"/>
      <c r="B42" s="67"/>
      <c r="C42" s="67"/>
      <c r="D42" s="59"/>
      <c r="E42" s="59"/>
      <c r="F42" s="67"/>
      <c r="G42" s="67"/>
      <c r="H42" s="67"/>
      <c r="I42" s="67"/>
      <c r="J42" s="59"/>
      <c r="K42" s="59"/>
      <c r="L42" s="59"/>
      <c r="M42" s="59"/>
      <c r="N42" s="59"/>
      <c r="O42" s="59"/>
      <c r="P42" s="59"/>
      <c r="Q42" s="59"/>
      <c r="R42" s="59"/>
      <c r="S42" s="59"/>
      <c r="T42" s="365"/>
      <c r="U42" s="365"/>
      <c r="V42" s="365"/>
      <c r="W42" s="365"/>
      <c r="X42" s="365"/>
      <c r="Y42" s="365"/>
      <c r="Z42" s="365"/>
      <c r="AA42" s="59"/>
      <c r="AB42" s="79"/>
      <c r="AC42" s="59"/>
      <c r="AD42" s="59"/>
      <c r="AE42" s="59"/>
      <c r="AF42" s="59"/>
      <c r="AG42" s="59"/>
      <c r="AH42" s="59"/>
      <c r="AI42" s="59"/>
      <c r="AJ42" s="59"/>
      <c r="AK42" s="59"/>
      <c r="AL42" s="59"/>
      <c r="AM42" s="59"/>
      <c r="AN42" s="59"/>
      <c r="AO42" s="59"/>
      <c r="AP42" s="59"/>
    </row>
    <row r="43" spans="1:42">
      <c r="A43" s="59"/>
      <c r="B43" s="67"/>
      <c r="C43" s="67"/>
      <c r="D43" s="59"/>
      <c r="E43" s="59"/>
      <c r="F43" s="59"/>
      <c r="G43" s="59"/>
      <c r="H43" s="59"/>
      <c r="I43" s="59"/>
      <c r="J43" s="59"/>
      <c r="K43" s="59"/>
      <c r="L43" s="59"/>
      <c r="M43" s="59"/>
      <c r="N43" s="59"/>
      <c r="O43" s="59"/>
      <c r="P43" s="59"/>
      <c r="Q43" s="59"/>
      <c r="R43" s="59"/>
      <c r="S43" s="68" t="s">
        <v>759</v>
      </c>
      <c r="T43" s="833">
        <f t="shared" ref="T43:AC43" si="6">SUM(T30, T32:T40)</f>
        <v>6573.8163318594234</v>
      </c>
      <c r="U43" s="834">
        <f t="shared" si="6"/>
        <v>6724.3492342257887</v>
      </c>
      <c r="V43" s="834">
        <f t="shared" si="6"/>
        <v>7122.6707289409505</v>
      </c>
      <c r="W43" s="834">
        <f t="shared" si="6"/>
        <v>6198.3906781107653</v>
      </c>
      <c r="X43" s="834">
        <f t="shared" si="6"/>
        <v>6653.594038876352</v>
      </c>
      <c r="Y43" s="834">
        <f t="shared" si="6"/>
        <v>6336.538326561209</v>
      </c>
      <c r="Z43" s="834">
        <f t="shared" si="6"/>
        <v>6336.7183361533534</v>
      </c>
      <c r="AA43" s="835">
        <f t="shared" si="6"/>
        <v>5492.9953465594608</v>
      </c>
      <c r="AB43" s="959">
        <f t="shared" si="6"/>
        <v>4450.4618724602778</v>
      </c>
      <c r="AC43" s="834">
        <f t="shared" si="6"/>
        <v>3957.8543408190753</v>
      </c>
      <c r="AD43" s="59"/>
      <c r="AE43" s="59"/>
      <c r="AF43" s="59"/>
      <c r="AG43" s="59"/>
      <c r="AH43" s="59"/>
      <c r="AI43" s="59"/>
      <c r="AJ43" s="59"/>
      <c r="AK43" s="59"/>
      <c r="AL43" s="59"/>
      <c r="AM43" s="59"/>
      <c r="AN43" s="59"/>
      <c r="AO43" s="59"/>
      <c r="AP43" s="59"/>
    </row>
    <row r="44" spans="1:42">
      <c r="A44" s="59"/>
      <c r="B44" s="67"/>
      <c r="C44" s="67"/>
      <c r="D44" s="59"/>
      <c r="E44" s="59"/>
      <c r="F44" s="59"/>
      <c r="G44" s="59"/>
      <c r="H44" s="59"/>
      <c r="I44" s="59"/>
      <c r="J44" s="59"/>
      <c r="K44" s="59"/>
      <c r="L44" s="59"/>
      <c r="M44" s="59"/>
      <c r="N44" s="59"/>
      <c r="O44" s="59"/>
      <c r="P44" s="59"/>
      <c r="Q44" s="59"/>
      <c r="R44" s="59"/>
      <c r="S44" s="59"/>
      <c r="T44" s="59"/>
      <c r="U44" s="59"/>
      <c r="V44" s="59"/>
      <c r="W44" s="59"/>
      <c r="X44" s="59"/>
      <c r="Y44" s="59"/>
      <c r="Z44" s="59"/>
      <c r="AA44" s="59"/>
      <c r="AB44" s="79"/>
      <c r="AC44" s="59"/>
      <c r="AD44" s="59"/>
      <c r="AE44" s="59"/>
      <c r="AF44" s="59"/>
      <c r="AG44" s="59"/>
      <c r="AH44" s="59"/>
      <c r="AI44" s="59"/>
      <c r="AJ44" s="59"/>
      <c r="AK44" s="59"/>
      <c r="AL44" s="59"/>
      <c r="AM44" s="59"/>
      <c r="AN44" s="59"/>
      <c r="AO44" s="59"/>
      <c r="AP44" s="59"/>
    </row>
    <row r="45" spans="1:42" ht="15">
      <c r="A45" s="59"/>
      <c r="B45" s="82" t="s">
        <v>760</v>
      </c>
      <c r="C45" s="82"/>
      <c r="D45" s="57"/>
      <c r="E45" s="57"/>
      <c r="F45" s="57"/>
      <c r="G45" s="57"/>
      <c r="H45" s="57"/>
      <c r="I45" s="57"/>
      <c r="J45" s="57"/>
      <c r="K45" s="57"/>
      <c r="L45" s="57"/>
      <c r="M45" s="57"/>
      <c r="N45" s="57"/>
      <c r="O45" s="57"/>
      <c r="P45" s="57"/>
      <c r="Q45" s="57"/>
      <c r="R45" s="59"/>
      <c r="S45" s="59"/>
      <c r="T45" s="59"/>
      <c r="U45" s="59"/>
      <c r="V45" s="59"/>
      <c r="W45" s="59"/>
      <c r="X45" s="59"/>
      <c r="Y45" s="59"/>
      <c r="Z45" s="59"/>
      <c r="AA45" s="59"/>
      <c r="AB45" s="79"/>
      <c r="AC45" s="59"/>
      <c r="AD45" s="59"/>
      <c r="AE45" s="59"/>
      <c r="AF45" s="59"/>
      <c r="AG45" s="59"/>
      <c r="AH45" s="59"/>
      <c r="AI45" s="59"/>
      <c r="AJ45" s="59"/>
      <c r="AK45" s="59"/>
      <c r="AL45" s="59"/>
      <c r="AM45" s="59"/>
      <c r="AN45" s="59"/>
      <c r="AO45" s="59"/>
      <c r="AP45" s="59"/>
    </row>
    <row r="46" spans="1:42">
      <c r="A46" s="59"/>
      <c r="B46" s="67"/>
      <c r="C46" s="67"/>
      <c r="D46" s="59"/>
      <c r="E46" s="59"/>
      <c r="F46" s="59"/>
      <c r="G46" s="59"/>
      <c r="H46" s="59"/>
      <c r="I46" s="59"/>
      <c r="J46" s="59"/>
      <c r="K46" s="59"/>
      <c r="L46" s="59"/>
      <c r="M46" s="59"/>
      <c r="N46" s="59"/>
      <c r="O46" s="59"/>
      <c r="P46" s="59"/>
      <c r="Q46" s="59"/>
      <c r="R46" s="59"/>
      <c r="S46" s="59"/>
      <c r="T46" s="59"/>
      <c r="U46" s="59"/>
      <c r="V46" s="59"/>
      <c r="W46" s="59"/>
      <c r="X46" s="59"/>
      <c r="Y46" s="59"/>
      <c r="Z46" s="59"/>
      <c r="AA46" s="59"/>
      <c r="AB46" s="79"/>
      <c r="AC46" s="59"/>
      <c r="AD46" s="59"/>
      <c r="AE46" s="59"/>
      <c r="AF46" s="59"/>
      <c r="AG46" s="59"/>
      <c r="AH46" s="59"/>
      <c r="AI46" s="59"/>
      <c r="AJ46" s="59"/>
      <c r="AK46" s="59"/>
      <c r="AL46" s="59"/>
      <c r="AM46" s="59"/>
      <c r="AN46" s="59"/>
      <c r="AO46" s="59"/>
      <c r="AP46" s="59"/>
    </row>
    <row r="47" spans="1:42">
      <c r="A47" s="59"/>
      <c r="B47" s="67"/>
      <c r="C47" s="67"/>
      <c r="D47" s="62" t="s">
        <v>761</v>
      </c>
      <c r="E47" s="62"/>
      <c r="F47" s="63"/>
      <c r="G47" s="63"/>
      <c r="H47" s="63"/>
      <c r="I47" s="63"/>
      <c r="J47" s="63"/>
      <c r="K47" s="63"/>
      <c r="L47" s="63"/>
      <c r="M47" s="63"/>
      <c r="N47" s="63"/>
      <c r="O47" s="63"/>
      <c r="P47" s="63"/>
      <c r="Q47" s="63"/>
      <c r="R47" s="63"/>
      <c r="S47" s="59"/>
      <c r="T47" s="63"/>
      <c r="U47" s="59"/>
      <c r="V47" s="59"/>
      <c r="W47" s="59"/>
      <c r="X47" s="59"/>
      <c r="Y47" s="59"/>
      <c r="Z47" s="59"/>
      <c r="AA47" s="59"/>
      <c r="AB47" s="79"/>
      <c r="AC47" s="59"/>
      <c r="AD47" s="59"/>
      <c r="AE47" s="59"/>
      <c r="AF47" s="59"/>
      <c r="AG47" s="59"/>
      <c r="AH47" s="59"/>
      <c r="AI47" s="59"/>
      <c r="AJ47" s="59"/>
      <c r="AK47" s="59"/>
      <c r="AL47" s="59"/>
      <c r="AM47" s="59"/>
      <c r="AN47" s="59"/>
      <c r="AO47" s="59"/>
      <c r="AP47" s="59"/>
    </row>
    <row r="48" spans="1:42">
      <c r="A48" s="59"/>
      <c r="B48" s="83" t="s">
        <v>721</v>
      </c>
      <c r="C48" s="83"/>
      <c r="D48" s="1306"/>
      <c r="E48" s="1307"/>
      <c r="F48" s="1307"/>
      <c r="G48" s="1307"/>
      <c r="H48" s="1307"/>
      <c r="I48" s="1307"/>
      <c r="J48" s="1307"/>
      <c r="K48" s="1307"/>
      <c r="L48" s="1307"/>
      <c r="M48" s="1307"/>
      <c r="N48" s="1307"/>
      <c r="O48" s="1307"/>
      <c r="P48" s="1307"/>
      <c r="Q48" s="1308"/>
      <c r="R48" s="63"/>
      <c r="S48" s="59"/>
      <c r="T48" s="63"/>
      <c r="U48" s="59"/>
      <c r="V48" s="59"/>
      <c r="W48" s="59"/>
      <c r="X48" s="59"/>
      <c r="Y48" s="59"/>
      <c r="Z48" s="59"/>
      <c r="AA48" s="59"/>
      <c r="AB48" s="79"/>
      <c r="AC48" s="59"/>
      <c r="AD48" s="59"/>
      <c r="AE48" s="59"/>
      <c r="AF48" s="59"/>
      <c r="AG48" s="59"/>
      <c r="AH48" s="59"/>
      <c r="AI48" s="59"/>
      <c r="AJ48" s="59"/>
      <c r="AK48" s="59"/>
      <c r="AL48" s="59"/>
      <c r="AM48" s="59"/>
      <c r="AN48" s="59"/>
      <c r="AO48" s="59"/>
      <c r="AP48" s="59"/>
    </row>
    <row r="49" spans="1:42">
      <c r="A49" s="59"/>
      <c r="B49" s="83" t="s">
        <v>731</v>
      </c>
      <c r="C49" s="83"/>
      <c r="D49" s="1306"/>
      <c r="E49" s="1307"/>
      <c r="F49" s="1307"/>
      <c r="G49" s="1307"/>
      <c r="H49" s="1307"/>
      <c r="I49" s="1307"/>
      <c r="J49" s="1307"/>
      <c r="K49" s="1307"/>
      <c r="L49" s="1307"/>
      <c r="M49" s="1307"/>
      <c r="N49" s="1307"/>
      <c r="O49" s="1307"/>
      <c r="P49" s="1307"/>
      <c r="Q49" s="1308"/>
      <c r="R49" s="63"/>
      <c r="S49" s="59"/>
      <c r="T49" s="63"/>
      <c r="U49" s="59"/>
      <c r="V49" s="59"/>
      <c r="W49" s="59"/>
      <c r="X49" s="59"/>
      <c r="Y49" s="59"/>
      <c r="Z49" s="59"/>
      <c r="AA49" s="59"/>
      <c r="AB49" s="79"/>
      <c r="AC49" s="59"/>
      <c r="AD49" s="59"/>
      <c r="AE49" s="59"/>
      <c r="AF49" s="59"/>
      <c r="AG49" s="59"/>
      <c r="AH49" s="59"/>
      <c r="AI49" s="59"/>
      <c r="AJ49" s="59"/>
      <c r="AK49" s="59"/>
      <c r="AL49" s="59"/>
      <c r="AM49" s="59"/>
      <c r="AN49" s="59"/>
      <c r="AO49" s="59"/>
      <c r="AP49" s="59"/>
    </row>
    <row r="50" spans="1:42">
      <c r="A50" s="59"/>
      <c r="B50" s="83" t="s">
        <v>735</v>
      </c>
      <c r="C50" s="83"/>
      <c r="D50" s="1306"/>
      <c r="E50" s="1307"/>
      <c r="F50" s="1307"/>
      <c r="G50" s="1307"/>
      <c r="H50" s="1307"/>
      <c r="I50" s="1307"/>
      <c r="J50" s="1307"/>
      <c r="K50" s="1307"/>
      <c r="L50" s="1307"/>
      <c r="M50" s="1307"/>
      <c r="N50" s="1307"/>
      <c r="O50" s="1307"/>
      <c r="P50" s="1307"/>
      <c r="Q50" s="1308"/>
      <c r="R50" s="63"/>
      <c r="S50" s="59"/>
      <c r="T50" s="63"/>
      <c r="U50" s="59"/>
      <c r="V50" s="59"/>
      <c r="W50" s="59"/>
      <c r="X50" s="59"/>
      <c r="Y50" s="59"/>
      <c r="Z50" s="59"/>
      <c r="AA50" s="59"/>
      <c r="AB50" s="79"/>
      <c r="AC50" s="59"/>
      <c r="AD50" s="59"/>
      <c r="AE50" s="59"/>
      <c r="AF50" s="59"/>
      <c r="AG50" s="59"/>
      <c r="AH50" s="59"/>
      <c r="AI50" s="59"/>
      <c r="AJ50" s="59"/>
      <c r="AK50" s="59"/>
      <c r="AL50" s="59"/>
      <c r="AM50" s="59"/>
      <c r="AN50" s="59"/>
      <c r="AO50" s="59"/>
      <c r="AP50" s="59"/>
    </row>
    <row r="51" spans="1:42">
      <c r="A51" s="59"/>
      <c r="B51" s="83" t="s">
        <v>738</v>
      </c>
      <c r="C51" s="83"/>
      <c r="D51" s="1306"/>
      <c r="E51" s="1307"/>
      <c r="F51" s="1307"/>
      <c r="G51" s="1307"/>
      <c r="H51" s="1307"/>
      <c r="I51" s="1307"/>
      <c r="J51" s="1307"/>
      <c r="K51" s="1307"/>
      <c r="L51" s="1307"/>
      <c r="M51" s="1307"/>
      <c r="N51" s="1307"/>
      <c r="O51" s="1307"/>
      <c r="P51" s="1307"/>
      <c r="Q51" s="1308"/>
      <c r="R51" s="63"/>
      <c r="S51" s="59"/>
      <c r="T51" s="63"/>
      <c r="U51" s="59"/>
      <c r="V51" s="59"/>
      <c r="W51" s="59"/>
      <c r="X51" s="59"/>
      <c r="Y51" s="59"/>
      <c r="Z51" s="59"/>
      <c r="AA51" s="59"/>
      <c r="AB51" s="79"/>
      <c r="AC51" s="59"/>
      <c r="AD51" s="59"/>
      <c r="AE51" s="59"/>
      <c r="AF51" s="59"/>
      <c r="AG51" s="59"/>
      <c r="AH51" s="59"/>
      <c r="AI51" s="59"/>
      <c r="AJ51" s="59"/>
      <c r="AK51" s="59"/>
      <c r="AL51" s="59"/>
      <c r="AM51" s="59"/>
      <c r="AN51" s="59"/>
      <c r="AO51" s="59"/>
      <c r="AP51" s="59"/>
    </row>
    <row r="52" spans="1:42">
      <c r="A52" s="59"/>
      <c r="B52" s="83" t="s">
        <v>741</v>
      </c>
      <c r="C52" s="83"/>
      <c r="D52" s="1306"/>
      <c r="E52" s="1307"/>
      <c r="F52" s="1307"/>
      <c r="G52" s="1307"/>
      <c r="H52" s="1307"/>
      <c r="I52" s="1307"/>
      <c r="J52" s="1307"/>
      <c r="K52" s="1307"/>
      <c r="L52" s="1307"/>
      <c r="M52" s="1307"/>
      <c r="N52" s="1307"/>
      <c r="O52" s="1307"/>
      <c r="P52" s="1307"/>
      <c r="Q52" s="1308"/>
      <c r="R52" s="63"/>
      <c r="S52" s="59"/>
      <c r="T52" s="63"/>
      <c r="U52" s="59"/>
      <c r="V52" s="59"/>
      <c r="W52" s="59"/>
      <c r="X52" s="59"/>
      <c r="Y52" s="59"/>
      <c r="Z52" s="59"/>
      <c r="AA52" s="59"/>
      <c r="AB52" s="79"/>
      <c r="AC52" s="59"/>
      <c r="AD52" s="59"/>
      <c r="AE52" s="59"/>
      <c r="AF52" s="59"/>
      <c r="AG52" s="59"/>
      <c r="AH52" s="59"/>
      <c r="AI52" s="59"/>
      <c r="AJ52" s="59"/>
      <c r="AK52" s="59"/>
      <c r="AL52" s="59"/>
      <c r="AM52" s="59"/>
      <c r="AN52" s="59"/>
      <c r="AO52" s="59"/>
      <c r="AP52" s="59"/>
    </row>
    <row r="53" spans="1:42">
      <c r="A53" s="59"/>
      <c r="B53" s="83" t="s">
        <v>744</v>
      </c>
      <c r="C53" s="83"/>
      <c r="D53" s="1306"/>
      <c r="E53" s="1307"/>
      <c r="F53" s="1307"/>
      <c r="G53" s="1307"/>
      <c r="H53" s="1307"/>
      <c r="I53" s="1307"/>
      <c r="J53" s="1307"/>
      <c r="K53" s="1307"/>
      <c r="L53" s="1307"/>
      <c r="M53" s="1307"/>
      <c r="N53" s="1307"/>
      <c r="O53" s="1307"/>
      <c r="P53" s="1307"/>
      <c r="Q53" s="1308"/>
      <c r="R53" s="63"/>
      <c r="S53" s="59"/>
      <c r="T53" s="63"/>
      <c r="U53" s="59"/>
      <c r="V53" s="59"/>
      <c r="W53" s="59"/>
      <c r="X53" s="59"/>
      <c r="Y53" s="59"/>
      <c r="Z53" s="59"/>
      <c r="AA53" s="59"/>
      <c r="AB53" s="79"/>
      <c r="AC53" s="59"/>
      <c r="AD53" s="59"/>
      <c r="AE53" s="59"/>
      <c r="AF53" s="59"/>
      <c r="AG53" s="59"/>
      <c r="AH53" s="59"/>
      <c r="AI53" s="59"/>
      <c r="AJ53" s="59"/>
      <c r="AK53" s="59"/>
      <c r="AL53" s="59"/>
      <c r="AM53" s="59"/>
      <c r="AN53" s="59"/>
      <c r="AO53" s="59"/>
      <c r="AP53" s="59"/>
    </row>
    <row r="54" spans="1:42">
      <c r="A54" s="59"/>
      <c r="B54" s="83" t="s">
        <v>747</v>
      </c>
      <c r="C54" s="83"/>
      <c r="D54" s="1306"/>
      <c r="E54" s="1307"/>
      <c r="F54" s="1307"/>
      <c r="G54" s="1307"/>
      <c r="H54" s="1307"/>
      <c r="I54" s="1307"/>
      <c r="J54" s="1307"/>
      <c r="K54" s="1307"/>
      <c r="L54" s="1307"/>
      <c r="M54" s="1307"/>
      <c r="N54" s="1307"/>
      <c r="O54" s="1307"/>
      <c r="P54" s="1307"/>
      <c r="Q54" s="1308"/>
      <c r="R54" s="63"/>
      <c r="S54" s="59"/>
      <c r="T54" s="63"/>
      <c r="U54" s="59"/>
      <c r="V54" s="59"/>
      <c r="W54" s="59"/>
      <c r="X54" s="59"/>
      <c r="Y54" s="59"/>
      <c r="Z54" s="59"/>
      <c r="AA54" s="59"/>
      <c r="AB54" s="79"/>
      <c r="AC54" s="59"/>
      <c r="AD54" s="59"/>
      <c r="AE54" s="59"/>
      <c r="AF54" s="59"/>
      <c r="AG54" s="59"/>
      <c r="AH54" s="59"/>
      <c r="AI54" s="59"/>
      <c r="AJ54" s="59"/>
      <c r="AK54" s="59"/>
      <c r="AL54" s="59"/>
      <c r="AM54" s="59"/>
      <c r="AN54" s="59"/>
      <c r="AO54" s="59"/>
      <c r="AP54" s="59"/>
    </row>
    <row r="55" spans="1:42">
      <c r="A55" s="59"/>
      <c r="B55" s="83" t="s">
        <v>762</v>
      </c>
      <c r="C55" s="83"/>
      <c r="D55" s="1306"/>
      <c r="E55" s="1307"/>
      <c r="F55" s="1307"/>
      <c r="G55" s="1307"/>
      <c r="H55" s="1307"/>
      <c r="I55" s="1307"/>
      <c r="J55" s="1307"/>
      <c r="K55" s="1307"/>
      <c r="L55" s="1307"/>
      <c r="M55" s="1307"/>
      <c r="N55" s="1307"/>
      <c r="O55" s="1307"/>
      <c r="P55" s="1307"/>
      <c r="Q55" s="1308"/>
      <c r="R55" s="63"/>
      <c r="S55" s="59"/>
      <c r="T55" s="63"/>
      <c r="U55" s="59"/>
      <c r="V55" s="59"/>
      <c r="W55" s="59"/>
      <c r="X55" s="59"/>
      <c r="Y55" s="59"/>
      <c r="Z55" s="59"/>
      <c r="AA55" s="59"/>
      <c r="AB55" s="79"/>
      <c r="AC55" s="59"/>
      <c r="AD55" s="59"/>
      <c r="AE55" s="59"/>
      <c r="AF55" s="59"/>
      <c r="AG55" s="59"/>
      <c r="AH55" s="59"/>
      <c r="AI55" s="59"/>
      <c r="AJ55" s="59"/>
      <c r="AK55" s="59"/>
      <c r="AL55" s="59"/>
      <c r="AM55" s="59"/>
      <c r="AN55" s="59"/>
      <c r="AO55" s="59"/>
      <c r="AP55" s="59"/>
    </row>
    <row r="56" spans="1:42">
      <c r="A56" s="59"/>
      <c r="B56" s="83" t="s">
        <v>754</v>
      </c>
      <c r="C56" s="83"/>
      <c r="D56" s="1306"/>
      <c r="E56" s="1307"/>
      <c r="F56" s="1307"/>
      <c r="G56" s="1307"/>
      <c r="H56" s="1307"/>
      <c r="I56" s="1307"/>
      <c r="J56" s="1307"/>
      <c r="K56" s="1307"/>
      <c r="L56" s="1307"/>
      <c r="M56" s="1307"/>
      <c r="N56" s="1307"/>
      <c r="O56" s="1307"/>
      <c r="P56" s="1307"/>
      <c r="Q56" s="1308"/>
      <c r="R56" s="63"/>
      <c r="S56" s="59"/>
      <c r="T56" s="63"/>
      <c r="U56" s="59"/>
      <c r="V56" s="59"/>
      <c r="W56" s="59"/>
      <c r="X56" s="59"/>
      <c r="Y56" s="59"/>
      <c r="Z56" s="59"/>
      <c r="AA56" s="59"/>
      <c r="AB56" s="79"/>
      <c r="AC56" s="59"/>
      <c r="AD56" s="59"/>
      <c r="AE56" s="59"/>
      <c r="AF56" s="59"/>
      <c r="AG56" s="59"/>
      <c r="AH56" s="59"/>
      <c r="AI56" s="59"/>
      <c r="AJ56" s="59"/>
      <c r="AK56" s="59"/>
      <c r="AL56" s="59"/>
      <c r="AM56" s="59"/>
      <c r="AN56" s="59"/>
      <c r="AO56" s="59"/>
      <c r="AP56" s="59"/>
    </row>
    <row r="57" spans="1:42">
      <c r="A57" s="59"/>
      <c r="B57" s="83" t="s">
        <v>757</v>
      </c>
      <c r="C57" s="83"/>
      <c r="D57" s="1306"/>
      <c r="E57" s="1307"/>
      <c r="F57" s="1307"/>
      <c r="G57" s="1307"/>
      <c r="H57" s="1307"/>
      <c r="I57" s="1307"/>
      <c r="J57" s="1307"/>
      <c r="K57" s="1307"/>
      <c r="L57" s="1307"/>
      <c r="M57" s="1307"/>
      <c r="N57" s="1307"/>
      <c r="O57" s="1307"/>
      <c r="P57" s="1307"/>
      <c r="Q57" s="1308"/>
      <c r="R57" s="63"/>
      <c r="S57" s="59"/>
      <c r="T57" s="63"/>
      <c r="U57" s="59"/>
      <c r="V57" s="59"/>
      <c r="W57" s="59"/>
      <c r="X57" s="59"/>
      <c r="Y57" s="59"/>
      <c r="Z57" s="59"/>
      <c r="AA57" s="59"/>
      <c r="AB57" s="79"/>
      <c r="AC57" s="59"/>
      <c r="AD57" s="59"/>
      <c r="AE57" s="59"/>
      <c r="AF57" s="59"/>
      <c r="AG57" s="59"/>
      <c r="AH57" s="59"/>
      <c r="AI57" s="59"/>
      <c r="AJ57" s="59"/>
      <c r="AK57" s="59"/>
      <c r="AL57" s="59"/>
      <c r="AM57" s="59"/>
      <c r="AN57" s="59"/>
      <c r="AO57" s="59"/>
      <c r="AP57" s="59"/>
    </row>
    <row r="58" spans="1:42">
      <c r="A58" s="59"/>
      <c r="B58" s="67"/>
      <c r="C58" s="67"/>
      <c r="D58" s="59"/>
      <c r="E58" s="59"/>
      <c r="F58" s="59"/>
      <c r="G58" s="59"/>
      <c r="H58" s="59"/>
      <c r="I58" s="59"/>
      <c r="J58" s="59"/>
      <c r="K58" s="59"/>
      <c r="L58" s="59"/>
      <c r="M58" s="59"/>
      <c r="N58" s="59"/>
      <c r="O58" s="59"/>
      <c r="P58" s="59"/>
      <c r="Q58" s="59"/>
      <c r="R58" s="59"/>
      <c r="S58" s="59"/>
      <c r="T58" s="59"/>
      <c r="U58" s="59"/>
      <c r="V58" s="59"/>
      <c r="W58" s="59"/>
      <c r="X58" s="59"/>
      <c r="Y58" s="59"/>
      <c r="Z58" s="59"/>
      <c r="AA58" s="59"/>
      <c r="AB58" s="79"/>
      <c r="AC58" s="59"/>
      <c r="AD58" s="59"/>
      <c r="AE58" s="59"/>
      <c r="AF58" s="59"/>
      <c r="AG58" s="59"/>
      <c r="AH58" s="59"/>
      <c r="AI58" s="59"/>
      <c r="AJ58" s="59"/>
      <c r="AK58" s="59"/>
      <c r="AL58" s="59"/>
      <c r="AM58" s="59"/>
      <c r="AN58" s="59"/>
      <c r="AO58" s="59"/>
      <c r="AP58" s="59"/>
    </row>
    <row r="59" spans="1:42">
      <c r="A59" s="59"/>
      <c r="B59" s="67"/>
      <c r="C59" s="67"/>
      <c r="D59" s="62" t="s">
        <v>691</v>
      </c>
      <c r="E59" s="62"/>
      <c r="S59" s="59"/>
      <c r="T59" s="71" t="s">
        <v>611</v>
      </c>
      <c r="U59" s="72" t="s">
        <v>611</v>
      </c>
      <c r="V59" s="72" t="s">
        <v>611</v>
      </c>
      <c r="W59" s="72" t="s">
        <v>611</v>
      </c>
      <c r="X59" s="72" t="s">
        <v>611</v>
      </c>
      <c r="Y59" s="72" t="s">
        <v>611</v>
      </c>
      <c r="Z59" s="72" t="s">
        <v>611</v>
      </c>
      <c r="AA59" s="77" t="s">
        <v>611</v>
      </c>
      <c r="AB59" s="80" t="s">
        <v>611</v>
      </c>
      <c r="AC59" s="72" t="s">
        <v>611</v>
      </c>
      <c r="AD59" s="59"/>
      <c r="AE59" s="59"/>
      <c r="AF59" s="59"/>
      <c r="AG59" s="59"/>
      <c r="AH59" s="59"/>
      <c r="AI59" s="59"/>
      <c r="AJ59" s="59"/>
      <c r="AK59" s="59"/>
      <c r="AL59" s="59"/>
      <c r="AM59" s="59"/>
      <c r="AN59" s="59"/>
      <c r="AO59" s="59"/>
      <c r="AP59" s="59"/>
    </row>
    <row r="60" spans="1:42">
      <c r="A60" s="59"/>
      <c r="B60" s="67"/>
      <c r="C60" s="67"/>
      <c r="D60" s="1295" t="s">
        <v>759</v>
      </c>
      <c r="E60" s="1295"/>
      <c r="F60" s="1295"/>
      <c r="G60" s="1295"/>
      <c r="H60" s="1295"/>
      <c r="I60" s="1295"/>
      <c r="J60" s="1295"/>
      <c r="K60" s="1295"/>
      <c r="L60" s="1295"/>
      <c r="M60" s="1295"/>
      <c r="N60" s="1295"/>
      <c r="O60" s="1295"/>
      <c r="P60" s="1295"/>
      <c r="Q60" s="1295"/>
      <c r="R60" s="1295"/>
      <c r="S60" s="59"/>
      <c r="T60" s="901">
        <f t="shared" ref="T60:AC60" si="7">T43</f>
        <v>6573.8163318594234</v>
      </c>
      <c r="U60" s="960">
        <f t="shared" si="7"/>
        <v>6724.3492342257887</v>
      </c>
      <c r="V60" s="960">
        <f t="shared" si="7"/>
        <v>7122.6707289409505</v>
      </c>
      <c r="W60" s="960">
        <f t="shared" si="7"/>
        <v>6198.3906781107653</v>
      </c>
      <c r="X60" s="960">
        <f t="shared" si="7"/>
        <v>6653.594038876352</v>
      </c>
      <c r="Y60" s="960">
        <f t="shared" si="7"/>
        <v>6336.538326561209</v>
      </c>
      <c r="Z60" s="960">
        <f t="shared" si="7"/>
        <v>6336.7183361533534</v>
      </c>
      <c r="AA60" s="961">
        <f t="shared" si="7"/>
        <v>5492.9953465594608</v>
      </c>
      <c r="AB60" s="962">
        <f t="shared" si="7"/>
        <v>4450.4618724602778</v>
      </c>
      <c r="AC60" s="960">
        <f t="shared" si="7"/>
        <v>3957.8543408190753</v>
      </c>
      <c r="AD60" s="59"/>
      <c r="AE60" s="59"/>
      <c r="AF60" s="59"/>
      <c r="AG60" s="59"/>
      <c r="AH60" s="59"/>
      <c r="AI60" s="59"/>
      <c r="AJ60" s="59"/>
      <c r="AK60" s="59"/>
      <c r="AL60" s="59"/>
      <c r="AM60" s="59"/>
      <c r="AN60" s="59"/>
      <c r="AO60" s="59"/>
      <c r="AP60" s="59"/>
    </row>
    <row r="61" spans="1:42">
      <c r="A61" s="59"/>
      <c r="B61" s="67"/>
      <c r="C61" s="67"/>
      <c r="D61" s="1295" t="s">
        <v>763</v>
      </c>
      <c r="E61" s="1295"/>
      <c r="F61" s="1295"/>
      <c r="G61" s="1295"/>
      <c r="H61" s="1295"/>
      <c r="I61" s="1295"/>
      <c r="J61" s="1295"/>
      <c r="K61" s="1295"/>
      <c r="L61" s="1295"/>
      <c r="M61" s="1295"/>
      <c r="N61" s="1295"/>
      <c r="O61" s="1295"/>
      <c r="P61" s="1295"/>
      <c r="Q61" s="1295"/>
      <c r="R61" s="1295"/>
      <c r="S61" s="59"/>
      <c r="T61" s="137">
        <v>0</v>
      </c>
      <c r="U61" s="137">
        <v>0</v>
      </c>
      <c r="V61" s="137">
        <v>0</v>
      </c>
      <c r="W61" s="137">
        <v>0</v>
      </c>
      <c r="X61" s="137">
        <v>0</v>
      </c>
      <c r="Y61" s="137">
        <v>0</v>
      </c>
      <c r="Z61" s="137">
        <v>0</v>
      </c>
      <c r="AA61" s="137">
        <v>0</v>
      </c>
      <c r="AB61" s="137">
        <v>0</v>
      </c>
      <c r="AC61" s="137">
        <v>0</v>
      </c>
      <c r="AD61" s="59"/>
      <c r="AE61" s="59"/>
      <c r="AF61" s="59"/>
      <c r="AG61" s="59"/>
      <c r="AH61" s="59"/>
      <c r="AI61" s="59"/>
      <c r="AJ61" s="59"/>
      <c r="AK61" s="59"/>
      <c r="AL61" s="59"/>
      <c r="AM61" s="59"/>
      <c r="AN61" s="59"/>
      <c r="AO61" s="59"/>
      <c r="AP61" s="59"/>
    </row>
    <row r="62" spans="1:42" ht="12.75" customHeight="1">
      <c r="A62" s="59"/>
      <c r="B62" s="67"/>
      <c r="C62" s="67"/>
      <c r="D62" s="1295" t="s">
        <v>764</v>
      </c>
      <c r="E62" s="1295"/>
      <c r="F62" s="1295"/>
      <c r="G62" s="1295"/>
      <c r="H62" s="1295"/>
      <c r="I62" s="1295"/>
      <c r="J62" s="1295"/>
      <c r="K62" s="1295"/>
      <c r="L62" s="1295"/>
      <c r="M62" s="1295"/>
      <c r="N62" s="1295"/>
      <c r="O62" s="1295"/>
      <c r="P62" s="1295"/>
      <c r="Q62" s="1295"/>
      <c r="R62" s="1295"/>
      <c r="S62" s="59"/>
      <c r="T62" s="137">
        <v>0</v>
      </c>
      <c r="U62" s="137">
        <v>0</v>
      </c>
      <c r="V62" s="137">
        <v>0</v>
      </c>
      <c r="W62" s="137">
        <v>0</v>
      </c>
      <c r="X62" s="137">
        <v>0</v>
      </c>
      <c r="Y62" s="137">
        <v>0</v>
      </c>
      <c r="Z62" s="137">
        <v>0</v>
      </c>
      <c r="AA62" s="137">
        <v>0</v>
      </c>
      <c r="AB62" s="137">
        <v>0</v>
      </c>
      <c r="AC62" s="137">
        <v>0</v>
      </c>
      <c r="AD62" s="59"/>
      <c r="AE62" s="59"/>
      <c r="AF62" s="59"/>
      <c r="AG62" s="59"/>
      <c r="AH62" s="59"/>
      <c r="AI62" s="59"/>
      <c r="AJ62" s="59"/>
      <c r="AK62" s="59"/>
      <c r="AL62" s="59"/>
      <c r="AM62" s="59"/>
      <c r="AN62" s="59"/>
      <c r="AO62" s="59"/>
      <c r="AP62" s="59"/>
    </row>
    <row r="63" spans="1:42" ht="12.75" customHeight="1">
      <c r="A63" s="59"/>
      <c r="B63" s="67"/>
      <c r="C63" s="67"/>
      <c r="D63" s="1295" t="s">
        <v>765</v>
      </c>
      <c r="E63" s="1295"/>
      <c r="F63" s="1295"/>
      <c r="G63" s="1295"/>
      <c r="H63" s="1295"/>
      <c r="I63" s="1295"/>
      <c r="J63" s="1295"/>
      <c r="K63" s="1295"/>
      <c r="L63" s="1295"/>
      <c r="M63" s="1295"/>
      <c r="N63" s="1295"/>
      <c r="O63" s="1295"/>
      <c r="P63" s="1295"/>
      <c r="Q63" s="1295"/>
      <c r="R63" s="1295"/>
      <c r="S63" s="59"/>
      <c r="T63" s="137">
        <v>0</v>
      </c>
      <c r="U63" s="137">
        <v>0</v>
      </c>
      <c r="V63" s="137">
        <v>0</v>
      </c>
      <c r="W63" s="137">
        <v>0</v>
      </c>
      <c r="X63" s="137">
        <v>0</v>
      </c>
      <c r="Y63" s="137">
        <v>0</v>
      </c>
      <c r="Z63" s="137">
        <v>0</v>
      </c>
      <c r="AA63" s="137">
        <v>0</v>
      </c>
      <c r="AB63" s="137">
        <v>0</v>
      </c>
      <c r="AC63" s="137">
        <v>0</v>
      </c>
      <c r="AD63" s="59"/>
      <c r="AE63" s="59"/>
      <c r="AF63" s="59"/>
      <c r="AG63" s="59"/>
      <c r="AH63" s="59"/>
      <c r="AI63" s="59"/>
      <c r="AJ63" s="59"/>
      <c r="AK63" s="59"/>
      <c r="AL63" s="59"/>
      <c r="AM63" s="59"/>
      <c r="AN63" s="59"/>
      <c r="AO63" s="59"/>
      <c r="AP63" s="59"/>
    </row>
    <row r="64" spans="1:42" ht="12.75" customHeight="1">
      <c r="A64" s="59"/>
      <c r="B64" s="67"/>
      <c r="C64" s="67"/>
      <c r="D64" s="1309" t="s">
        <v>766</v>
      </c>
      <c r="E64" s="1309"/>
      <c r="F64" s="1309"/>
      <c r="G64" s="1309"/>
      <c r="H64" s="1309"/>
      <c r="I64" s="1309"/>
      <c r="J64" s="1309"/>
      <c r="K64" s="1309"/>
      <c r="L64" s="1309"/>
      <c r="M64" s="1309"/>
      <c r="N64" s="1309"/>
      <c r="O64" s="1309"/>
      <c r="P64" s="1309"/>
      <c r="Q64" s="1309"/>
      <c r="R64" s="1309"/>
      <c r="S64" s="59"/>
      <c r="T64" s="137">
        <v>0</v>
      </c>
      <c r="U64" s="137">
        <v>0</v>
      </c>
      <c r="V64" s="137">
        <v>0</v>
      </c>
      <c r="W64" s="137">
        <v>0</v>
      </c>
      <c r="X64" s="137">
        <v>0</v>
      </c>
      <c r="Y64" s="137">
        <v>0</v>
      </c>
      <c r="Z64" s="137">
        <v>0</v>
      </c>
      <c r="AA64" s="137">
        <v>0</v>
      </c>
      <c r="AB64" s="137">
        <v>0</v>
      </c>
      <c r="AC64" s="137">
        <v>0</v>
      </c>
      <c r="AD64" s="59"/>
      <c r="AE64" s="59"/>
      <c r="AF64" s="59"/>
      <c r="AG64" s="59"/>
      <c r="AH64" s="59"/>
      <c r="AI64" s="59"/>
      <c r="AJ64" s="59"/>
      <c r="AK64" s="59"/>
      <c r="AL64" s="59"/>
      <c r="AM64" s="59"/>
      <c r="AN64" s="59"/>
      <c r="AO64" s="59"/>
      <c r="AP64" s="59"/>
    </row>
    <row r="65" spans="1:42" ht="12.75" customHeight="1">
      <c r="A65" s="59"/>
      <c r="B65" s="67"/>
      <c r="C65" s="67"/>
      <c r="D65" s="1297" t="s">
        <v>1129</v>
      </c>
      <c r="E65" s="1298">
        <v>0</v>
      </c>
      <c r="F65" s="1298">
        <v>0</v>
      </c>
      <c r="G65" s="1298">
        <v>0</v>
      </c>
      <c r="H65" s="1298">
        <v>0</v>
      </c>
      <c r="I65" s="1298">
        <v>0</v>
      </c>
      <c r="J65" s="1298">
        <v>0</v>
      </c>
      <c r="K65" s="1298">
        <v>0</v>
      </c>
      <c r="L65" s="1298">
        <v>0</v>
      </c>
      <c r="M65" s="1298">
        <v>0</v>
      </c>
      <c r="N65" s="1298">
        <v>0</v>
      </c>
      <c r="O65" s="1298">
        <v>0</v>
      </c>
      <c r="P65" s="1298">
        <v>0</v>
      </c>
      <c r="Q65" s="1298">
        <v>0</v>
      </c>
      <c r="R65" s="1299">
        <v>0</v>
      </c>
      <c r="S65" s="59"/>
      <c r="T65" s="137">
        <v>126.26711447</v>
      </c>
      <c r="U65" s="137">
        <v>293.572788</v>
      </c>
      <c r="V65" s="137">
        <v>383.68448402321371</v>
      </c>
      <c r="W65" s="137">
        <v>432.60945326815079</v>
      </c>
      <c r="X65" s="137">
        <v>471.94293373799559</v>
      </c>
      <c r="Y65" s="137">
        <v>511.83387566782437</v>
      </c>
      <c r="Z65" s="137">
        <v>531.86718037447508</v>
      </c>
      <c r="AA65" s="137">
        <v>551.15009124026983</v>
      </c>
      <c r="AB65" s="137">
        <v>569.77561895098756</v>
      </c>
      <c r="AC65" s="137">
        <v>588.77365721591923</v>
      </c>
      <c r="AD65" s="59"/>
      <c r="AE65" s="59"/>
      <c r="AF65" s="59"/>
      <c r="AG65" s="59"/>
      <c r="AH65" s="59"/>
      <c r="AI65" s="59"/>
      <c r="AJ65" s="59"/>
      <c r="AK65" s="59"/>
      <c r="AL65" s="59"/>
      <c r="AM65" s="59"/>
      <c r="AN65" s="59"/>
      <c r="AO65" s="59"/>
      <c r="AP65" s="59"/>
    </row>
    <row r="66" spans="1:42" ht="12.75" customHeight="1">
      <c r="A66" s="59"/>
      <c r="B66" s="67"/>
      <c r="C66" s="67"/>
      <c r="D66" s="1297" t="s">
        <v>1130</v>
      </c>
      <c r="E66" s="1298">
        <v>0</v>
      </c>
      <c r="F66" s="1298">
        <v>0</v>
      </c>
      <c r="G66" s="1298">
        <v>0</v>
      </c>
      <c r="H66" s="1298">
        <v>0</v>
      </c>
      <c r="I66" s="1298">
        <v>0</v>
      </c>
      <c r="J66" s="1298">
        <v>0</v>
      </c>
      <c r="K66" s="1298">
        <v>0</v>
      </c>
      <c r="L66" s="1298">
        <v>0</v>
      </c>
      <c r="M66" s="1298">
        <v>0</v>
      </c>
      <c r="N66" s="1298">
        <v>0</v>
      </c>
      <c r="O66" s="1298">
        <v>0</v>
      </c>
      <c r="P66" s="1298">
        <v>0</v>
      </c>
      <c r="Q66" s="1298">
        <v>0</v>
      </c>
      <c r="R66" s="1299">
        <v>0</v>
      </c>
      <c r="S66" s="59"/>
      <c r="T66" s="137">
        <v>3.4998633046304457</v>
      </c>
      <c r="U66" s="137">
        <v>2.7495612636834843</v>
      </c>
      <c r="V66" s="137">
        <v>1.9872170229528296</v>
      </c>
      <c r="W66" s="137">
        <v>1.224872782222175</v>
      </c>
      <c r="X66" s="137">
        <v>0.46252854149152045</v>
      </c>
      <c r="Y66" s="137">
        <v>0</v>
      </c>
      <c r="Z66" s="137">
        <v>0</v>
      </c>
      <c r="AA66" s="137">
        <v>0</v>
      </c>
      <c r="AB66" s="137">
        <v>0</v>
      </c>
      <c r="AC66" s="137">
        <v>0</v>
      </c>
      <c r="AD66" s="59"/>
      <c r="AE66" s="59"/>
      <c r="AF66" s="59"/>
      <c r="AG66" s="59"/>
      <c r="AH66" s="59"/>
      <c r="AI66" s="59"/>
      <c r="AJ66" s="59"/>
      <c r="AK66" s="59"/>
      <c r="AL66" s="59"/>
      <c r="AM66" s="59"/>
      <c r="AN66" s="59"/>
      <c r="AO66" s="59"/>
      <c r="AP66" s="59"/>
    </row>
    <row r="67" spans="1:42" ht="12.75" customHeight="1">
      <c r="A67" s="59"/>
      <c r="B67" s="67"/>
      <c r="C67" s="67"/>
      <c r="D67" s="1297" t="s">
        <v>1131</v>
      </c>
      <c r="E67" s="1298">
        <v>0</v>
      </c>
      <c r="F67" s="1298">
        <v>0</v>
      </c>
      <c r="G67" s="1298">
        <v>0</v>
      </c>
      <c r="H67" s="1298">
        <v>0</v>
      </c>
      <c r="I67" s="1298">
        <v>0</v>
      </c>
      <c r="J67" s="1298">
        <v>0</v>
      </c>
      <c r="K67" s="1298">
        <v>0</v>
      </c>
      <c r="L67" s="1298">
        <v>0</v>
      </c>
      <c r="M67" s="1298">
        <v>0</v>
      </c>
      <c r="N67" s="1298">
        <v>0</v>
      </c>
      <c r="O67" s="1298">
        <v>0</v>
      </c>
      <c r="P67" s="1298">
        <v>0</v>
      </c>
      <c r="Q67" s="1298">
        <v>0</v>
      </c>
      <c r="R67" s="1299">
        <v>0</v>
      </c>
      <c r="S67" s="59"/>
      <c r="T67" s="137">
        <v>11.384768063166845</v>
      </c>
      <c r="U67" s="137">
        <v>11.384768063166845</v>
      </c>
      <c r="V67" s="137">
        <v>29.642788128854505</v>
      </c>
      <c r="W67" s="137">
        <v>30.089647252732419</v>
      </c>
      <c r="X67" s="137">
        <v>30.089647252732419</v>
      </c>
      <c r="Y67" s="137">
        <v>30.089647252732419</v>
      </c>
      <c r="Z67" s="137">
        <v>30.089647252732419</v>
      </c>
      <c r="AA67" s="137">
        <v>30.089647252732419</v>
      </c>
      <c r="AB67" s="137">
        <v>21.852931166281991</v>
      </c>
      <c r="AC67" s="137">
        <v>3.4842669162819817</v>
      </c>
      <c r="AD67" s="59"/>
      <c r="AE67" s="59"/>
      <c r="AF67" s="59"/>
      <c r="AG67" s="59"/>
      <c r="AH67" s="59"/>
      <c r="AI67" s="59"/>
      <c r="AJ67" s="59"/>
      <c r="AK67" s="59"/>
      <c r="AL67" s="59"/>
      <c r="AM67" s="59"/>
      <c r="AN67" s="59"/>
      <c r="AO67" s="59"/>
      <c r="AP67" s="59"/>
    </row>
    <row r="68" spans="1:42" ht="12.75" customHeight="1">
      <c r="A68" s="59"/>
      <c r="B68" s="67"/>
      <c r="C68" s="67"/>
      <c r="D68" s="1297" t="s">
        <v>1132</v>
      </c>
      <c r="E68" s="1298">
        <v>0</v>
      </c>
      <c r="F68" s="1298">
        <v>0</v>
      </c>
      <c r="G68" s="1298">
        <v>0</v>
      </c>
      <c r="H68" s="1298">
        <v>0</v>
      </c>
      <c r="I68" s="1298">
        <v>0</v>
      </c>
      <c r="J68" s="1298">
        <v>0</v>
      </c>
      <c r="K68" s="1298">
        <v>0</v>
      </c>
      <c r="L68" s="1298">
        <v>0</v>
      </c>
      <c r="M68" s="1298">
        <v>0</v>
      </c>
      <c r="N68" s="1298">
        <v>0</v>
      </c>
      <c r="O68" s="1298">
        <v>0</v>
      </c>
      <c r="P68" s="1298">
        <v>0</v>
      </c>
      <c r="Q68" s="1298">
        <v>0</v>
      </c>
      <c r="R68" s="1299">
        <v>0</v>
      </c>
      <c r="S68" s="59"/>
      <c r="T68" s="137">
        <v>-5499.87345764764</v>
      </c>
      <c r="U68" s="137">
        <v>-5761.7716556580153</v>
      </c>
      <c r="V68" s="137">
        <v>-6180.9219989031626</v>
      </c>
      <c r="W68" s="137">
        <v>-5466.5741181741087</v>
      </c>
      <c r="X68" s="137">
        <v>-5876.049238812122</v>
      </c>
      <c r="Y68" s="137">
        <v>-5648.0823081744402</v>
      </c>
      <c r="Z68" s="137">
        <v>-5664.6799815175291</v>
      </c>
      <c r="AA68" s="137">
        <v>-4987.7109839843179</v>
      </c>
      <c r="AB68" s="137">
        <v>-4140.1903994163504</v>
      </c>
      <c r="AC68" s="137">
        <v>-3736.2144540810491</v>
      </c>
      <c r="AD68" s="59"/>
      <c r="AE68" s="59"/>
      <c r="AF68" s="59"/>
      <c r="AG68" s="59"/>
      <c r="AH68" s="59"/>
      <c r="AI68" s="59"/>
      <c r="AJ68" s="59"/>
      <c r="AK68" s="59"/>
      <c r="AL68" s="59"/>
      <c r="AM68" s="59"/>
      <c r="AN68" s="59"/>
      <c r="AO68" s="59"/>
      <c r="AP68" s="59"/>
    </row>
    <row r="69" spans="1:42" ht="12.75" customHeight="1">
      <c r="A69" s="59"/>
      <c r="B69" s="67"/>
      <c r="C69" s="67"/>
      <c r="D69" s="1297" t="s">
        <v>1127</v>
      </c>
      <c r="E69" s="1298">
        <v>0</v>
      </c>
      <c r="F69" s="1298">
        <v>0</v>
      </c>
      <c r="G69" s="1298">
        <v>0</v>
      </c>
      <c r="H69" s="1298">
        <v>0</v>
      </c>
      <c r="I69" s="1298">
        <v>0</v>
      </c>
      <c r="J69" s="1298">
        <v>0</v>
      </c>
      <c r="K69" s="1298">
        <v>0</v>
      </c>
      <c r="L69" s="1298">
        <v>0</v>
      </c>
      <c r="M69" s="1298">
        <v>0</v>
      </c>
      <c r="N69" s="1298">
        <v>0</v>
      </c>
      <c r="O69" s="1298">
        <v>0</v>
      </c>
      <c r="P69" s="1298">
        <v>0</v>
      </c>
      <c r="Q69" s="1298">
        <v>0</v>
      </c>
      <c r="R69" s="1299">
        <v>0</v>
      </c>
      <c r="S69" s="59"/>
      <c r="T69" s="137">
        <v>0</v>
      </c>
      <c r="U69" s="137">
        <v>0</v>
      </c>
      <c r="V69" s="137">
        <v>0</v>
      </c>
      <c r="W69" s="137">
        <v>0</v>
      </c>
      <c r="X69" s="137">
        <v>0</v>
      </c>
      <c r="Y69" s="137">
        <v>0</v>
      </c>
      <c r="Z69" s="137">
        <v>0</v>
      </c>
      <c r="AA69" s="137">
        <v>0</v>
      </c>
      <c r="AB69" s="137">
        <v>0</v>
      </c>
      <c r="AC69" s="137">
        <v>0</v>
      </c>
      <c r="AD69" s="59"/>
      <c r="AE69" s="59"/>
      <c r="AF69" s="59"/>
      <c r="AG69" s="59"/>
      <c r="AH69" s="59"/>
      <c r="AI69" s="59"/>
      <c r="AJ69" s="59"/>
      <c r="AK69" s="59"/>
      <c r="AL69" s="59"/>
      <c r="AM69" s="59"/>
      <c r="AN69" s="59"/>
      <c r="AO69" s="59"/>
      <c r="AP69" s="59"/>
    </row>
    <row r="70" spans="1:42" ht="12.75" customHeight="1">
      <c r="A70" s="59"/>
      <c r="B70" s="67"/>
      <c r="C70" s="67"/>
      <c r="D70" s="1297" t="s">
        <v>1128</v>
      </c>
      <c r="E70" s="1298">
        <v>0</v>
      </c>
      <c r="F70" s="1298">
        <v>0</v>
      </c>
      <c r="G70" s="1298">
        <v>0</v>
      </c>
      <c r="H70" s="1298">
        <v>0</v>
      </c>
      <c r="I70" s="1298">
        <v>0</v>
      </c>
      <c r="J70" s="1298">
        <v>0</v>
      </c>
      <c r="K70" s="1298">
        <v>0</v>
      </c>
      <c r="L70" s="1298">
        <v>0</v>
      </c>
      <c r="M70" s="1298">
        <v>0</v>
      </c>
      <c r="N70" s="1298">
        <v>0</v>
      </c>
      <c r="O70" s="1298">
        <v>0</v>
      </c>
      <c r="P70" s="1298">
        <v>0</v>
      </c>
      <c r="Q70" s="1298">
        <v>0</v>
      </c>
      <c r="R70" s="1299">
        <v>0</v>
      </c>
      <c r="S70" s="59"/>
      <c r="T70" s="137">
        <v>0</v>
      </c>
      <c r="U70" s="137">
        <v>0</v>
      </c>
      <c r="V70" s="137">
        <v>0</v>
      </c>
      <c r="W70" s="137">
        <v>0</v>
      </c>
      <c r="X70" s="137">
        <v>0</v>
      </c>
      <c r="Y70" s="137">
        <v>0</v>
      </c>
      <c r="Z70" s="137">
        <v>0</v>
      </c>
      <c r="AA70" s="137">
        <v>0</v>
      </c>
      <c r="AB70" s="137">
        <v>0</v>
      </c>
      <c r="AC70" s="137">
        <v>0</v>
      </c>
      <c r="AD70" s="59"/>
      <c r="AE70" s="59"/>
      <c r="AF70" s="59"/>
      <c r="AG70" s="59"/>
      <c r="AH70" s="59"/>
      <c r="AI70" s="59"/>
      <c r="AJ70" s="59"/>
      <c r="AK70" s="59"/>
      <c r="AL70" s="59"/>
      <c r="AM70" s="59"/>
      <c r="AN70" s="59"/>
      <c r="AO70" s="59"/>
      <c r="AP70" s="59"/>
    </row>
    <row r="71" spans="1:42" ht="12.75" customHeight="1">
      <c r="A71" s="59"/>
      <c r="B71" s="67"/>
      <c r="C71" s="67"/>
      <c r="D71" s="1297" t="s">
        <v>703</v>
      </c>
      <c r="E71" s="1298">
        <v>0</v>
      </c>
      <c r="F71" s="1298">
        <v>0</v>
      </c>
      <c r="G71" s="1298">
        <v>0</v>
      </c>
      <c r="H71" s="1298">
        <v>0</v>
      </c>
      <c r="I71" s="1298">
        <v>0</v>
      </c>
      <c r="J71" s="1298">
        <v>0</v>
      </c>
      <c r="K71" s="1298">
        <v>0</v>
      </c>
      <c r="L71" s="1298">
        <v>0</v>
      </c>
      <c r="M71" s="1298">
        <v>0</v>
      </c>
      <c r="N71" s="1298">
        <v>0</v>
      </c>
      <c r="O71" s="1298">
        <v>0</v>
      </c>
      <c r="P71" s="1298">
        <v>0</v>
      </c>
      <c r="Q71" s="1298">
        <v>0</v>
      </c>
      <c r="R71" s="1299">
        <v>0</v>
      </c>
      <c r="S71" s="59"/>
      <c r="T71" s="137">
        <v>0</v>
      </c>
      <c r="U71" s="137">
        <v>0</v>
      </c>
      <c r="V71" s="137">
        <v>0</v>
      </c>
      <c r="W71" s="137">
        <v>0</v>
      </c>
      <c r="X71" s="137">
        <v>0</v>
      </c>
      <c r="Y71" s="137">
        <v>0</v>
      </c>
      <c r="Z71" s="137">
        <v>0</v>
      </c>
      <c r="AA71" s="137">
        <v>0</v>
      </c>
      <c r="AB71" s="137">
        <v>0</v>
      </c>
      <c r="AC71" s="137">
        <v>0</v>
      </c>
      <c r="AD71" s="59"/>
      <c r="AE71" s="59"/>
      <c r="AF71" s="59"/>
      <c r="AG71" s="59"/>
      <c r="AH71" s="59"/>
      <c r="AI71" s="59"/>
      <c r="AJ71" s="59"/>
      <c r="AK71" s="59"/>
      <c r="AL71" s="59"/>
      <c r="AM71" s="59"/>
      <c r="AN71" s="59"/>
      <c r="AO71" s="59"/>
      <c r="AP71" s="59"/>
    </row>
    <row r="72" spans="1:42" ht="12.75" customHeight="1">
      <c r="A72" s="59"/>
      <c r="B72" s="67"/>
      <c r="C72" s="67"/>
      <c r="D72" s="1297" t="s">
        <v>704</v>
      </c>
      <c r="E72" s="1298">
        <v>0</v>
      </c>
      <c r="F72" s="1298">
        <v>0</v>
      </c>
      <c r="G72" s="1298">
        <v>0</v>
      </c>
      <c r="H72" s="1298">
        <v>0</v>
      </c>
      <c r="I72" s="1298">
        <v>0</v>
      </c>
      <c r="J72" s="1298">
        <v>0</v>
      </c>
      <c r="K72" s="1298">
        <v>0</v>
      </c>
      <c r="L72" s="1298">
        <v>0</v>
      </c>
      <c r="M72" s="1298">
        <v>0</v>
      </c>
      <c r="N72" s="1298">
        <v>0</v>
      </c>
      <c r="O72" s="1298">
        <v>0</v>
      </c>
      <c r="P72" s="1298">
        <v>0</v>
      </c>
      <c r="Q72" s="1298">
        <v>0</v>
      </c>
      <c r="R72" s="1299">
        <v>0</v>
      </c>
      <c r="S72" s="59"/>
      <c r="T72" s="137">
        <v>0</v>
      </c>
      <c r="U72" s="137">
        <v>0</v>
      </c>
      <c r="V72" s="137">
        <v>0</v>
      </c>
      <c r="W72" s="137">
        <v>0</v>
      </c>
      <c r="X72" s="137">
        <v>0</v>
      </c>
      <c r="Y72" s="137">
        <v>0</v>
      </c>
      <c r="Z72" s="137">
        <v>0</v>
      </c>
      <c r="AA72" s="137">
        <v>0</v>
      </c>
      <c r="AB72" s="137">
        <v>0</v>
      </c>
      <c r="AC72" s="137">
        <v>0</v>
      </c>
      <c r="AD72" s="59"/>
      <c r="AE72" s="59"/>
      <c r="AF72" s="59"/>
      <c r="AG72" s="59"/>
      <c r="AH72" s="59"/>
      <c r="AI72" s="59"/>
      <c r="AJ72" s="59"/>
      <c r="AK72" s="59"/>
      <c r="AL72" s="59"/>
      <c r="AM72" s="59"/>
      <c r="AN72" s="59"/>
      <c r="AO72" s="59"/>
      <c r="AP72" s="59"/>
    </row>
    <row r="73" spans="1:42" ht="12.75" customHeight="1">
      <c r="A73" s="59"/>
      <c r="B73" s="67"/>
      <c r="C73" s="67"/>
      <c r="D73" s="1297" t="s">
        <v>705</v>
      </c>
      <c r="E73" s="1298">
        <v>0</v>
      </c>
      <c r="F73" s="1298">
        <v>0</v>
      </c>
      <c r="G73" s="1298">
        <v>0</v>
      </c>
      <c r="H73" s="1298">
        <v>0</v>
      </c>
      <c r="I73" s="1298">
        <v>0</v>
      </c>
      <c r="J73" s="1298">
        <v>0</v>
      </c>
      <c r="K73" s="1298">
        <v>0</v>
      </c>
      <c r="L73" s="1298">
        <v>0</v>
      </c>
      <c r="M73" s="1298">
        <v>0</v>
      </c>
      <c r="N73" s="1298">
        <v>0</v>
      </c>
      <c r="O73" s="1298">
        <v>0</v>
      </c>
      <c r="P73" s="1298">
        <v>0</v>
      </c>
      <c r="Q73" s="1298">
        <v>0</v>
      </c>
      <c r="R73" s="1299">
        <v>0</v>
      </c>
      <c r="S73" s="59"/>
      <c r="T73" s="137">
        <v>0</v>
      </c>
      <c r="U73" s="137">
        <v>0</v>
      </c>
      <c r="V73" s="137">
        <v>0</v>
      </c>
      <c r="W73" s="137">
        <v>0</v>
      </c>
      <c r="X73" s="137">
        <v>0</v>
      </c>
      <c r="Y73" s="137">
        <v>0</v>
      </c>
      <c r="Z73" s="137">
        <v>0</v>
      </c>
      <c r="AA73" s="137">
        <v>0</v>
      </c>
      <c r="AB73" s="137">
        <v>0</v>
      </c>
      <c r="AC73" s="137">
        <v>0</v>
      </c>
      <c r="AD73" s="59"/>
      <c r="AE73" s="59"/>
      <c r="AF73" s="59"/>
      <c r="AG73" s="59"/>
      <c r="AH73" s="59"/>
      <c r="AI73" s="59"/>
      <c r="AJ73" s="59"/>
      <c r="AK73" s="59"/>
      <c r="AL73" s="59"/>
      <c r="AM73" s="59"/>
      <c r="AN73" s="59"/>
      <c r="AO73" s="59"/>
      <c r="AP73" s="59"/>
    </row>
    <row r="74" spans="1:42" ht="12.75" customHeight="1">
      <c r="A74" s="59"/>
      <c r="B74" s="67"/>
      <c r="C74" s="67"/>
      <c r="D74" s="1300" t="s">
        <v>706</v>
      </c>
      <c r="E74" s="1301">
        <v>0</v>
      </c>
      <c r="F74" s="1301">
        <v>0</v>
      </c>
      <c r="G74" s="1301">
        <v>0</v>
      </c>
      <c r="H74" s="1301">
        <v>0</v>
      </c>
      <c r="I74" s="1301">
        <v>0</v>
      </c>
      <c r="J74" s="1301">
        <v>0</v>
      </c>
      <c r="K74" s="1301">
        <v>0</v>
      </c>
      <c r="L74" s="1301">
        <v>0</v>
      </c>
      <c r="M74" s="1301">
        <v>0</v>
      </c>
      <c r="N74" s="1301">
        <v>0</v>
      </c>
      <c r="O74" s="1301">
        <v>0</v>
      </c>
      <c r="P74" s="1301">
        <v>0</v>
      </c>
      <c r="Q74" s="1301">
        <v>0</v>
      </c>
      <c r="R74" s="1302">
        <v>0</v>
      </c>
      <c r="S74" s="59"/>
      <c r="T74" s="137">
        <v>0</v>
      </c>
      <c r="U74" s="137">
        <v>0</v>
      </c>
      <c r="V74" s="137">
        <v>0</v>
      </c>
      <c r="W74" s="137">
        <v>0</v>
      </c>
      <c r="X74" s="137">
        <v>0</v>
      </c>
      <c r="Y74" s="137">
        <v>0</v>
      </c>
      <c r="Z74" s="137">
        <v>0</v>
      </c>
      <c r="AA74" s="137">
        <v>0</v>
      </c>
      <c r="AB74" s="137">
        <v>0</v>
      </c>
      <c r="AC74" s="137">
        <v>0</v>
      </c>
      <c r="AD74" s="59"/>
      <c r="AE74" s="59"/>
      <c r="AF74" s="59"/>
      <c r="AG74" s="59"/>
      <c r="AH74" s="59"/>
      <c r="AI74" s="59"/>
      <c r="AJ74" s="59"/>
      <c r="AK74" s="59"/>
      <c r="AL74" s="59"/>
      <c r="AM74" s="59"/>
      <c r="AN74" s="59"/>
      <c r="AO74" s="59"/>
      <c r="AP74" s="59"/>
    </row>
    <row r="75" spans="1:42" ht="12.75" customHeight="1">
      <c r="A75" s="59"/>
      <c r="B75" s="67"/>
      <c r="C75" s="67"/>
      <c r="D75" s="1300" t="s">
        <v>1133</v>
      </c>
      <c r="E75" s="1301">
        <v>0</v>
      </c>
      <c r="F75" s="1301">
        <v>0</v>
      </c>
      <c r="G75" s="1301">
        <v>0</v>
      </c>
      <c r="H75" s="1301">
        <v>0</v>
      </c>
      <c r="I75" s="1301">
        <v>0</v>
      </c>
      <c r="J75" s="1301">
        <v>0</v>
      </c>
      <c r="K75" s="1301">
        <v>0</v>
      </c>
      <c r="L75" s="1301">
        <v>0</v>
      </c>
      <c r="M75" s="1301">
        <v>0</v>
      </c>
      <c r="N75" s="1301">
        <v>0</v>
      </c>
      <c r="O75" s="1301">
        <v>0</v>
      </c>
      <c r="P75" s="1301">
        <v>0</v>
      </c>
      <c r="Q75" s="1301">
        <v>0</v>
      </c>
      <c r="R75" s="1302">
        <v>0</v>
      </c>
      <c r="S75" s="59"/>
      <c r="T75" s="137">
        <v>0</v>
      </c>
      <c r="U75" s="137">
        <v>0</v>
      </c>
      <c r="V75" s="137">
        <v>0</v>
      </c>
      <c r="W75" s="137">
        <v>0</v>
      </c>
      <c r="X75" s="137">
        <v>0</v>
      </c>
      <c r="Y75" s="137">
        <v>0</v>
      </c>
      <c r="Z75" s="137">
        <v>0</v>
      </c>
      <c r="AA75" s="137">
        <v>0</v>
      </c>
      <c r="AB75" s="137">
        <v>0</v>
      </c>
      <c r="AC75" s="137">
        <v>0</v>
      </c>
      <c r="AD75" s="59"/>
      <c r="AE75" s="59"/>
      <c r="AF75" s="59"/>
      <c r="AG75" s="59"/>
      <c r="AH75" s="59"/>
      <c r="AI75" s="59"/>
      <c r="AJ75" s="59"/>
      <c r="AK75" s="59"/>
      <c r="AL75" s="59"/>
      <c r="AM75" s="59"/>
      <c r="AN75" s="59"/>
      <c r="AO75" s="59"/>
      <c r="AP75" s="59"/>
    </row>
    <row r="76" spans="1:42" ht="12.75" customHeight="1">
      <c r="A76" s="59"/>
      <c r="B76" s="67"/>
      <c r="C76" s="67"/>
      <c r="D76" s="1303" t="s">
        <v>1134</v>
      </c>
      <c r="E76" s="1304">
        <v>0</v>
      </c>
      <c r="F76" s="1304">
        <v>0</v>
      </c>
      <c r="G76" s="1304">
        <v>0</v>
      </c>
      <c r="H76" s="1304">
        <v>0</v>
      </c>
      <c r="I76" s="1304">
        <v>0</v>
      </c>
      <c r="J76" s="1304">
        <v>0</v>
      </c>
      <c r="K76" s="1304">
        <v>0</v>
      </c>
      <c r="L76" s="1304">
        <v>0</v>
      </c>
      <c r="M76" s="1304">
        <v>0</v>
      </c>
      <c r="N76" s="1304">
        <v>0</v>
      </c>
      <c r="O76" s="1304">
        <v>0</v>
      </c>
      <c r="P76" s="1304">
        <v>0</v>
      </c>
      <c r="Q76" s="1304">
        <v>0</v>
      </c>
      <c r="R76" s="1305">
        <v>0</v>
      </c>
      <c r="S76" s="59"/>
      <c r="T76" s="137">
        <v>0</v>
      </c>
      <c r="U76" s="137">
        <v>0</v>
      </c>
      <c r="V76" s="137">
        <v>0</v>
      </c>
      <c r="W76" s="137">
        <v>0</v>
      </c>
      <c r="X76" s="137">
        <v>0</v>
      </c>
      <c r="Y76" s="137">
        <v>0</v>
      </c>
      <c r="Z76" s="137">
        <v>0</v>
      </c>
      <c r="AA76" s="137">
        <v>0</v>
      </c>
      <c r="AB76" s="137">
        <v>0</v>
      </c>
      <c r="AC76" s="137">
        <v>0</v>
      </c>
      <c r="AD76" s="59"/>
      <c r="AE76" s="59"/>
      <c r="AF76" s="59"/>
      <c r="AG76" s="59"/>
      <c r="AH76" s="59"/>
      <c r="AI76" s="59"/>
      <c r="AJ76" s="59"/>
      <c r="AK76" s="59"/>
      <c r="AL76" s="59"/>
      <c r="AM76" s="59"/>
      <c r="AN76" s="59"/>
      <c r="AO76" s="59"/>
      <c r="AP76" s="59"/>
    </row>
    <row r="77" spans="1:42">
      <c r="A77" s="59"/>
      <c r="B77" s="67"/>
      <c r="C77" s="67"/>
      <c r="D77" s="1296" t="s">
        <v>767</v>
      </c>
      <c r="E77" s="1296"/>
      <c r="F77" s="1296"/>
      <c r="G77" s="1296"/>
      <c r="H77" s="1296"/>
      <c r="I77" s="1296"/>
      <c r="J77" s="1296"/>
      <c r="K77" s="1296"/>
      <c r="L77" s="1296"/>
      <c r="M77" s="1296"/>
      <c r="N77" s="1296"/>
      <c r="O77" s="1296"/>
      <c r="P77" s="1296"/>
      <c r="Q77" s="1296"/>
      <c r="R77" s="1296"/>
      <c r="S77" s="59"/>
      <c r="T77" s="833">
        <f t="shared" ref="T77:AC77" si="8">SUM(T60:T76)</f>
        <v>1215.094620049581</v>
      </c>
      <c r="U77" s="834">
        <f t="shared" si="8"/>
        <v>1270.2846958946238</v>
      </c>
      <c r="V77" s="834">
        <f t="shared" si="8"/>
        <v>1357.0632192128087</v>
      </c>
      <c r="W77" s="834">
        <f t="shared" si="8"/>
        <v>1195.740533239762</v>
      </c>
      <c r="X77" s="834">
        <f t="shared" si="8"/>
        <v>1280.0399095964485</v>
      </c>
      <c r="Y77" s="834">
        <f t="shared" si="8"/>
        <v>1230.3795413073249</v>
      </c>
      <c r="Z77" s="834">
        <f>SUM(Z60:Z76)</f>
        <v>1233.995182263031</v>
      </c>
      <c r="AA77" s="835">
        <f t="shared" si="8"/>
        <v>1086.5241010681448</v>
      </c>
      <c r="AB77" s="959">
        <f t="shared" si="8"/>
        <v>901.90002316119717</v>
      </c>
      <c r="AC77" s="834">
        <f t="shared" si="8"/>
        <v>813.8978108702272</v>
      </c>
      <c r="AD77" s="59"/>
      <c r="AE77" s="59"/>
      <c r="AF77" s="59"/>
      <c r="AG77" s="59"/>
      <c r="AH77" s="59"/>
      <c r="AI77" s="59"/>
      <c r="AJ77" s="59"/>
      <c r="AK77" s="59"/>
      <c r="AL77" s="59"/>
      <c r="AM77" s="59"/>
      <c r="AN77" s="59"/>
      <c r="AO77" s="59"/>
      <c r="AP77" s="59"/>
    </row>
    <row r="78" spans="1:42">
      <c r="A78" s="59"/>
      <c r="B78" s="67"/>
      <c r="C78" s="67"/>
      <c r="D78" s="59"/>
      <c r="E78" s="59"/>
      <c r="F78" s="59"/>
      <c r="G78" s="59"/>
      <c r="H78" s="59"/>
      <c r="I78" s="59"/>
      <c r="J78" s="59"/>
      <c r="K78" s="59"/>
      <c r="L78" s="59"/>
      <c r="M78" s="59"/>
      <c r="N78" s="59"/>
      <c r="O78" s="59"/>
      <c r="P78" s="59"/>
      <c r="Q78" s="59"/>
      <c r="R78" s="59"/>
      <c r="S78" s="59"/>
      <c r="T78" s="59"/>
      <c r="U78" s="59"/>
      <c r="V78" s="59"/>
      <c r="W78" s="59"/>
      <c r="X78" s="59"/>
      <c r="Y78" s="59"/>
      <c r="Z78" s="59"/>
      <c r="AA78" s="59"/>
      <c r="AB78" s="79"/>
      <c r="AC78" s="59"/>
      <c r="AD78" s="59"/>
      <c r="AE78" s="59"/>
      <c r="AF78" s="59"/>
      <c r="AG78" s="59"/>
      <c r="AH78" s="59"/>
      <c r="AI78" s="59"/>
      <c r="AJ78" s="59"/>
      <c r="AK78" s="59"/>
      <c r="AL78" s="59"/>
      <c r="AM78" s="59"/>
      <c r="AN78" s="59"/>
      <c r="AO78" s="59"/>
      <c r="AP78" s="59"/>
    </row>
    <row r="79" spans="1:42">
      <c r="A79" s="59"/>
      <c r="B79" s="67"/>
      <c r="C79" s="67"/>
      <c r="D79" s="58" t="s">
        <v>708</v>
      </c>
      <c r="E79" s="58"/>
      <c r="F79" s="59"/>
      <c r="G79" s="59"/>
      <c r="H79" s="59"/>
      <c r="I79" s="59"/>
      <c r="J79" s="59"/>
      <c r="K79" s="59"/>
      <c r="L79" s="59"/>
      <c r="M79" s="59"/>
      <c r="N79" s="59"/>
      <c r="O79" s="59"/>
      <c r="P79" s="59"/>
      <c r="Q79" s="59"/>
      <c r="R79" s="59"/>
      <c r="S79" s="59"/>
      <c r="T79" s="59"/>
      <c r="U79" s="59"/>
      <c r="V79" s="59"/>
      <c r="W79" s="59"/>
      <c r="X79" s="59"/>
      <c r="Y79" s="59"/>
      <c r="Z79" s="59"/>
      <c r="AA79" s="59"/>
      <c r="AB79" s="79"/>
      <c r="AC79" s="59"/>
      <c r="AD79" s="59"/>
      <c r="AE79" s="59"/>
      <c r="AF79" s="59"/>
      <c r="AG79" s="59"/>
      <c r="AH79" s="59"/>
      <c r="AI79" s="59"/>
      <c r="AJ79" s="59"/>
      <c r="AK79" s="59"/>
      <c r="AL79" s="59"/>
      <c r="AM79" s="59"/>
      <c r="AN79" s="59"/>
      <c r="AO79" s="59"/>
      <c r="AP79" s="59"/>
    </row>
    <row r="80" spans="1:42">
      <c r="A80" s="59"/>
      <c r="B80" s="67"/>
      <c r="C80" s="67"/>
      <c r="D80" s="59" t="s">
        <v>709</v>
      </c>
      <c r="E80" s="59"/>
      <c r="F80" s="59"/>
      <c r="G80" s="59"/>
      <c r="H80" s="59"/>
      <c r="I80" s="59"/>
      <c r="J80" s="59"/>
      <c r="K80" s="59"/>
      <c r="L80" s="59"/>
      <c r="M80" s="59"/>
      <c r="N80" s="59"/>
      <c r="O80" s="59"/>
      <c r="P80" s="59"/>
      <c r="Q80" s="59"/>
      <c r="R80" s="59"/>
      <c r="S80" s="59"/>
      <c r="T80" s="103">
        <v>0</v>
      </c>
      <c r="U80" s="104">
        <v>0</v>
      </c>
      <c r="V80" s="104">
        <v>0</v>
      </c>
      <c r="W80" s="104">
        <v>0</v>
      </c>
      <c r="X80" s="104">
        <v>0</v>
      </c>
      <c r="Y80" s="104">
        <v>0</v>
      </c>
      <c r="Z80" s="104">
        <v>0</v>
      </c>
      <c r="AA80" s="105">
        <v>0</v>
      </c>
      <c r="AB80" s="106">
        <v>0</v>
      </c>
      <c r="AC80" s="104">
        <v>0</v>
      </c>
      <c r="AD80" s="59"/>
      <c r="AE80" s="59"/>
      <c r="AF80" s="59"/>
      <c r="AG80" s="59"/>
      <c r="AH80" s="59"/>
      <c r="AI80" s="59"/>
      <c r="AJ80" s="59"/>
      <c r="AK80" s="59"/>
      <c r="AL80" s="59"/>
      <c r="AM80" s="59"/>
      <c r="AN80" s="59"/>
      <c r="AO80" s="59"/>
      <c r="AP80" s="59"/>
    </row>
    <row r="81" spans="1:42">
      <c r="A81" s="59"/>
      <c r="B81" s="67"/>
      <c r="C81" s="67"/>
      <c r="D81" s="59" t="s">
        <v>642</v>
      </c>
      <c r="E81" s="59"/>
      <c r="F81" s="59"/>
      <c r="G81" s="59"/>
      <c r="H81" s="59"/>
      <c r="I81" s="59"/>
      <c r="J81" s="59"/>
      <c r="K81" s="59"/>
      <c r="L81" s="59"/>
      <c r="M81" s="59"/>
      <c r="N81" s="59"/>
      <c r="O81" s="59"/>
      <c r="P81" s="59"/>
      <c r="Q81" s="59"/>
      <c r="R81" s="59"/>
      <c r="S81" s="59"/>
      <c r="T81" s="73">
        <f>1-T80</f>
        <v>1</v>
      </c>
      <c r="U81" s="74">
        <f t="shared" ref="U81:AC81" si="9">1-U80</f>
        <v>1</v>
      </c>
      <c r="V81" s="74">
        <f t="shared" si="9"/>
        <v>1</v>
      </c>
      <c r="W81" s="74">
        <f t="shared" si="9"/>
        <v>1</v>
      </c>
      <c r="X81" s="74">
        <f t="shared" si="9"/>
        <v>1</v>
      </c>
      <c r="Y81" s="74">
        <f t="shared" si="9"/>
        <v>1</v>
      </c>
      <c r="Z81" s="74">
        <f t="shared" si="9"/>
        <v>1</v>
      </c>
      <c r="AA81" s="78">
        <f t="shared" si="9"/>
        <v>1</v>
      </c>
      <c r="AB81" s="81">
        <f t="shared" si="9"/>
        <v>1</v>
      </c>
      <c r="AC81" s="74">
        <f t="shared" si="9"/>
        <v>1</v>
      </c>
      <c r="AD81" s="59"/>
      <c r="AE81" s="59"/>
      <c r="AF81" s="59"/>
      <c r="AG81" s="59"/>
      <c r="AH81" s="59"/>
      <c r="AI81" s="59"/>
      <c r="AJ81" s="59"/>
      <c r="AK81" s="59"/>
      <c r="AL81" s="59"/>
      <c r="AM81" s="59"/>
      <c r="AN81" s="59"/>
      <c r="AO81" s="59"/>
      <c r="AP81" s="59"/>
    </row>
    <row r="82" spans="1:42">
      <c r="A82" s="59"/>
      <c r="B82" s="67"/>
      <c r="C82" s="67"/>
      <c r="D82" s="59"/>
      <c r="E82" s="59"/>
      <c r="F82" s="59"/>
      <c r="G82" s="59"/>
      <c r="H82" s="59"/>
      <c r="I82" s="59"/>
      <c r="J82" s="59"/>
      <c r="K82" s="59"/>
      <c r="L82" s="59"/>
      <c r="M82" s="59"/>
      <c r="N82" s="59"/>
      <c r="O82" s="59"/>
      <c r="P82" s="59"/>
      <c r="Q82" s="59"/>
      <c r="R82" s="59"/>
      <c r="S82" s="59"/>
      <c r="T82" s="59"/>
      <c r="U82" s="59"/>
      <c r="V82" s="59"/>
      <c r="W82" s="59"/>
      <c r="X82" s="59"/>
      <c r="Y82" s="59"/>
      <c r="Z82" s="59"/>
      <c r="AA82" s="59"/>
      <c r="AB82" s="79"/>
      <c r="AC82" s="59"/>
      <c r="AD82" s="59"/>
      <c r="AE82" s="59"/>
      <c r="AF82" s="59"/>
      <c r="AG82" s="59"/>
      <c r="AH82" s="59"/>
      <c r="AI82" s="59"/>
      <c r="AJ82" s="59"/>
      <c r="AK82" s="59"/>
      <c r="AL82" s="59"/>
      <c r="AM82" s="59"/>
      <c r="AN82" s="59"/>
      <c r="AO82" s="59"/>
      <c r="AP82" s="59"/>
    </row>
    <row r="83" spans="1:42">
      <c r="A83" s="59"/>
      <c r="B83" s="67"/>
      <c r="C83" s="67"/>
      <c r="D83" s="59"/>
      <c r="E83" s="59"/>
      <c r="F83" s="59"/>
      <c r="G83" s="59"/>
      <c r="H83" s="59"/>
      <c r="I83" s="59"/>
      <c r="J83" s="59"/>
      <c r="K83" s="59"/>
      <c r="L83" s="59"/>
      <c r="M83" s="59"/>
      <c r="N83" s="59"/>
      <c r="O83" s="59"/>
      <c r="P83" s="59"/>
      <c r="Q83" s="59"/>
      <c r="R83" s="59"/>
      <c r="S83" s="59"/>
      <c r="T83" s="59"/>
      <c r="U83" s="59"/>
      <c r="V83" s="59"/>
      <c r="W83" s="59"/>
      <c r="X83" s="59"/>
      <c r="Y83" s="59"/>
      <c r="Z83" s="59"/>
      <c r="AA83" s="59"/>
      <c r="AB83" s="79"/>
      <c r="AC83" s="59"/>
      <c r="AD83" s="59"/>
      <c r="AE83" s="59"/>
      <c r="AF83" s="59"/>
      <c r="AG83" s="59"/>
      <c r="AH83" s="59"/>
      <c r="AI83" s="59"/>
      <c r="AJ83" s="59"/>
      <c r="AK83" s="59"/>
      <c r="AL83" s="59"/>
      <c r="AM83" s="59"/>
      <c r="AN83" s="59"/>
      <c r="AO83" s="59"/>
      <c r="AP83" s="59"/>
    </row>
    <row r="84" spans="1:42" ht="15">
      <c r="A84" s="59"/>
      <c r="B84" s="82" t="s">
        <v>768</v>
      </c>
      <c r="C84" s="82"/>
      <c r="D84" s="57"/>
      <c r="E84" s="57"/>
      <c r="F84" s="57"/>
      <c r="G84" s="57"/>
      <c r="H84" s="57"/>
      <c r="I84" s="57"/>
      <c r="J84" s="57"/>
      <c r="K84" s="57"/>
      <c r="L84" s="57"/>
      <c r="M84" s="57"/>
      <c r="N84" s="57"/>
      <c r="O84" s="57"/>
      <c r="P84" s="57"/>
      <c r="Q84" s="57"/>
      <c r="R84" s="59"/>
      <c r="S84" s="59"/>
      <c r="T84" s="59"/>
      <c r="U84" s="59"/>
      <c r="V84" s="59"/>
      <c r="W84" s="59"/>
      <c r="X84" s="59"/>
      <c r="Y84" s="59"/>
      <c r="Z84" s="59"/>
      <c r="AA84" s="59"/>
      <c r="AB84" s="79"/>
      <c r="AC84" s="59"/>
      <c r="AD84" s="59"/>
      <c r="AE84" s="59"/>
      <c r="AF84" s="59"/>
      <c r="AG84" s="59"/>
      <c r="AH84" s="59"/>
      <c r="AI84" s="59"/>
      <c r="AJ84" s="59"/>
      <c r="AK84" s="59"/>
      <c r="AL84" s="59"/>
      <c r="AM84" s="59"/>
      <c r="AN84" s="59"/>
      <c r="AO84" s="59"/>
      <c r="AP84" s="59"/>
    </row>
    <row r="85" spans="1:42">
      <c r="A85" s="59"/>
      <c r="B85" s="67"/>
      <c r="C85" s="67"/>
      <c r="D85" s="59"/>
      <c r="E85" s="59"/>
      <c r="F85" s="59"/>
      <c r="G85" s="59"/>
      <c r="H85" s="59"/>
      <c r="I85" s="59"/>
      <c r="J85" s="59"/>
      <c r="K85" s="59"/>
      <c r="L85" s="59"/>
      <c r="M85" s="59"/>
      <c r="N85" s="59"/>
      <c r="O85" s="59"/>
      <c r="P85" s="59"/>
      <c r="Q85" s="59"/>
      <c r="R85" s="59"/>
      <c r="S85" s="59"/>
      <c r="T85" s="59"/>
      <c r="U85" s="59"/>
      <c r="V85" s="59"/>
      <c r="W85" s="59"/>
      <c r="X85" s="59"/>
      <c r="Y85" s="59"/>
      <c r="Z85" s="59"/>
      <c r="AA85" s="59"/>
      <c r="AB85" s="79"/>
      <c r="AC85" s="59"/>
      <c r="AD85" s="59"/>
      <c r="AE85" s="59"/>
      <c r="AF85" s="59"/>
      <c r="AG85" s="59"/>
      <c r="AH85" s="59"/>
      <c r="AI85" s="59"/>
      <c r="AJ85" s="59"/>
      <c r="AK85" s="59"/>
      <c r="AL85" s="59"/>
      <c r="AM85" s="59"/>
      <c r="AN85" s="59"/>
      <c r="AO85" s="59"/>
      <c r="AP85" s="59"/>
    </row>
    <row r="86" spans="1:42">
      <c r="A86" s="59"/>
      <c r="B86" s="67"/>
      <c r="C86" s="67"/>
      <c r="D86" s="62" t="s">
        <v>769</v>
      </c>
      <c r="E86" s="62"/>
      <c r="S86" s="59"/>
      <c r="T86" s="71" t="s">
        <v>389</v>
      </c>
      <c r="U86" s="72" t="s">
        <v>389</v>
      </c>
      <c r="V86" s="72" t="s">
        <v>389</v>
      </c>
      <c r="W86" s="72" t="s">
        <v>389</v>
      </c>
      <c r="X86" s="72" t="s">
        <v>389</v>
      </c>
      <c r="Y86" s="72" t="s">
        <v>389</v>
      </c>
      <c r="Z86" s="72" t="s">
        <v>389</v>
      </c>
      <c r="AA86" s="77" t="s">
        <v>389</v>
      </c>
      <c r="AB86" s="80" t="s">
        <v>389</v>
      </c>
      <c r="AC86" s="72" t="s">
        <v>389</v>
      </c>
      <c r="AD86" s="59"/>
      <c r="AE86" s="59"/>
      <c r="AF86" s="59"/>
      <c r="AG86" s="59"/>
      <c r="AH86" s="59"/>
      <c r="AI86" s="59"/>
      <c r="AJ86" s="59"/>
      <c r="AK86" s="59"/>
      <c r="AL86" s="59"/>
      <c r="AM86" s="59"/>
      <c r="AN86" s="59"/>
      <c r="AO86" s="59"/>
      <c r="AP86" s="59"/>
    </row>
    <row r="87" spans="1:42" ht="12.75" customHeight="1">
      <c r="A87" s="59"/>
      <c r="B87" s="67"/>
      <c r="C87" s="67"/>
      <c r="D87" s="1295" t="s">
        <v>770</v>
      </c>
      <c r="E87" s="1295"/>
      <c r="F87" s="1295"/>
      <c r="G87" s="1295"/>
      <c r="H87" s="1295"/>
      <c r="I87" s="1295"/>
      <c r="J87" s="1295"/>
      <c r="K87" s="1295"/>
      <c r="L87" s="1295"/>
      <c r="M87" s="1295"/>
      <c r="N87" s="1295"/>
      <c r="O87" s="1295"/>
      <c r="P87" s="1295"/>
      <c r="Q87" s="1295"/>
      <c r="R87" s="1295"/>
      <c r="S87" s="59"/>
      <c r="T87" s="963" cm="1">
        <f t="array" ref="T87">T120 / SUMPRODUCT((T$32:T$40) * ($O$32:$O$40 = "NO"))</f>
        <v>0.79105033343544517</v>
      </c>
      <c r="U87" s="963" cm="1">
        <f t="array" ref="U87">U120 / SUMPRODUCT((U$32:U$40) * ($O$32:$O$40 = "NO"))</f>
        <v>0.79077683896528717</v>
      </c>
      <c r="V87" s="963" cm="1">
        <f t="array" ref="V87">V120 / SUMPRODUCT((V$32:V$40) * ($O$32:$O$40 = "NO"))</f>
        <v>0.80776987249202403</v>
      </c>
      <c r="W87" s="963" cm="1">
        <f t="array" ref="W87">W120 / SUMPRODUCT((W$32:W$40) * ($O$32:$O$40 = "NO"))</f>
        <v>0.83262411806982617</v>
      </c>
      <c r="X87" s="963" cm="1">
        <f t="array" ref="X87">X120 / SUMPRODUCT((X$32:X$40) * ($O$32:$O$40 = "NO"))</f>
        <v>0.83183602786226829</v>
      </c>
      <c r="Y87" s="963" cm="1">
        <f t="array" ref="Y87">Y120 / SUMPRODUCT((Y$32:Y$40) * ($O$32:$O$40 = "NO"))</f>
        <v>0.88274371532721618</v>
      </c>
      <c r="Z87" s="963" cm="1">
        <f t="array" ref="Z87">Z120 / SUMPRODUCT((Z$32:Z$40) * ($O$32:$O$40 = "NO"))</f>
        <v>0.88271887402193439</v>
      </c>
      <c r="AA87" s="963" cm="1">
        <f t="array" ref="AA87">AA120 / SUMPRODUCT((AA$32:AA$40) * ($O$32:$O$40 = "NO"))</f>
        <v>0.86433813464002807</v>
      </c>
      <c r="AB87" s="963" cm="1">
        <f t="array" ref="AB87">AB120 / SUMPRODUCT((AB$32:AB$40) * ($O$32:$O$40 = "NO"))</f>
        <v>0.82896944360915825</v>
      </c>
      <c r="AC87" s="963" cm="1">
        <f t="array" ref="AC87">AC120 / SUMPRODUCT((AC$32:AC$40) * ($O$32:$O$40 = "NO"))</f>
        <v>0.84069367541958406</v>
      </c>
      <c r="AD87" s="59"/>
      <c r="AE87" s="59"/>
      <c r="AF87" s="59"/>
      <c r="AG87" s="59"/>
      <c r="AH87" s="59"/>
      <c r="AI87" s="59"/>
      <c r="AJ87" s="59"/>
      <c r="AK87" s="59"/>
      <c r="AL87" s="59"/>
      <c r="AM87" s="59"/>
      <c r="AN87" s="59"/>
      <c r="AO87" s="59"/>
      <c r="AP87" s="59"/>
    </row>
    <row r="88" spans="1:42" ht="12.75" customHeight="1">
      <c r="A88" s="59"/>
      <c r="B88" s="67"/>
      <c r="C88" s="67"/>
      <c r="D88" s="1295" t="s">
        <v>771</v>
      </c>
      <c r="E88" s="1295"/>
      <c r="F88" s="1295"/>
      <c r="G88" s="1295"/>
      <c r="H88" s="1295"/>
      <c r="I88" s="1295"/>
      <c r="J88" s="1295"/>
      <c r="K88" s="1295"/>
      <c r="L88" s="1295"/>
      <c r="M88" s="1295"/>
      <c r="N88" s="1295"/>
      <c r="O88" s="1295"/>
      <c r="P88" s="1295"/>
      <c r="Q88" s="1295"/>
      <c r="R88" s="1295"/>
      <c r="S88" s="59"/>
      <c r="T88" s="963" cm="1">
        <f t="array" ref="T88">T121 / SUMPRODUCT((T$32:T$40) * ($O$32:$O$40 = "NO"))</f>
        <v>6.0007653989533241E-2</v>
      </c>
      <c r="U88" s="963" cm="1">
        <f t="array" ref="U88">U121 / SUMPRODUCT((U$32:U$40) * ($O$32:$O$40 = "NO"))</f>
        <v>5.5033128859087815E-2</v>
      </c>
      <c r="V88" s="963" cm="1">
        <f t="array" ref="V88">V121 / SUMPRODUCT((V$32:V$40) * ($O$32:$O$40 = "NO"))</f>
        <v>7.370825549575967E-2</v>
      </c>
      <c r="W88" s="963" cm="1">
        <f t="array" ref="W88">W121 / SUMPRODUCT((W$32:W$40) * ($O$32:$O$40 = "NO"))</f>
        <v>8.1102341585505541E-2</v>
      </c>
      <c r="X88" s="963" cm="1">
        <f t="array" ref="X88">X121 / SUMPRODUCT((X$32:X$40) * ($O$32:$O$40 = "NO"))</f>
        <v>8.1025577100996352E-2</v>
      </c>
      <c r="Y88" s="963" cm="1">
        <f t="array" ref="Y88">Y121 / SUMPRODUCT((Y$32:Y$40) * ($O$32:$O$40 = "NO"))</f>
        <v>2.3450257209008975E-2</v>
      </c>
      <c r="Z88" s="963" cm="1">
        <f t="array" ref="Z88">Z121 / SUMPRODUCT((Z$32:Z$40) * ($O$32:$O$40 = "NO"))</f>
        <v>2.3449597294938614E-2</v>
      </c>
      <c r="AA88" s="963" cm="1">
        <f t="array" ref="AA88">AA121 / SUMPRODUCT((AA$32:AA$40) * ($O$32:$O$40 = "NO"))</f>
        <v>2.70125456423893E-2</v>
      </c>
      <c r="AB88" s="963" cm="1">
        <f t="array" ref="AB88">AB121 / SUMPRODUCT((AB$32:AB$40) * ($O$32:$O$40 = "NO"))</f>
        <v>3.3256017729772096E-2</v>
      </c>
      <c r="AC88" s="963" cm="1">
        <f t="array" ref="AC88">AC121 / SUMPRODUCT((AC$32:AC$40) * ($O$32:$O$40 = "NO"))</f>
        <v>0</v>
      </c>
      <c r="AD88" s="59"/>
      <c r="AE88" s="59"/>
      <c r="AF88" s="59"/>
      <c r="AG88" s="59"/>
      <c r="AH88" s="59"/>
      <c r="AI88" s="59"/>
      <c r="AJ88" s="59"/>
      <c r="AK88" s="59"/>
      <c r="AL88" s="59"/>
      <c r="AM88" s="59"/>
      <c r="AN88" s="59"/>
      <c r="AO88" s="59"/>
      <c r="AP88" s="59"/>
    </row>
    <row r="89" spans="1:42" ht="12.75" customHeight="1">
      <c r="A89" s="59"/>
      <c r="B89" s="67"/>
      <c r="C89" s="67"/>
      <c r="D89" s="1295" t="s">
        <v>772</v>
      </c>
      <c r="E89" s="1295"/>
      <c r="F89" s="1295"/>
      <c r="G89" s="1295"/>
      <c r="H89" s="1295"/>
      <c r="I89" s="1295"/>
      <c r="J89" s="1295"/>
      <c r="K89" s="1295"/>
      <c r="L89" s="1295"/>
      <c r="M89" s="1295"/>
      <c r="N89" s="1295"/>
      <c r="O89" s="1295"/>
      <c r="P89" s="1295"/>
      <c r="Q89" s="1295"/>
      <c r="R89" s="1295"/>
      <c r="S89" s="59"/>
      <c r="T89" s="963" cm="1">
        <f t="array" ref="T89">T122 / SUMPRODUCT((T$32:T$40) * ($O$32:$O$40 = "NO"))</f>
        <v>0.14894201257502174</v>
      </c>
      <c r="U89" s="963" cm="1">
        <f t="array" ref="U89">U122 / SUMPRODUCT((U$32:U$40) * ($O$32:$O$40 = "NO"))</f>
        <v>0.15419003217562499</v>
      </c>
      <c r="V89" s="963" cm="1">
        <f t="array" ref="V89">V122 / SUMPRODUCT((V$32:V$40) * ($O$32:$O$40 = "NO"))</f>
        <v>0.11852187201221635</v>
      </c>
      <c r="W89" s="963" cm="1">
        <f t="array" ref="W89">W122 / SUMPRODUCT((W$32:W$40) * ($O$32:$O$40 = "NO"))</f>
        <v>8.6273540344668359E-2</v>
      </c>
      <c r="X89" s="963" cm="1">
        <f t="array" ref="X89">X122 / SUMPRODUCT((X$32:X$40) * ($O$32:$O$40 = "NO"))</f>
        <v>8.7138395036735344E-2</v>
      </c>
      <c r="Y89" s="963" cm="1">
        <f t="array" ref="Y89">Y122 / SUMPRODUCT((Y$32:Y$40) * ($O$32:$O$40 = "NO"))</f>
        <v>9.380602746377488E-2</v>
      </c>
      <c r="Z89" s="963" cm="1">
        <f t="array" ref="Z89">Z122 / SUMPRODUCT((Z$32:Z$40) * ($O$32:$O$40 = "NO"))</f>
        <v>9.3831528683127011E-2</v>
      </c>
      <c r="AA89" s="963" cm="1">
        <f t="array" ref="AA89">AA122 / SUMPRODUCT((AA$32:AA$40) * ($O$32:$O$40 = "NO"))</f>
        <v>0.10864931971758261</v>
      </c>
      <c r="AB89" s="963" cm="1">
        <f t="array" ref="AB89">AB122 / SUMPRODUCT((AB$32:AB$40) * ($O$32:$O$40 = "NO"))</f>
        <v>0.13777453866106973</v>
      </c>
      <c r="AC89" s="963" cm="1">
        <f t="array" ref="AC89">AC122 / SUMPRODUCT((AC$32:AC$40) * ($O$32:$O$40 = "NO"))</f>
        <v>0.15930632458041599</v>
      </c>
      <c r="AD89" s="59"/>
      <c r="AE89" s="59"/>
      <c r="AF89" s="59"/>
      <c r="AG89" s="59"/>
      <c r="AH89" s="59"/>
      <c r="AI89" s="59"/>
      <c r="AJ89" s="59"/>
      <c r="AK89" s="59"/>
      <c r="AL89" s="59"/>
      <c r="AM89" s="59"/>
      <c r="AN89" s="59"/>
      <c r="AO89" s="59"/>
      <c r="AP89" s="59"/>
    </row>
    <row r="90" spans="1:42" ht="12.75" customHeight="1">
      <c r="A90" s="59"/>
      <c r="B90" s="67"/>
      <c r="C90" s="67"/>
      <c r="D90" s="1295" t="s">
        <v>773</v>
      </c>
      <c r="E90" s="1295"/>
      <c r="F90" s="1295"/>
      <c r="G90" s="1295"/>
      <c r="H90" s="1295"/>
      <c r="I90" s="1295"/>
      <c r="J90" s="1295"/>
      <c r="K90" s="1295"/>
      <c r="L90" s="1295"/>
      <c r="M90" s="1295"/>
      <c r="N90" s="1295"/>
      <c r="O90" s="1295"/>
      <c r="P90" s="1295"/>
      <c r="Q90" s="1295"/>
      <c r="R90" s="1295"/>
      <c r="S90" s="59"/>
      <c r="T90" s="963" cm="1">
        <f t="array" ref="T90">T123 / SUMPRODUCT((T$32:T$40) * ($O$32:$O$40 = "NO"))</f>
        <v>0</v>
      </c>
      <c r="U90" s="963" cm="1">
        <f t="array" ref="U90">U123 / SUMPRODUCT((U$32:U$40) * ($O$32:$O$40 = "NO"))</f>
        <v>0</v>
      </c>
      <c r="V90" s="963" cm="1">
        <f t="array" ref="V90">V123 / SUMPRODUCT((V$32:V$40) * ($O$32:$O$40 = "NO"))</f>
        <v>0</v>
      </c>
      <c r="W90" s="963" cm="1">
        <f t="array" ref="W90">W123 / SUMPRODUCT((W$32:W$40) * ($O$32:$O$40 = "NO"))</f>
        <v>0</v>
      </c>
      <c r="X90" s="963" cm="1">
        <f t="array" ref="X90">X123 / SUMPRODUCT((X$32:X$40) * ($O$32:$O$40 = "NO"))</f>
        <v>0</v>
      </c>
      <c r="Y90" s="963" cm="1">
        <f t="array" ref="Y90">Y123 / SUMPRODUCT((Y$32:Y$40) * ($O$32:$O$40 = "NO"))</f>
        <v>0</v>
      </c>
      <c r="Z90" s="963" cm="1">
        <f t="array" ref="Z90">Z123 / SUMPRODUCT((Z$32:Z$40) * ($O$32:$O$40 = "NO"))</f>
        <v>0</v>
      </c>
      <c r="AA90" s="963" cm="1">
        <f t="array" ref="AA90">AA123 / SUMPRODUCT((AA$32:AA$40) * ($O$32:$O$40 = "NO"))</f>
        <v>0</v>
      </c>
      <c r="AB90" s="963" cm="1">
        <f t="array" ref="AB90">AB123 / SUMPRODUCT((AB$32:AB$40) * ($O$32:$O$40 = "NO"))</f>
        <v>0</v>
      </c>
      <c r="AC90" s="963" cm="1">
        <f t="array" ref="AC90">AC123 / SUMPRODUCT((AC$32:AC$40) * ($O$32:$O$40 = "NO"))</f>
        <v>0</v>
      </c>
      <c r="AD90" s="59"/>
      <c r="AE90" s="59"/>
      <c r="AF90" s="59"/>
      <c r="AG90" s="59"/>
      <c r="AH90" s="59"/>
      <c r="AI90" s="59"/>
      <c r="AJ90" s="59"/>
      <c r="AK90" s="59"/>
      <c r="AL90" s="59"/>
      <c r="AM90" s="59"/>
      <c r="AN90" s="59"/>
      <c r="AO90" s="59"/>
      <c r="AP90" s="59"/>
    </row>
    <row r="91" spans="1:42" ht="12.75" customHeight="1">
      <c r="A91" s="59"/>
      <c r="B91" s="67"/>
      <c r="C91" s="67"/>
      <c r="D91" s="1295" t="s">
        <v>774</v>
      </c>
      <c r="E91" s="1295"/>
      <c r="F91" s="1295"/>
      <c r="G91" s="1295"/>
      <c r="H91" s="1295"/>
      <c r="I91" s="1295"/>
      <c r="J91" s="1295"/>
      <c r="K91" s="1295"/>
      <c r="L91" s="1295"/>
      <c r="M91" s="1295"/>
      <c r="N91" s="1295"/>
      <c r="O91" s="1295"/>
      <c r="P91" s="1295"/>
      <c r="Q91" s="1295"/>
      <c r="R91" s="1295"/>
      <c r="S91" s="59"/>
      <c r="T91" s="964" cm="1">
        <f t="array" ref="T91">T124 / SUMPRODUCT((T$32:T$40) * ($O$32:$O$40 = "NO"))</f>
        <v>0</v>
      </c>
      <c r="U91" s="965" cm="1">
        <f t="array" ref="U91">U124 / SUMPRODUCT((U$32:U$40) * ($O$32:$O$40 = "NO"))</f>
        <v>0</v>
      </c>
      <c r="V91" s="965" cm="1">
        <f t="array" ref="V91">V124 / SUMPRODUCT((V$32:V$40) * ($O$32:$O$40 = "NO"))</f>
        <v>0</v>
      </c>
      <c r="W91" s="965" cm="1">
        <f t="array" ref="W91">W124 / SUMPRODUCT((W$32:W$40) * ($O$32:$O$40 = "NO"))</f>
        <v>0</v>
      </c>
      <c r="X91" s="965" cm="1">
        <f t="array" ref="X91">X124 / SUMPRODUCT((X$32:X$40) * ($O$32:$O$40 = "NO"))</f>
        <v>0</v>
      </c>
      <c r="Y91" s="965" cm="1">
        <f t="array" ref="Y91">Y124 / SUMPRODUCT((Y$32:Y$40) * ($O$32:$O$40 = "NO"))</f>
        <v>0</v>
      </c>
      <c r="Z91" s="965" cm="1">
        <f t="array" ref="Z91">Z124 / SUMPRODUCT((Z$32:Z$40) * ($O$32:$O$40 = "NO"))</f>
        <v>0</v>
      </c>
      <c r="AA91" s="966" cm="1">
        <f t="array" ref="AA91">AA124 / SUMPRODUCT((AA$32:AA$40) * ($O$32:$O$40 = "NO"))</f>
        <v>0</v>
      </c>
      <c r="AB91" s="965" cm="1">
        <f t="array" ref="AB91">AB124 / SUMPRODUCT((AB$32:AB$40) * ($O$32:$O$40 = "NO"))</f>
        <v>0</v>
      </c>
      <c r="AC91" s="965" cm="1">
        <f t="array" ref="AC91">AC124 / SUMPRODUCT((AC$32:AC$40) * ($O$32:$O$40 = "NO"))</f>
        <v>0</v>
      </c>
      <c r="AD91" s="59"/>
      <c r="AE91" s="59"/>
      <c r="AF91" s="59"/>
      <c r="AG91" s="59"/>
      <c r="AH91" s="59"/>
      <c r="AI91" s="59"/>
      <c r="AJ91" s="59"/>
      <c r="AK91" s="59"/>
      <c r="AL91" s="59"/>
      <c r="AM91" s="59"/>
      <c r="AN91" s="59"/>
      <c r="AO91" s="59"/>
      <c r="AP91" s="59"/>
    </row>
    <row r="92" spans="1:42">
      <c r="A92" s="59"/>
      <c r="B92" s="67"/>
      <c r="C92" s="67"/>
      <c r="D92" s="1296" t="s">
        <v>507</v>
      </c>
      <c r="E92" s="1296"/>
      <c r="F92" s="1296"/>
      <c r="G92" s="1296"/>
      <c r="H92" s="1296"/>
      <c r="I92" s="1296"/>
      <c r="J92" s="1296"/>
      <c r="K92" s="1296"/>
      <c r="L92" s="1296"/>
      <c r="M92" s="1296"/>
      <c r="N92" s="1296"/>
      <c r="O92" s="1296"/>
      <c r="P92" s="1296"/>
      <c r="Q92" s="1296"/>
      <c r="R92" s="1296"/>
      <c r="S92" s="59"/>
      <c r="T92" s="366">
        <f>SUM(T87:T91)</f>
        <v>1.0000000000000002</v>
      </c>
      <c r="U92" s="367">
        <f t="shared" ref="U92:AC92" si="10">SUM(U87:U91)</f>
        <v>1</v>
      </c>
      <c r="V92" s="367">
        <f t="shared" si="10"/>
        <v>1</v>
      </c>
      <c r="W92" s="367">
        <f t="shared" si="10"/>
        <v>1</v>
      </c>
      <c r="X92" s="367">
        <f t="shared" si="10"/>
        <v>1</v>
      </c>
      <c r="Y92" s="367">
        <f t="shared" si="10"/>
        <v>1</v>
      </c>
      <c r="Z92" s="367">
        <f t="shared" si="10"/>
        <v>1</v>
      </c>
      <c r="AA92" s="368">
        <f t="shared" si="10"/>
        <v>1</v>
      </c>
      <c r="AB92" s="369">
        <f t="shared" si="10"/>
        <v>1</v>
      </c>
      <c r="AC92" s="367">
        <f t="shared" si="10"/>
        <v>1</v>
      </c>
      <c r="AD92" s="59"/>
      <c r="AE92" s="59"/>
      <c r="AF92" s="59"/>
      <c r="AG92" s="59"/>
      <c r="AH92" s="59"/>
      <c r="AI92" s="59"/>
      <c r="AJ92" s="59"/>
      <c r="AK92" s="59"/>
      <c r="AL92" s="59"/>
      <c r="AM92" s="59"/>
      <c r="AN92" s="59"/>
      <c r="AO92" s="59"/>
      <c r="AP92" s="59"/>
    </row>
    <row r="93" spans="1:42">
      <c r="A93" s="59"/>
      <c r="B93" s="67"/>
      <c r="C93" s="67"/>
      <c r="D93" s="69" t="s">
        <v>450</v>
      </c>
      <c r="E93" s="59"/>
      <c r="F93" s="59"/>
      <c r="G93" s="59"/>
      <c r="H93" s="59"/>
      <c r="I93" s="59"/>
      <c r="J93" s="59"/>
      <c r="K93" s="59"/>
      <c r="L93" s="59"/>
      <c r="M93" s="59"/>
      <c r="N93" s="59"/>
      <c r="O93" s="59"/>
      <c r="P93" s="59"/>
      <c r="Q93" s="59"/>
      <c r="R93" s="59"/>
      <c r="S93" s="59"/>
      <c r="T93" s="59" t="str">
        <f>IF(T92 = 1, "OK", "Error: should = 100%")</f>
        <v>OK</v>
      </c>
      <c r="U93" s="59" t="str">
        <f t="shared" ref="U93:AC93" si="11">IF(U92 = 1, "OK", "Error: should = 100%")</f>
        <v>OK</v>
      </c>
      <c r="V93" s="59" t="str">
        <f t="shared" si="11"/>
        <v>OK</v>
      </c>
      <c r="W93" s="59" t="str">
        <f t="shared" si="11"/>
        <v>OK</v>
      </c>
      <c r="X93" s="59" t="str">
        <f t="shared" si="11"/>
        <v>OK</v>
      </c>
      <c r="Y93" s="59" t="str">
        <f t="shared" si="11"/>
        <v>OK</v>
      </c>
      <c r="Z93" s="59" t="str">
        <f t="shared" si="11"/>
        <v>OK</v>
      </c>
      <c r="AA93" s="59" t="str">
        <f t="shared" si="11"/>
        <v>OK</v>
      </c>
      <c r="AB93" s="79" t="str">
        <f t="shared" si="11"/>
        <v>OK</v>
      </c>
      <c r="AC93" s="59" t="str">
        <f t="shared" si="11"/>
        <v>OK</v>
      </c>
      <c r="AD93" s="59"/>
      <c r="AE93" s="59"/>
      <c r="AF93" s="59"/>
      <c r="AG93" s="59"/>
      <c r="AH93" s="59"/>
      <c r="AI93" s="59"/>
      <c r="AJ93" s="59"/>
      <c r="AK93" s="59"/>
      <c r="AL93" s="59"/>
      <c r="AM93" s="59"/>
      <c r="AN93" s="59"/>
      <c r="AO93" s="59"/>
      <c r="AP93" s="59"/>
    </row>
    <row r="94" spans="1:42">
      <c r="A94" s="59"/>
      <c r="B94" s="67"/>
      <c r="C94" s="67"/>
      <c r="D94" s="59"/>
      <c r="E94" s="59"/>
      <c r="F94" s="59"/>
      <c r="G94" s="59"/>
      <c r="H94" s="59"/>
      <c r="I94" s="59"/>
      <c r="J94" s="59"/>
      <c r="K94" s="59"/>
      <c r="L94" s="59"/>
      <c r="M94" s="59"/>
      <c r="N94" s="59"/>
      <c r="O94" s="59"/>
      <c r="P94" s="59"/>
      <c r="Q94" s="59"/>
      <c r="R94" s="59"/>
      <c r="S94" s="59"/>
      <c r="T94" s="59"/>
      <c r="U94" s="59"/>
      <c r="V94" s="59"/>
      <c r="W94" s="59"/>
      <c r="X94" s="59"/>
      <c r="Y94" s="59"/>
      <c r="Z94" s="59"/>
      <c r="AA94" s="59"/>
      <c r="AB94" s="79"/>
      <c r="AC94" s="59"/>
      <c r="AD94" s="59"/>
      <c r="AE94" s="59"/>
      <c r="AF94" s="59"/>
      <c r="AG94" s="59"/>
      <c r="AH94" s="59"/>
      <c r="AI94" s="59"/>
      <c r="AJ94" s="59"/>
      <c r="AK94" s="59"/>
      <c r="AL94" s="59"/>
      <c r="AM94" s="59"/>
      <c r="AN94" s="59"/>
      <c r="AO94" s="59"/>
      <c r="AP94" s="59"/>
    </row>
    <row r="95" spans="1:42">
      <c r="A95" s="59"/>
      <c r="B95" s="67"/>
      <c r="C95" s="67"/>
      <c r="D95" s="62" t="s">
        <v>775</v>
      </c>
      <c r="E95" s="62"/>
      <c r="S95" s="59"/>
      <c r="T95" s="59"/>
      <c r="U95" s="59"/>
      <c r="V95" s="59"/>
      <c r="W95" s="59"/>
      <c r="X95" s="59"/>
      <c r="Y95" s="59"/>
      <c r="Z95" s="59"/>
      <c r="AA95" s="59"/>
      <c r="AB95" s="79"/>
      <c r="AC95" s="59"/>
      <c r="AD95" s="59"/>
      <c r="AE95" s="59"/>
      <c r="AF95" s="59"/>
      <c r="AG95" s="59"/>
      <c r="AH95" s="59"/>
      <c r="AI95" s="59"/>
      <c r="AJ95" s="59"/>
      <c r="AK95" s="59"/>
      <c r="AL95" s="59"/>
      <c r="AM95" s="59"/>
      <c r="AN95" s="59"/>
      <c r="AO95" s="59"/>
      <c r="AP95" s="59"/>
    </row>
    <row r="96" spans="1:42">
      <c r="A96" s="59"/>
      <c r="B96" s="67"/>
      <c r="C96" s="67"/>
      <c r="D96" s="1295" t="s">
        <v>770</v>
      </c>
      <c r="E96" s="1295"/>
      <c r="F96" s="1295"/>
      <c r="G96" s="1295"/>
      <c r="H96" s="1295"/>
      <c r="I96" s="1295"/>
      <c r="J96" s="1295"/>
      <c r="K96" s="1295"/>
      <c r="L96" s="1295"/>
      <c r="M96" s="1295"/>
      <c r="N96" s="1295"/>
      <c r="O96" s="1295"/>
      <c r="P96" s="1295"/>
      <c r="Q96" s="1295"/>
      <c r="R96" s="1295"/>
      <c r="S96" s="59"/>
      <c r="T96" s="963">
        <f xml:space="preserve"> T136 / SUM(T$32:T$40)</f>
        <v>0.64103119846161216</v>
      </c>
      <c r="U96" s="963">
        <f t="shared" ref="U96:Z96" si="12" xml:space="preserve"> U136 / SUM(U$32:U$40)</f>
        <v>0.6531940168175675</v>
      </c>
      <c r="V96" s="963">
        <f t="shared" si="12"/>
        <v>0.63030550685225717</v>
      </c>
      <c r="W96" s="963">
        <f t="shared" si="12"/>
        <v>0.63735729161364074</v>
      </c>
      <c r="X96" s="963">
        <f t="shared" si="12"/>
        <v>0.63675402592701769</v>
      </c>
      <c r="Y96" s="963">
        <f t="shared" si="12"/>
        <v>0.67572273190316967</v>
      </c>
      <c r="Z96" s="963">
        <f t="shared" si="12"/>
        <v>0.69133673242311267</v>
      </c>
      <c r="AA96" s="963">
        <f t="shared" ref="AA96:AC100" si="13" xml:space="preserve"> AA136 / SUM(AA$32:AA$40)</f>
        <v>0.67989402423801248</v>
      </c>
      <c r="AB96" s="963">
        <f t="shared" si="13"/>
        <v>0.67377469420355507</v>
      </c>
      <c r="AC96" s="963">
        <f t="shared" si="13"/>
        <v>0.7660269566806357</v>
      </c>
      <c r="AD96" s="59"/>
      <c r="AE96" s="59"/>
      <c r="AF96" s="59"/>
      <c r="AG96" s="59"/>
      <c r="AH96" s="59"/>
      <c r="AI96" s="59"/>
      <c r="AJ96" s="59"/>
      <c r="AK96" s="59"/>
      <c r="AL96" s="59"/>
      <c r="AM96" s="59"/>
      <c r="AN96" s="59"/>
      <c r="AO96" s="59"/>
      <c r="AP96" s="59"/>
    </row>
    <row r="97" spans="1:42">
      <c r="A97" s="59"/>
      <c r="B97" s="67"/>
      <c r="C97" s="67"/>
      <c r="D97" s="1295" t="s">
        <v>771</v>
      </c>
      <c r="E97" s="1295"/>
      <c r="F97" s="1295"/>
      <c r="G97" s="1295"/>
      <c r="H97" s="1295"/>
      <c r="I97" s="1295"/>
      <c r="J97" s="1295"/>
      <c r="K97" s="1295"/>
      <c r="L97" s="1295"/>
      <c r="M97" s="1295"/>
      <c r="N97" s="1295"/>
      <c r="O97" s="1295"/>
      <c r="P97" s="1295"/>
      <c r="Q97" s="1295"/>
      <c r="R97" s="1295"/>
      <c r="S97" s="59"/>
      <c r="T97" s="963">
        <f t="shared" ref="T97:Z100" si="14" xml:space="preserve"> T137 / SUM(T$32:T$40)</f>
        <v>0</v>
      </c>
      <c r="U97" s="963">
        <f t="shared" si="14"/>
        <v>0</v>
      </c>
      <c r="V97" s="963">
        <f t="shared" si="14"/>
        <v>6.3552427698959246E-2</v>
      </c>
      <c r="W97" s="963">
        <f t="shared" si="14"/>
        <v>6.9927707273931647E-2</v>
      </c>
      <c r="X97" s="963">
        <f t="shared" si="14"/>
        <v>6.9861519929882002E-2</v>
      </c>
      <c r="Y97" s="963">
        <f t="shared" si="14"/>
        <v>7.4136974686891552E-2</v>
      </c>
      <c r="Z97" s="963">
        <f t="shared" si="14"/>
        <v>7.4134888403601454E-2</v>
      </c>
      <c r="AA97" s="963">
        <f t="shared" si="13"/>
        <v>8.5398955051136233E-2</v>
      </c>
      <c r="AB97" s="963">
        <f t="shared" si="13"/>
        <v>3.3256017729772089E-2</v>
      </c>
      <c r="AC97" s="963">
        <f t="shared" si="13"/>
        <v>0</v>
      </c>
      <c r="AD97" s="59"/>
      <c r="AE97" s="59"/>
      <c r="AF97" s="59"/>
      <c r="AG97" s="59"/>
      <c r="AH97" s="59"/>
      <c r="AI97" s="59"/>
      <c r="AJ97" s="59"/>
      <c r="AK97" s="59"/>
      <c r="AL97" s="59"/>
      <c r="AM97" s="59"/>
      <c r="AN97" s="59"/>
      <c r="AO97" s="59"/>
      <c r="AP97" s="59"/>
    </row>
    <row r="98" spans="1:42">
      <c r="A98" s="59"/>
      <c r="B98" s="67"/>
      <c r="C98" s="67"/>
      <c r="D98" s="1295" t="s">
        <v>772</v>
      </c>
      <c r="E98" s="1295"/>
      <c r="F98" s="1295"/>
      <c r="G98" s="1295"/>
      <c r="H98" s="1295"/>
      <c r="I98" s="1295"/>
      <c r="J98" s="1295"/>
      <c r="K98" s="1295"/>
      <c r="L98" s="1295"/>
      <c r="M98" s="1295"/>
      <c r="N98" s="1295"/>
      <c r="O98" s="1295"/>
      <c r="P98" s="1295"/>
      <c r="Q98" s="1295"/>
      <c r="R98" s="1295"/>
      <c r="S98" s="59"/>
      <c r="T98" s="963">
        <f t="shared" si="14"/>
        <v>0.20894966656455496</v>
      </c>
      <c r="U98" s="963">
        <f t="shared" si="14"/>
        <v>0.20922316103471275</v>
      </c>
      <c r="V98" s="963">
        <f t="shared" si="14"/>
        <v>0.17212741465598858</v>
      </c>
      <c r="W98" s="963">
        <f t="shared" si="14"/>
        <v>0.1452566331103787</v>
      </c>
      <c r="X98" s="963">
        <f t="shared" si="14"/>
        <v>0.1460656571082177</v>
      </c>
      <c r="Y98" s="963">
        <f t="shared" si="14"/>
        <v>9.3805734161295715E-2</v>
      </c>
      <c r="Z98" s="963">
        <f t="shared" si="14"/>
        <v>9.3831235309169453E-2</v>
      </c>
      <c r="AA98" s="963">
        <f t="shared" si="13"/>
        <v>0.10864892839969763</v>
      </c>
      <c r="AB98" s="963">
        <f t="shared" si="13"/>
        <v>0.1377745386610697</v>
      </c>
      <c r="AC98" s="963">
        <f t="shared" si="13"/>
        <v>0.15930632458041596</v>
      </c>
      <c r="AD98" s="59"/>
      <c r="AE98" s="59"/>
      <c r="AF98" s="59"/>
      <c r="AG98" s="59"/>
      <c r="AH98" s="59"/>
      <c r="AI98" s="59"/>
      <c r="AJ98" s="59"/>
      <c r="AK98" s="59"/>
      <c r="AL98" s="59"/>
      <c r="AM98" s="59"/>
      <c r="AN98" s="59"/>
      <c r="AO98" s="59"/>
      <c r="AP98" s="59"/>
    </row>
    <row r="99" spans="1:42">
      <c r="A99" s="59"/>
      <c r="B99" s="67"/>
      <c r="C99" s="67"/>
      <c r="D99" s="1295" t="s">
        <v>773</v>
      </c>
      <c r="E99" s="1295"/>
      <c r="F99" s="1295"/>
      <c r="G99" s="1295"/>
      <c r="H99" s="1295"/>
      <c r="I99" s="1295"/>
      <c r="J99" s="1295"/>
      <c r="K99" s="1295"/>
      <c r="L99" s="1295"/>
      <c r="M99" s="1295"/>
      <c r="N99" s="1295"/>
      <c r="O99" s="1295"/>
      <c r="P99" s="1295"/>
      <c r="Q99" s="1295"/>
      <c r="R99" s="1295"/>
      <c r="S99" s="59"/>
      <c r="T99" s="963">
        <f t="shared" si="14"/>
        <v>0.15001913497383312</v>
      </c>
      <c r="U99" s="963">
        <f t="shared" si="14"/>
        <v>0.13758282214771952</v>
      </c>
      <c r="V99" s="963">
        <f t="shared" si="14"/>
        <v>0.13401465079279501</v>
      </c>
      <c r="W99" s="963">
        <f t="shared" si="14"/>
        <v>0.14745836800204892</v>
      </c>
      <c r="X99" s="963">
        <f t="shared" si="14"/>
        <v>0.14731879703488254</v>
      </c>
      <c r="Y99" s="963">
        <f t="shared" si="14"/>
        <v>0.15633455924864315</v>
      </c>
      <c r="Z99" s="963">
        <f t="shared" si="14"/>
        <v>0.14069714386411644</v>
      </c>
      <c r="AA99" s="963">
        <f t="shared" si="13"/>
        <v>0.12605809231115381</v>
      </c>
      <c r="AB99" s="963">
        <f t="shared" si="13"/>
        <v>0.15519474940560307</v>
      </c>
      <c r="AC99" s="963">
        <f t="shared" si="13"/>
        <v>7.4666718738948201E-2</v>
      </c>
      <c r="AD99" s="59"/>
      <c r="AE99" s="59"/>
      <c r="AF99" s="59"/>
      <c r="AG99" s="59"/>
      <c r="AH99" s="59"/>
      <c r="AI99" s="59"/>
      <c r="AJ99" s="59"/>
      <c r="AK99" s="59"/>
      <c r="AL99" s="59"/>
      <c r="AM99" s="59"/>
      <c r="AN99" s="59"/>
      <c r="AO99" s="59"/>
      <c r="AP99" s="59"/>
    </row>
    <row r="100" spans="1:42">
      <c r="A100" s="59"/>
      <c r="B100" s="67"/>
      <c r="C100" s="67"/>
      <c r="D100" s="198"/>
      <c r="E100" s="198"/>
      <c r="F100" s="198"/>
      <c r="G100" s="198"/>
      <c r="H100" s="198"/>
      <c r="I100" s="198"/>
      <c r="J100" s="198"/>
      <c r="K100" s="198"/>
      <c r="L100" s="198"/>
      <c r="M100" s="198"/>
      <c r="N100" s="198"/>
      <c r="O100" s="198"/>
      <c r="P100" s="198"/>
      <c r="Q100" s="198"/>
      <c r="R100" s="198"/>
      <c r="S100" s="59"/>
      <c r="T100" s="964">
        <f t="shared" si="14"/>
        <v>0</v>
      </c>
      <c r="U100" s="965">
        <f t="shared" si="14"/>
        <v>0</v>
      </c>
      <c r="V100" s="965">
        <f t="shared" si="14"/>
        <v>0</v>
      </c>
      <c r="W100" s="965">
        <f t="shared" si="14"/>
        <v>0</v>
      </c>
      <c r="X100" s="965">
        <f t="shared" si="14"/>
        <v>0</v>
      </c>
      <c r="Y100" s="965">
        <f t="shared" si="14"/>
        <v>0</v>
      </c>
      <c r="Z100" s="965">
        <f t="shared" si="14"/>
        <v>0</v>
      </c>
      <c r="AA100" s="966">
        <f t="shared" si="13"/>
        <v>0</v>
      </c>
      <c r="AB100" s="965">
        <f t="shared" si="13"/>
        <v>0</v>
      </c>
      <c r="AC100" s="965">
        <f t="shared" si="13"/>
        <v>0</v>
      </c>
      <c r="AD100" s="59"/>
      <c r="AE100" s="59"/>
      <c r="AF100" s="59"/>
      <c r="AG100" s="59"/>
      <c r="AH100" s="59"/>
      <c r="AI100" s="59"/>
      <c r="AJ100" s="59"/>
      <c r="AK100" s="59"/>
      <c r="AL100" s="59"/>
      <c r="AM100" s="59"/>
      <c r="AN100" s="59"/>
      <c r="AO100" s="59"/>
      <c r="AP100" s="59"/>
    </row>
    <row r="101" spans="1:42">
      <c r="A101" s="59"/>
      <c r="B101" s="67"/>
      <c r="C101" s="67"/>
      <c r="D101" s="1296" t="s">
        <v>507</v>
      </c>
      <c r="E101" s="1296"/>
      <c r="F101" s="1296"/>
      <c r="G101" s="1296"/>
      <c r="H101" s="1296"/>
      <c r="I101" s="1296"/>
      <c r="J101" s="1296"/>
      <c r="K101" s="1296"/>
      <c r="L101" s="1296"/>
      <c r="M101" s="1296"/>
      <c r="N101" s="1296"/>
      <c r="O101" s="1296"/>
      <c r="P101" s="1296"/>
      <c r="Q101" s="1296"/>
      <c r="R101" s="1296"/>
      <c r="S101" s="59"/>
      <c r="T101" s="366">
        <f>SUM(T96:T100)</f>
        <v>1.0000000000000002</v>
      </c>
      <c r="U101" s="367">
        <f t="shared" ref="U101:AC101" si="15">SUM(U96:U100)</f>
        <v>0.99999999999999978</v>
      </c>
      <c r="V101" s="367">
        <f t="shared" si="15"/>
        <v>1</v>
      </c>
      <c r="W101" s="367">
        <f t="shared" si="15"/>
        <v>1</v>
      </c>
      <c r="X101" s="367">
        <f t="shared" si="15"/>
        <v>1</v>
      </c>
      <c r="Y101" s="367">
        <f t="shared" si="15"/>
        <v>1</v>
      </c>
      <c r="Z101" s="367">
        <f t="shared" si="15"/>
        <v>1</v>
      </c>
      <c r="AA101" s="368">
        <f t="shared" si="15"/>
        <v>1.0000000000000002</v>
      </c>
      <c r="AB101" s="369">
        <f t="shared" si="15"/>
        <v>0.99999999999999989</v>
      </c>
      <c r="AC101" s="367">
        <f t="shared" si="15"/>
        <v>0.99999999999999978</v>
      </c>
      <c r="AD101" s="59"/>
      <c r="AE101" s="59"/>
      <c r="AF101" s="59"/>
      <c r="AG101" s="59"/>
      <c r="AH101" s="59"/>
      <c r="AI101" s="59"/>
      <c r="AJ101" s="59"/>
      <c r="AK101" s="59"/>
      <c r="AL101" s="59"/>
      <c r="AM101" s="59"/>
      <c r="AN101" s="59"/>
      <c r="AO101" s="59"/>
      <c r="AP101" s="59"/>
    </row>
    <row r="102" spans="1:42">
      <c r="A102" s="59"/>
      <c r="B102" s="67"/>
      <c r="C102" s="67"/>
      <c r="D102" s="69" t="s">
        <v>450</v>
      </c>
      <c r="E102" s="59"/>
      <c r="F102" s="59"/>
      <c r="G102" s="59"/>
      <c r="H102" s="59"/>
      <c r="I102" s="59"/>
      <c r="J102" s="59"/>
      <c r="K102" s="59"/>
      <c r="L102" s="59"/>
      <c r="M102" s="59"/>
      <c r="N102" s="59"/>
      <c r="O102" s="59"/>
      <c r="P102" s="59"/>
      <c r="Q102" s="59"/>
      <c r="R102" s="59"/>
      <c r="S102" s="59"/>
      <c r="T102" s="59" t="str">
        <f>IF(T101 = 1, "OK", "Error: should = 100%")</f>
        <v>OK</v>
      </c>
      <c r="U102" s="59" t="str">
        <f t="shared" ref="U102:AC102" si="16">IF(U101 = 1, "OK", "Error: should = 100%")</f>
        <v>OK</v>
      </c>
      <c r="V102" s="59" t="str">
        <f t="shared" si="16"/>
        <v>OK</v>
      </c>
      <c r="W102" s="59" t="str">
        <f t="shared" si="16"/>
        <v>OK</v>
      </c>
      <c r="X102" s="59" t="str">
        <f t="shared" si="16"/>
        <v>OK</v>
      </c>
      <c r="Y102" s="59" t="str">
        <f t="shared" si="16"/>
        <v>OK</v>
      </c>
      <c r="Z102" s="59" t="str">
        <f t="shared" si="16"/>
        <v>OK</v>
      </c>
      <c r="AA102" s="59" t="str">
        <f t="shared" si="16"/>
        <v>OK</v>
      </c>
      <c r="AB102" s="79" t="str">
        <f t="shared" si="16"/>
        <v>OK</v>
      </c>
      <c r="AC102" s="59" t="str">
        <f t="shared" si="16"/>
        <v>OK</v>
      </c>
      <c r="AD102" s="59"/>
      <c r="AE102" s="59"/>
      <c r="AF102" s="59"/>
      <c r="AG102" s="59"/>
      <c r="AH102" s="59"/>
      <c r="AI102" s="59"/>
      <c r="AJ102" s="59"/>
      <c r="AK102" s="59"/>
      <c r="AL102" s="59"/>
      <c r="AM102" s="59"/>
      <c r="AN102" s="59"/>
      <c r="AO102" s="59"/>
      <c r="AP102" s="59"/>
    </row>
    <row r="103" spans="1:42">
      <c r="A103" s="59"/>
      <c r="B103" s="67"/>
      <c r="C103" s="67"/>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79"/>
      <c r="AC103" s="59"/>
      <c r="AD103" s="59"/>
      <c r="AE103" s="59"/>
      <c r="AF103" s="59"/>
      <c r="AG103" s="59"/>
      <c r="AH103" s="59"/>
      <c r="AI103" s="59"/>
      <c r="AJ103" s="59"/>
      <c r="AK103" s="59"/>
      <c r="AL103" s="59"/>
      <c r="AM103" s="59"/>
      <c r="AN103" s="59"/>
      <c r="AO103" s="59"/>
      <c r="AP103" s="59"/>
    </row>
    <row r="104" spans="1:42">
      <c r="A104" s="59"/>
      <c r="B104" s="67"/>
      <c r="C104" s="67"/>
      <c r="D104" s="62" t="s">
        <v>776</v>
      </c>
      <c r="E104" s="62"/>
      <c r="S104" s="59"/>
      <c r="T104" s="71" t="s">
        <v>389</v>
      </c>
      <c r="U104" s="72" t="s">
        <v>389</v>
      </c>
      <c r="V104" s="72" t="s">
        <v>389</v>
      </c>
      <c r="W104" s="72" t="s">
        <v>389</v>
      </c>
      <c r="X104" s="72" t="s">
        <v>389</v>
      </c>
      <c r="Y104" s="72" t="s">
        <v>389</v>
      </c>
      <c r="Z104" s="72" t="s">
        <v>389</v>
      </c>
      <c r="AA104" s="77" t="s">
        <v>389</v>
      </c>
      <c r="AB104" s="80" t="s">
        <v>389</v>
      </c>
      <c r="AC104" s="72" t="s">
        <v>389</v>
      </c>
      <c r="AD104" s="59"/>
      <c r="AE104" s="59"/>
      <c r="AF104" s="59"/>
      <c r="AG104" s="59"/>
      <c r="AH104" s="59"/>
      <c r="AI104" s="59"/>
      <c r="AJ104" s="59"/>
      <c r="AK104" s="59"/>
      <c r="AL104" s="59"/>
      <c r="AM104" s="59"/>
      <c r="AN104" s="59"/>
      <c r="AO104" s="59"/>
      <c r="AP104" s="59"/>
    </row>
    <row r="105" spans="1:42">
      <c r="A105" s="59"/>
      <c r="B105" s="67"/>
      <c r="C105" s="67"/>
      <c r="D105" s="1295" t="s">
        <v>777</v>
      </c>
      <c r="E105" s="1295"/>
      <c r="F105" s="1295"/>
      <c r="G105" s="1295"/>
      <c r="H105" s="1295"/>
      <c r="I105" s="1295"/>
      <c r="J105" s="1295"/>
      <c r="K105" s="1295"/>
      <c r="L105" s="1295"/>
      <c r="M105" s="1295"/>
      <c r="N105" s="1295"/>
      <c r="O105" s="1295"/>
      <c r="P105" s="1295"/>
      <c r="Q105" s="1295"/>
      <c r="R105" s="1295"/>
      <c r="S105" s="59"/>
      <c r="T105" s="967">
        <v>0.72627550158918619</v>
      </c>
      <c r="U105" s="967">
        <v>0.74896676354721314</v>
      </c>
      <c r="V105" s="967">
        <v>0.7179770423831805</v>
      </c>
      <c r="W105" s="967">
        <v>0.74586340128528228</v>
      </c>
      <c r="X105" s="967">
        <v>0.74610394507987399</v>
      </c>
      <c r="Y105" s="967">
        <v>0.73056571328956132</v>
      </c>
      <c r="Z105" s="967">
        <v>0.73057329544421534</v>
      </c>
      <c r="AA105" s="967">
        <v>0.68963641197955505</v>
      </c>
      <c r="AB105" s="967">
        <v>0.83087584145398719</v>
      </c>
      <c r="AC105" s="967">
        <v>0.87516278826039595</v>
      </c>
      <c r="AD105" s="59"/>
      <c r="AE105" s="59"/>
      <c r="AF105" s="59"/>
      <c r="AG105" s="59"/>
      <c r="AH105" s="59"/>
      <c r="AI105" s="59"/>
      <c r="AJ105" s="59"/>
      <c r="AK105" s="59"/>
      <c r="AL105" s="59"/>
      <c r="AM105" s="59"/>
      <c r="AN105" s="59"/>
      <c r="AO105" s="59"/>
      <c r="AP105" s="59"/>
    </row>
    <row r="106" spans="1:42">
      <c r="A106" s="59"/>
      <c r="B106" s="67"/>
      <c r="C106" s="67"/>
      <c r="D106" s="1295" t="s">
        <v>778</v>
      </c>
      <c r="E106" s="1295"/>
      <c r="F106" s="1295"/>
      <c r="G106" s="1295"/>
      <c r="H106" s="1295"/>
      <c r="I106" s="1295"/>
      <c r="J106" s="1295"/>
      <c r="K106" s="1295"/>
      <c r="L106" s="1295"/>
      <c r="M106" s="1295"/>
      <c r="N106" s="1295"/>
      <c r="O106" s="1295"/>
      <c r="P106" s="1295"/>
      <c r="Q106" s="1295"/>
      <c r="R106" s="1295"/>
      <c r="S106" s="59"/>
      <c r="T106" s="967">
        <v>0.27372449841081403</v>
      </c>
      <c r="U106" s="967">
        <v>0.25103323645278669</v>
      </c>
      <c r="V106" s="967">
        <v>0.28202295761681923</v>
      </c>
      <c r="W106" s="967">
        <v>0.25413659871471755</v>
      </c>
      <c r="X106" s="967">
        <v>0.25389605492012579</v>
      </c>
      <c r="Y106" s="967">
        <v>0.26943428671043856</v>
      </c>
      <c r="Z106" s="967">
        <v>0.26942670455578449</v>
      </c>
      <c r="AA106" s="967">
        <v>0.31036358802044484</v>
      </c>
      <c r="AB106" s="967">
        <v>0.1691241585460129</v>
      </c>
      <c r="AC106" s="967">
        <v>0.12483721173960402</v>
      </c>
      <c r="AD106" s="59"/>
      <c r="AE106" s="59"/>
      <c r="AF106" s="59"/>
      <c r="AG106" s="59"/>
      <c r="AH106" s="59"/>
      <c r="AI106" s="59"/>
      <c r="AJ106" s="59"/>
      <c r="AK106" s="59"/>
      <c r="AL106" s="59"/>
      <c r="AM106" s="59"/>
      <c r="AN106" s="59"/>
      <c r="AO106" s="59"/>
      <c r="AP106" s="59"/>
    </row>
    <row r="107" spans="1:42">
      <c r="A107" s="59"/>
      <c r="B107" s="67"/>
      <c r="C107" s="67"/>
      <c r="D107" s="1296" t="s">
        <v>507</v>
      </c>
      <c r="E107" s="1296"/>
      <c r="F107" s="1296"/>
      <c r="G107" s="1296"/>
      <c r="H107" s="1296"/>
      <c r="I107" s="1296"/>
      <c r="J107" s="1296"/>
      <c r="K107" s="1296"/>
      <c r="L107" s="1296"/>
      <c r="M107" s="1296"/>
      <c r="N107" s="1296"/>
      <c r="O107" s="1296"/>
      <c r="P107" s="1296"/>
      <c r="Q107" s="1296"/>
      <c r="R107" s="1296"/>
      <c r="S107" s="59"/>
      <c r="T107" s="366">
        <f t="shared" ref="T107:Z107" si="17">SUM(T105:T106)</f>
        <v>1.0000000000000002</v>
      </c>
      <c r="U107" s="367">
        <f t="shared" si="17"/>
        <v>0.99999999999999978</v>
      </c>
      <c r="V107" s="367">
        <f t="shared" si="17"/>
        <v>0.99999999999999978</v>
      </c>
      <c r="W107" s="367">
        <f t="shared" si="17"/>
        <v>0.99999999999999978</v>
      </c>
      <c r="X107" s="367">
        <f t="shared" si="17"/>
        <v>0.99999999999999978</v>
      </c>
      <c r="Y107" s="367">
        <f t="shared" si="17"/>
        <v>0.99999999999999989</v>
      </c>
      <c r="Z107" s="367">
        <f t="shared" si="17"/>
        <v>0.99999999999999978</v>
      </c>
      <c r="AA107" s="368">
        <f t="shared" ref="AA107:AC107" si="18">SUM(AA105:AA106)</f>
        <v>0.99999999999999989</v>
      </c>
      <c r="AB107" s="369">
        <f t="shared" si="18"/>
        <v>1</v>
      </c>
      <c r="AC107" s="367">
        <f t="shared" si="18"/>
        <v>1</v>
      </c>
      <c r="AD107" s="59"/>
      <c r="AE107" s="59"/>
      <c r="AF107" s="59"/>
      <c r="AG107" s="59"/>
      <c r="AH107" s="59"/>
      <c r="AI107" s="59"/>
      <c r="AJ107" s="59"/>
      <c r="AK107" s="59"/>
      <c r="AL107" s="59"/>
      <c r="AM107" s="59"/>
      <c r="AN107" s="59"/>
      <c r="AO107" s="59"/>
      <c r="AP107" s="59"/>
    </row>
    <row r="108" spans="1:42">
      <c r="A108" s="59"/>
      <c r="B108" s="67"/>
      <c r="C108" s="67"/>
      <c r="D108" s="69" t="s">
        <v>450</v>
      </c>
      <c r="E108" s="59"/>
      <c r="F108" s="59"/>
      <c r="G108" s="59"/>
      <c r="H108" s="59"/>
      <c r="I108" s="59"/>
      <c r="J108" s="59"/>
      <c r="K108" s="59"/>
      <c r="L108" s="59"/>
      <c r="M108" s="59"/>
      <c r="N108" s="59"/>
      <c r="O108" s="59"/>
      <c r="P108" s="59"/>
      <c r="Q108" s="59"/>
      <c r="R108" s="59"/>
      <c r="S108" s="59"/>
      <c r="T108" s="59" t="str">
        <f>IF(T107 = 1, "OK", "Error: should = 100%")</f>
        <v>OK</v>
      </c>
      <c r="U108" s="59" t="str">
        <f t="shared" ref="U108:AC108" si="19">IF(U107 = 1, "OK", "Error: should = 100%")</f>
        <v>OK</v>
      </c>
      <c r="V108" s="59" t="str">
        <f t="shared" si="19"/>
        <v>OK</v>
      </c>
      <c r="W108" s="59" t="str">
        <f t="shared" si="19"/>
        <v>OK</v>
      </c>
      <c r="X108" s="59" t="str">
        <f t="shared" si="19"/>
        <v>OK</v>
      </c>
      <c r="Y108" s="59" t="str">
        <f t="shared" si="19"/>
        <v>OK</v>
      </c>
      <c r="Z108" s="59" t="str">
        <f t="shared" si="19"/>
        <v>OK</v>
      </c>
      <c r="AA108" s="59" t="str">
        <f t="shared" si="19"/>
        <v>OK</v>
      </c>
      <c r="AB108" s="79" t="str">
        <f t="shared" si="19"/>
        <v>OK</v>
      </c>
      <c r="AC108" s="59" t="str">
        <f t="shared" si="19"/>
        <v>OK</v>
      </c>
      <c r="AD108" s="59"/>
      <c r="AE108" s="59"/>
      <c r="AF108" s="59"/>
      <c r="AG108" s="59"/>
      <c r="AH108" s="59"/>
      <c r="AI108" s="59"/>
      <c r="AJ108" s="59"/>
      <c r="AK108" s="59"/>
      <c r="AL108" s="59"/>
      <c r="AM108" s="59"/>
      <c r="AN108" s="59"/>
      <c r="AO108" s="59"/>
      <c r="AP108" s="59"/>
    </row>
    <row r="109" spans="1:42">
      <c r="A109" s="59"/>
      <c r="B109" s="67"/>
      <c r="C109" s="67"/>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79"/>
      <c r="AC109" s="59"/>
      <c r="AD109" s="59"/>
      <c r="AE109" s="59"/>
      <c r="AF109" s="59"/>
      <c r="AG109" s="59"/>
      <c r="AH109" s="59"/>
      <c r="AI109" s="59"/>
      <c r="AJ109" s="59"/>
      <c r="AK109" s="59"/>
      <c r="AL109" s="59"/>
      <c r="AM109" s="59"/>
      <c r="AN109" s="59"/>
      <c r="AO109" s="59"/>
      <c r="AP109" s="59"/>
    </row>
    <row r="110" spans="1:42">
      <c r="A110" s="59"/>
      <c r="B110" s="67"/>
      <c r="C110" s="67"/>
      <c r="D110" s="62" t="s">
        <v>779</v>
      </c>
      <c r="E110" s="62"/>
      <c r="S110" s="59"/>
      <c r="T110" s="370"/>
      <c r="U110" s="59"/>
      <c r="V110" s="59"/>
      <c r="W110" s="59"/>
      <c r="X110" s="59"/>
      <c r="Y110" s="59"/>
      <c r="Z110" s="59"/>
      <c r="AA110" s="59"/>
      <c r="AB110" s="79"/>
      <c r="AC110" s="59"/>
      <c r="AD110" s="59"/>
      <c r="AE110" s="59"/>
      <c r="AF110" s="59"/>
      <c r="AG110" s="59"/>
      <c r="AH110" s="59"/>
      <c r="AI110" s="59"/>
      <c r="AJ110" s="59"/>
      <c r="AK110" s="59"/>
      <c r="AL110" s="59"/>
      <c r="AM110" s="59"/>
      <c r="AN110" s="59"/>
      <c r="AO110" s="59"/>
      <c r="AP110" s="59"/>
    </row>
    <row r="111" spans="1:42" ht="12.75" customHeight="1">
      <c r="A111" s="59"/>
      <c r="B111" s="67"/>
      <c r="C111" s="67"/>
      <c r="D111" s="1295" t="s">
        <v>777</v>
      </c>
      <c r="E111" s="1295"/>
      <c r="F111" s="1295"/>
      <c r="G111" s="1295"/>
      <c r="H111" s="1295"/>
      <c r="I111" s="1295"/>
      <c r="J111" s="1295"/>
      <c r="K111" s="1295"/>
      <c r="L111" s="1295"/>
      <c r="M111" s="1295"/>
      <c r="N111" s="1295"/>
      <c r="O111" s="1295"/>
      <c r="P111" s="1295"/>
      <c r="Q111" s="1295"/>
      <c r="R111" s="1295"/>
      <c r="S111" s="59"/>
      <c r="T111" s="967">
        <v>1.0017079330567142</v>
      </c>
      <c r="U111" s="967">
        <v>1.0015663485196276</v>
      </c>
      <c r="V111" s="967">
        <v>1.0039725678996132</v>
      </c>
      <c r="W111" s="967">
        <v>1.0044369702776452</v>
      </c>
      <c r="X111" s="967">
        <v>1.0044327706364764</v>
      </c>
      <c r="Y111" s="967">
        <v>1.0047040517412031</v>
      </c>
      <c r="Z111" s="967">
        <v>1.0047039193648202</v>
      </c>
      <c r="AA111" s="967">
        <v>1.0054186336157072</v>
      </c>
      <c r="AB111" s="967">
        <v>1.0048449431087556</v>
      </c>
      <c r="AC111" s="967">
        <v>1.0008671959261646</v>
      </c>
      <c r="AD111" s="59"/>
      <c r="AE111" s="59"/>
      <c r="AF111" s="59"/>
      <c r="AG111" s="59"/>
      <c r="AH111" s="59"/>
      <c r="AI111" s="59"/>
      <c r="AJ111" s="59"/>
      <c r="AK111" s="59"/>
      <c r="AL111" s="59"/>
      <c r="AM111" s="59"/>
      <c r="AN111" s="59"/>
      <c r="AO111" s="59"/>
      <c r="AP111" s="59"/>
    </row>
    <row r="112" spans="1:42" ht="12.75" customHeight="1">
      <c r="A112" s="59"/>
      <c r="B112" s="67"/>
      <c r="C112" s="67"/>
      <c r="D112" s="1295" t="s">
        <v>778</v>
      </c>
      <c r="E112" s="1295"/>
      <c r="F112" s="1295"/>
      <c r="G112" s="1295"/>
      <c r="H112" s="1295"/>
      <c r="I112" s="1295"/>
      <c r="J112" s="1295"/>
      <c r="K112" s="1295"/>
      <c r="L112" s="1295"/>
      <c r="M112" s="1295"/>
      <c r="N112" s="1295"/>
      <c r="O112" s="1295"/>
      <c r="P112" s="1295"/>
      <c r="Q112" s="1295"/>
      <c r="R112" s="1295"/>
      <c r="S112" s="59"/>
      <c r="T112" s="967">
        <v>-1.707933056714035E-3</v>
      </c>
      <c r="U112" s="967">
        <v>-1.5663485196277427E-3</v>
      </c>
      <c r="V112" s="967">
        <v>-3.9725678996133254E-3</v>
      </c>
      <c r="W112" s="967">
        <v>-4.4369702776452706E-3</v>
      </c>
      <c r="X112" s="967">
        <v>-4.4327706364765112E-3</v>
      </c>
      <c r="Y112" s="967">
        <v>-4.7040517412030823E-3</v>
      </c>
      <c r="Z112" s="967">
        <v>-4.703919364820246E-3</v>
      </c>
      <c r="AA112" s="967">
        <v>-5.4186336157071562E-3</v>
      </c>
      <c r="AB112" s="967">
        <v>-4.8449431087557145E-3</v>
      </c>
      <c r="AC112" s="967">
        <v>-8.6719592616483381E-4</v>
      </c>
      <c r="AD112" s="59"/>
      <c r="AE112" s="59"/>
      <c r="AF112" s="59"/>
      <c r="AG112" s="59"/>
      <c r="AH112" s="59"/>
      <c r="AI112" s="59"/>
      <c r="AJ112" s="59"/>
      <c r="AK112" s="59"/>
      <c r="AL112" s="59"/>
      <c r="AM112" s="59"/>
      <c r="AN112" s="59"/>
      <c r="AO112" s="59"/>
      <c r="AP112" s="59"/>
    </row>
    <row r="113" spans="1:42">
      <c r="A113" s="59"/>
      <c r="B113" s="67"/>
      <c r="C113" s="67"/>
      <c r="D113" s="1296" t="s">
        <v>507</v>
      </c>
      <c r="E113" s="1296"/>
      <c r="F113" s="1296"/>
      <c r="G113" s="1296"/>
      <c r="H113" s="1296"/>
      <c r="I113" s="1296"/>
      <c r="J113" s="1296"/>
      <c r="K113" s="1296"/>
      <c r="L113" s="1296"/>
      <c r="M113" s="1296"/>
      <c r="N113" s="1296"/>
      <c r="O113" s="1296"/>
      <c r="P113" s="1296"/>
      <c r="Q113" s="1296"/>
      <c r="R113" s="1296"/>
      <c r="S113" s="59"/>
      <c r="T113" s="366">
        <f t="shared" ref="T113:AC113" si="20">SUM(T111:T112)</f>
        <v>1.0000000000000002</v>
      </c>
      <c r="U113" s="367">
        <f t="shared" si="20"/>
        <v>0.99999999999999978</v>
      </c>
      <c r="V113" s="367">
        <f t="shared" si="20"/>
        <v>0.99999999999999989</v>
      </c>
      <c r="W113" s="367">
        <f t="shared" si="20"/>
        <v>1</v>
      </c>
      <c r="X113" s="367">
        <f t="shared" si="20"/>
        <v>0.99999999999999989</v>
      </c>
      <c r="Y113" s="367">
        <f t="shared" si="20"/>
        <v>1</v>
      </c>
      <c r="Z113" s="367">
        <f t="shared" si="20"/>
        <v>0.99999999999999989</v>
      </c>
      <c r="AA113" s="368">
        <f t="shared" si="20"/>
        <v>1</v>
      </c>
      <c r="AB113" s="369">
        <f t="shared" si="20"/>
        <v>0.99999999999999989</v>
      </c>
      <c r="AC113" s="367">
        <f t="shared" si="20"/>
        <v>0.99999999999999978</v>
      </c>
      <c r="AD113" s="59"/>
      <c r="AE113" s="59"/>
      <c r="AF113" s="59"/>
      <c r="AG113" s="59"/>
      <c r="AH113" s="59"/>
      <c r="AI113" s="59"/>
      <c r="AJ113" s="59"/>
      <c r="AK113" s="59"/>
      <c r="AL113" s="59"/>
      <c r="AM113" s="59"/>
      <c r="AN113" s="59"/>
      <c r="AO113" s="59"/>
      <c r="AP113" s="59"/>
    </row>
    <row r="114" spans="1:42">
      <c r="A114" s="59"/>
      <c r="B114" s="67"/>
      <c r="C114" s="67"/>
      <c r="D114" s="69" t="s">
        <v>450</v>
      </c>
      <c r="E114" s="59"/>
      <c r="F114" s="59"/>
      <c r="G114" s="59"/>
      <c r="H114" s="59"/>
      <c r="I114" s="59"/>
      <c r="J114" s="59"/>
      <c r="K114" s="59"/>
      <c r="L114" s="59"/>
      <c r="M114" s="59"/>
      <c r="N114" s="59"/>
      <c r="O114" s="59"/>
      <c r="P114" s="59"/>
      <c r="Q114" s="59"/>
      <c r="R114" s="59"/>
      <c r="S114" s="59"/>
      <c r="T114" s="59" t="str">
        <f>IF(T113 = 1, "OK", "Error: should = 100%")</f>
        <v>OK</v>
      </c>
      <c r="U114" s="59" t="str">
        <f t="shared" ref="U114:AC114" si="21">IF(U113 = 1, "OK", "Error: should = 100%")</f>
        <v>OK</v>
      </c>
      <c r="V114" s="59" t="str">
        <f t="shared" si="21"/>
        <v>OK</v>
      </c>
      <c r="W114" s="59" t="str">
        <f t="shared" si="21"/>
        <v>OK</v>
      </c>
      <c r="X114" s="59" t="str">
        <f t="shared" si="21"/>
        <v>OK</v>
      </c>
      <c r="Y114" s="59" t="str">
        <f t="shared" si="21"/>
        <v>OK</v>
      </c>
      <c r="Z114" s="59" t="str">
        <f t="shared" si="21"/>
        <v>OK</v>
      </c>
      <c r="AA114" s="59" t="str">
        <f t="shared" si="21"/>
        <v>OK</v>
      </c>
      <c r="AB114" s="79" t="str">
        <f t="shared" si="21"/>
        <v>OK</v>
      </c>
      <c r="AC114" s="59" t="str">
        <f t="shared" si="21"/>
        <v>OK</v>
      </c>
      <c r="AD114" s="59"/>
      <c r="AE114" s="59"/>
      <c r="AF114" s="59"/>
      <c r="AG114" s="59"/>
      <c r="AH114" s="59"/>
      <c r="AI114" s="59"/>
      <c r="AJ114" s="59"/>
      <c r="AK114" s="59"/>
      <c r="AL114" s="59"/>
      <c r="AM114" s="59"/>
      <c r="AN114" s="59"/>
      <c r="AO114" s="59"/>
      <c r="AP114" s="59"/>
    </row>
    <row r="115" spans="1:42">
      <c r="A115" s="59"/>
      <c r="B115" s="67"/>
      <c r="C115" s="67"/>
      <c r="D115" s="6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row>
    <row r="116" spans="1:42">
      <c r="A116" s="59"/>
      <c r="B116" s="67"/>
      <c r="C116" s="67"/>
      <c r="D116" s="6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row>
    <row r="117" spans="1:42">
      <c r="A117" s="59"/>
      <c r="B117" s="83" t="s">
        <v>780</v>
      </c>
      <c r="C117" s="67"/>
      <c r="D117" s="59"/>
      <c r="E117" s="59"/>
      <c r="F117" s="59"/>
      <c r="G117" s="59"/>
      <c r="H117" s="59"/>
      <c r="I117" s="59"/>
      <c r="J117" s="59"/>
      <c r="K117" s="59"/>
      <c r="L117" s="59"/>
      <c r="M117" s="59"/>
      <c r="N117" s="59"/>
      <c r="O117" s="59"/>
      <c r="P117" s="59"/>
      <c r="Q117" s="59"/>
      <c r="R117" s="59"/>
      <c r="S117" s="59"/>
      <c r="T117" s="59"/>
      <c r="U117" s="59"/>
      <c r="V117" s="725"/>
      <c r="W117" s="59"/>
      <c r="X117" s="59"/>
      <c r="Y117" s="59"/>
      <c r="Z117" s="59"/>
      <c r="AA117" s="59"/>
      <c r="AB117" s="59"/>
      <c r="AC117" s="59"/>
      <c r="AD117" s="59"/>
      <c r="AE117" s="59"/>
      <c r="AF117" s="59"/>
      <c r="AG117" s="59"/>
      <c r="AH117" s="59"/>
      <c r="AI117" s="59"/>
      <c r="AJ117" s="59"/>
      <c r="AK117" s="59"/>
      <c r="AL117" s="59"/>
      <c r="AM117" s="59"/>
      <c r="AN117" s="59"/>
      <c r="AO117" s="59"/>
      <c r="AP117" s="59"/>
    </row>
    <row r="118" spans="1:42">
      <c r="A118" s="59"/>
      <c r="B118" s="83"/>
      <c r="C118" s="67"/>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row>
    <row r="119" spans="1:42">
      <c r="A119" s="59"/>
      <c r="B119" s="83"/>
      <c r="C119" s="59"/>
      <c r="D119" s="58" t="s">
        <v>676</v>
      </c>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row>
    <row r="120" spans="1:42">
      <c r="A120" s="59"/>
      <c r="B120" s="67"/>
      <c r="C120" s="67"/>
      <c r="D120" s="59" t="s">
        <v>677</v>
      </c>
      <c r="E120" s="59"/>
      <c r="F120" s="59"/>
      <c r="G120" s="59"/>
      <c r="H120" s="59"/>
      <c r="I120" s="59"/>
      <c r="J120" s="59"/>
      <c r="K120" s="59"/>
      <c r="L120" s="59"/>
      <c r="M120" s="59"/>
      <c r="N120" s="59"/>
      <c r="O120" s="59"/>
      <c r="P120" s="59"/>
      <c r="Q120" s="59"/>
      <c r="R120" s="59"/>
      <c r="S120" s="59"/>
      <c r="T120" s="901">
        <v>5272.9962319368333</v>
      </c>
      <c r="U120" s="901">
        <v>5747.6422319368339</v>
      </c>
      <c r="V120" s="901">
        <v>6027.4582118711469</v>
      </c>
      <c r="W120" s="901">
        <v>5646.4863527472689</v>
      </c>
      <c r="X120" s="901">
        <v>5646.4863527472689</v>
      </c>
      <c r="Y120" s="901">
        <v>5646.4863527472689</v>
      </c>
      <c r="Z120" s="901">
        <v>5646.4863527472689</v>
      </c>
      <c r="AA120" s="901">
        <v>4799.6483527472683</v>
      </c>
      <c r="AB120" s="901">
        <v>3739.035068833718</v>
      </c>
      <c r="AC120" s="901">
        <v>3377.784733083718</v>
      </c>
      <c r="AD120" s="59"/>
      <c r="AE120" s="59"/>
      <c r="AF120" s="59"/>
      <c r="AG120" s="59"/>
      <c r="AH120" s="59"/>
      <c r="AI120" s="59"/>
      <c r="AJ120" s="59"/>
      <c r="AK120" s="59"/>
      <c r="AL120" s="59"/>
      <c r="AM120" s="59"/>
      <c r="AN120" s="59"/>
      <c r="AO120" s="59"/>
      <c r="AP120" s="59"/>
    </row>
    <row r="121" spans="1:42">
      <c r="A121" s="59"/>
      <c r="B121" s="67"/>
      <c r="C121" s="67"/>
      <c r="D121" s="59" t="s">
        <v>678</v>
      </c>
      <c r="E121" s="59"/>
      <c r="F121" s="59"/>
      <c r="G121" s="59"/>
      <c r="H121" s="59"/>
      <c r="I121" s="59"/>
      <c r="J121" s="59"/>
      <c r="K121" s="59"/>
      <c r="L121" s="59"/>
      <c r="M121" s="59"/>
      <c r="N121" s="59"/>
      <c r="O121" s="59"/>
      <c r="P121" s="59"/>
      <c r="Q121" s="59"/>
      <c r="R121" s="59"/>
      <c r="S121" s="59"/>
      <c r="T121" s="901">
        <v>400</v>
      </c>
      <c r="U121" s="901">
        <v>400</v>
      </c>
      <c r="V121" s="901">
        <v>550</v>
      </c>
      <c r="W121" s="901">
        <v>550</v>
      </c>
      <c r="X121" s="901">
        <v>550</v>
      </c>
      <c r="Y121" s="901">
        <v>150</v>
      </c>
      <c r="Z121" s="901">
        <v>150</v>
      </c>
      <c r="AA121" s="901">
        <v>150</v>
      </c>
      <c r="AB121" s="901">
        <v>150</v>
      </c>
      <c r="AC121" s="901">
        <v>0</v>
      </c>
      <c r="AD121" s="59"/>
      <c r="AE121" s="59"/>
      <c r="AF121" s="59"/>
      <c r="AG121" s="59"/>
      <c r="AH121" s="59"/>
      <c r="AI121" s="59"/>
      <c r="AJ121" s="59"/>
      <c r="AK121" s="59"/>
      <c r="AL121" s="59"/>
      <c r="AM121" s="59"/>
      <c r="AN121" s="59"/>
      <c r="AO121" s="59"/>
      <c r="AP121" s="59"/>
    </row>
    <row r="122" spans="1:42">
      <c r="A122" s="59"/>
      <c r="B122" s="67"/>
      <c r="C122" s="67"/>
      <c r="D122" s="59" t="s">
        <v>781</v>
      </c>
      <c r="E122" s="59"/>
      <c r="F122" s="59"/>
      <c r="G122" s="59"/>
      <c r="H122" s="59"/>
      <c r="I122" s="59"/>
      <c r="J122" s="59"/>
      <c r="K122" s="59"/>
      <c r="L122" s="59"/>
      <c r="M122" s="59"/>
      <c r="N122" s="59"/>
      <c r="O122" s="59"/>
      <c r="P122" s="59"/>
      <c r="Q122" s="59"/>
      <c r="R122" s="59"/>
      <c r="S122" s="59"/>
      <c r="T122" s="901">
        <v>992.82009992259157</v>
      </c>
      <c r="U122" s="901">
        <v>1120.7070022889534</v>
      </c>
      <c r="V122" s="901">
        <v>884.39251706980247</v>
      </c>
      <c r="W122" s="901">
        <v>585.0687694330129</v>
      </c>
      <c r="X122" s="901">
        <v>591.49368612908154</v>
      </c>
      <c r="Y122" s="901">
        <v>600.03197381394011</v>
      </c>
      <c r="Z122" s="901">
        <v>600.21198340608419</v>
      </c>
      <c r="AA122" s="901">
        <v>603.326993812193</v>
      </c>
      <c r="AB122" s="901">
        <v>621.42680362655938</v>
      </c>
      <c r="AC122" s="901">
        <v>640.06960773535684</v>
      </c>
      <c r="AD122" s="59"/>
      <c r="AE122" s="59"/>
      <c r="AF122" s="59"/>
      <c r="AG122" s="59"/>
      <c r="AH122" s="59"/>
      <c r="AI122" s="59"/>
      <c r="AJ122" s="59"/>
      <c r="AK122" s="59"/>
      <c r="AL122" s="59"/>
      <c r="AM122" s="59"/>
      <c r="AN122" s="59"/>
      <c r="AO122" s="59"/>
      <c r="AP122" s="59"/>
    </row>
    <row r="123" spans="1:42">
      <c r="A123" s="59"/>
      <c r="B123" s="67"/>
      <c r="C123" s="67"/>
      <c r="D123" s="59" t="s">
        <v>782</v>
      </c>
      <c r="E123" s="59"/>
      <c r="F123" s="59"/>
      <c r="G123" s="59"/>
      <c r="H123" s="59"/>
      <c r="I123" s="59"/>
      <c r="J123" s="59"/>
      <c r="K123" s="59"/>
      <c r="L123" s="59"/>
      <c r="M123" s="59"/>
      <c r="N123" s="59"/>
      <c r="O123" s="59"/>
      <c r="P123" s="59"/>
      <c r="Q123" s="59"/>
      <c r="R123" s="59"/>
      <c r="S123" s="59"/>
      <c r="T123" s="901">
        <v>0</v>
      </c>
      <c r="U123" s="901">
        <v>0</v>
      </c>
      <c r="V123" s="901">
        <v>0</v>
      </c>
      <c r="W123" s="901">
        <v>0</v>
      </c>
      <c r="X123" s="901">
        <v>0</v>
      </c>
      <c r="Y123" s="901">
        <v>0</v>
      </c>
      <c r="Z123" s="901">
        <v>0</v>
      </c>
      <c r="AA123" s="901">
        <v>0</v>
      </c>
      <c r="AB123" s="901">
        <v>0</v>
      </c>
      <c r="AC123" s="901">
        <v>0</v>
      </c>
      <c r="AD123" s="59"/>
      <c r="AE123" s="59"/>
      <c r="AF123" s="59"/>
      <c r="AG123" s="59"/>
      <c r="AH123" s="59"/>
      <c r="AI123" s="59"/>
      <c r="AJ123" s="59"/>
      <c r="AK123" s="59"/>
      <c r="AL123" s="59"/>
      <c r="AM123" s="59"/>
      <c r="AN123" s="59"/>
      <c r="AO123" s="59"/>
      <c r="AP123" s="59"/>
    </row>
    <row r="124" spans="1:42">
      <c r="A124" s="59"/>
      <c r="B124" s="67"/>
      <c r="C124" s="67"/>
      <c r="D124" s="59" t="s">
        <v>783</v>
      </c>
      <c r="E124" s="59"/>
      <c r="F124" s="59"/>
      <c r="G124" s="59"/>
      <c r="H124" s="59"/>
      <c r="I124" s="59"/>
      <c r="J124" s="59"/>
      <c r="K124" s="59"/>
      <c r="L124" s="59"/>
      <c r="M124" s="59"/>
      <c r="N124" s="59"/>
      <c r="O124" s="59"/>
      <c r="P124" s="59"/>
      <c r="Q124" s="59"/>
      <c r="R124" s="59"/>
      <c r="S124" s="59"/>
      <c r="T124" s="901">
        <v>0</v>
      </c>
      <c r="U124" s="901">
        <v>0</v>
      </c>
      <c r="V124" s="901">
        <v>0</v>
      </c>
      <c r="W124" s="901">
        <v>0</v>
      </c>
      <c r="X124" s="901">
        <v>0</v>
      </c>
      <c r="Y124" s="901">
        <v>0</v>
      </c>
      <c r="Z124" s="901">
        <v>0</v>
      </c>
      <c r="AA124" s="901">
        <v>0</v>
      </c>
      <c r="AB124" s="901">
        <v>0</v>
      </c>
      <c r="AC124" s="901">
        <v>0</v>
      </c>
      <c r="AD124" s="59"/>
      <c r="AE124" s="59"/>
      <c r="AF124" s="59"/>
      <c r="AG124" s="59"/>
      <c r="AH124" s="59"/>
      <c r="AI124" s="59"/>
      <c r="AJ124" s="59"/>
      <c r="AK124" s="59"/>
      <c r="AL124" s="59"/>
      <c r="AM124" s="59"/>
      <c r="AN124" s="59"/>
      <c r="AO124" s="59"/>
      <c r="AP124" s="59"/>
    </row>
    <row r="125" spans="1:42">
      <c r="A125" s="59"/>
      <c r="B125" s="67"/>
      <c r="C125" s="67"/>
      <c r="D125" s="58" t="s">
        <v>507</v>
      </c>
      <c r="E125" s="58"/>
      <c r="F125" s="58"/>
      <c r="G125" s="58"/>
      <c r="H125" s="58"/>
      <c r="I125" s="58"/>
      <c r="J125" s="58"/>
      <c r="K125" s="58"/>
      <c r="L125" s="58"/>
      <c r="M125" s="58"/>
      <c r="N125" s="58"/>
      <c r="O125" s="58"/>
      <c r="P125" s="58"/>
      <c r="Q125" s="58"/>
      <c r="R125" s="58"/>
      <c r="S125" s="58"/>
      <c r="T125" s="905">
        <f>SUM(T120:T124)</f>
        <v>6665.8163318594252</v>
      </c>
      <c r="U125" s="905">
        <f t="shared" ref="U125:AC125" si="22">SUM(U120:U124)</f>
        <v>7268.3492342257869</v>
      </c>
      <c r="V125" s="905">
        <f t="shared" si="22"/>
        <v>7461.850728940949</v>
      </c>
      <c r="W125" s="905">
        <f t="shared" si="22"/>
        <v>6781.5551221802816</v>
      </c>
      <c r="X125" s="905">
        <f t="shared" si="22"/>
        <v>6787.9800388763506</v>
      </c>
      <c r="Y125" s="905">
        <f t="shared" si="22"/>
        <v>6396.5183265612086</v>
      </c>
      <c r="Z125" s="905">
        <f t="shared" si="22"/>
        <v>6396.698336153353</v>
      </c>
      <c r="AA125" s="905">
        <f t="shared" si="22"/>
        <v>5552.9753465594613</v>
      </c>
      <c r="AB125" s="905">
        <f t="shared" si="22"/>
        <v>4510.4618724602769</v>
      </c>
      <c r="AC125" s="905">
        <f t="shared" si="22"/>
        <v>4017.8543408190749</v>
      </c>
      <c r="AD125" s="59"/>
      <c r="AE125" s="59"/>
      <c r="AF125" s="59"/>
      <c r="AG125" s="59"/>
      <c r="AH125" s="59"/>
      <c r="AI125" s="59"/>
      <c r="AJ125" s="59"/>
      <c r="AK125" s="59"/>
      <c r="AL125" s="59"/>
      <c r="AM125" s="59"/>
      <c r="AN125" s="59"/>
      <c r="AO125" s="59"/>
      <c r="AP125" s="59"/>
    </row>
    <row r="126" spans="1:42">
      <c r="A126" s="59"/>
      <c r="B126" s="67"/>
      <c r="C126" s="67"/>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row>
    <row r="127" spans="1:42">
      <c r="A127" s="59"/>
      <c r="B127" s="83"/>
      <c r="C127" s="59"/>
      <c r="D127" s="58" t="s">
        <v>685</v>
      </c>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row>
    <row r="128" spans="1:42">
      <c r="A128" s="59"/>
      <c r="B128" s="67"/>
      <c r="C128" s="67"/>
      <c r="D128" s="59" t="s">
        <v>677</v>
      </c>
      <c r="E128" s="59"/>
      <c r="F128" s="59"/>
      <c r="G128" s="59"/>
      <c r="H128" s="59"/>
      <c r="I128" s="59"/>
      <c r="J128" s="59"/>
      <c r="K128" s="59"/>
      <c r="L128" s="59"/>
      <c r="M128" s="59"/>
      <c r="N128" s="59"/>
      <c r="O128" s="59"/>
      <c r="P128" s="59"/>
      <c r="Q128" s="59"/>
      <c r="R128" s="59"/>
      <c r="S128" s="59"/>
      <c r="T128" s="901">
        <v>-1000</v>
      </c>
      <c r="U128" s="901">
        <v>-1000</v>
      </c>
      <c r="V128" s="901">
        <v>-1324.2</v>
      </c>
      <c r="W128" s="901">
        <v>-1324.2</v>
      </c>
      <c r="X128" s="901">
        <v>-1324.2</v>
      </c>
      <c r="Y128" s="901">
        <v>-1324.2</v>
      </c>
      <c r="Z128" s="901">
        <v>-1224.2</v>
      </c>
      <c r="AA128" s="901">
        <v>-1024.2</v>
      </c>
      <c r="AB128" s="901">
        <v>-700</v>
      </c>
      <c r="AC128" s="901">
        <v>-300</v>
      </c>
      <c r="AD128" s="59"/>
      <c r="AE128" s="59"/>
      <c r="AF128" s="59"/>
      <c r="AG128" s="59"/>
      <c r="AH128" s="59"/>
      <c r="AI128" s="59"/>
      <c r="AJ128" s="59"/>
      <c r="AK128" s="59"/>
      <c r="AL128" s="59"/>
      <c r="AM128" s="59"/>
      <c r="AN128" s="59"/>
      <c r="AO128" s="59"/>
      <c r="AP128" s="59"/>
    </row>
    <row r="129" spans="1:42">
      <c r="A129" s="59"/>
      <c r="B129" s="67"/>
      <c r="C129" s="67"/>
      <c r="D129" s="59" t="s">
        <v>678</v>
      </c>
      <c r="E129" s="59"/>
      <c r="F129" s="59"/>
      <c r="G129" s="59"/>
      <c r="H129" s="59"/>
      <c r="I129" s="59"/>
      <c r="J129" s="59"/>
      <c r="K129" s="59"/>
      <c r="L129" s="59"/>
      <c r="M129" s="59"/>
      <c r="N129" s="59"/>
      <c r="O129" s="59"/>
      <c r="P129" s="59"/>
      <c r="Q129" s="59"/>
      <c r="R129" s="59"/>
      <c r="S129" s="59"/>
      <c r="T129" s="901">
        <v>-400</v>
      </c>
      <c r="U129" s="901">
        <v>-400</v>
      </c>
      <c r="V129" s="901">
        <v>-75.779999999999973</v>
      </c>
      <c r="W129" s="901">
        <v>-75.779999999999973</v>
      </c>
      <c r="X129" s="901">
        <v>-75.779999999999973</v>
      </c>
      <c r="Y129" s="901">
        <v>324.22000000000003</v>
      </c>
      <c r="Z129" s="901">
        <v>324.22000000000003</v>
      </c>
      <c r="AA129" s="901">
        <v>324.22000000000003</v>
      </c>
      <c r="AB129" s="901">
        <v>0</v>
      </c>
      <c r="AC129" s="901">
        <v>0</v>
      </c>
      <c r="AD129" s="59"/>
      <c r="AE129" s="59"/>
      <c r="AF129" s="59"/>
      <c r="AG129" s="59"/>
      <c r="AH129" s="59"/>
      <c r="AI129" s="59"/>
      <c r="AJ129" s="59"/>
      <c r="AK129" s="59"/>
      <c r="AL129" s="59"/>
      <c r="AM129" s="59"/>
      <c r="AN129" s="59"/>
      <c r="AO129" s="59"/>
      <c r="AP129" s="59"/>
    </row>
    <row r="130" spans="1:42">
      <c r="A130" s="59"/>
      <c r="B130" s="67"/>
      <c r="C130" s="67"/>
      <c r="D130" s="59" t="s">
        <v>781</v>
      </c>
      <c r="E130" s="59"/>
      <c r="F130" s="59"/>
      <c r="G130" s="59"/>
      <c r="H130" s="59"/>
      <c r="I130" s="59"/>
      <c r="J130" s="59"/>
      <c r="K130" s="59"/>
      <c r="L130" s="59"/>
      <c r="M130" s="59"/>
      <c r="N130" s="59"/>
      <c r="O130" s="59"/>
      <c r="P130" s="59"/>
      <c r="Q130" s="59"/>
      <c r="R130" s="59"/>
      <c r="S130" s="59"/>
      <c r="T130" s="901">
        <v>400</v>
      </c>
      <c r="U130" s="901">
        <v>400</v>
      </c>
      <c r="V130" s="901">
        <v>400</v>
      </c>
      <c r="W130" s="901">
        <v>400</v>
      </c>
      <c r="X130" s="901">
        <v>400</v>
      </c>
      <c r="Y130" s="901">
        <v>0</v>
      </c>
      <c r="Z130" s="901">
        <v>0</v>
      </c>
      <c r="AA130" s="901">
        <v>0</v>
      </c>
      <c r="AB130" s="901">
        <v>0</v>
      </c>
      <c r="AC130" s="901">
        <v>0</v>
      </c>
      <c r="AD130" s="59"/>
      <c r="AE130" s="59"/>
      <c r="AF130" s="59"/>
      <c r="AG130" s="59"/>
      <c r="AH130" s="59"/>
      <c r="AI130" s="59"/>
      <c r="AJ130" s="59"/>
      <c r="AK130" s="59"/>
      <c r="AL130" s="59"/>
      <c r="AM130" s="59"/>
      <c r="AN130" s="59"/>
      <c r="AO130" s="59"/>
      <c r="AP130" s="59"/>
    </row>
    <row r="131" spans="1:42">
      <c r="A131" s="59"/>
      <c r="B131" s="67"/>
      <c r="C131" s="67"/>
      <c r="D131" s="59" t="s">
        <v>782</v>
      </c>
      <c r="E131" s="59"/>
      <c r="F131" s="59"/>
      <c r="G131" s="59"/>
      <c r="H131" s="59"/>
      <c r="I131" s="59"/>
      <c r="J131" s="59"/>
      <c r="K131" s="59"/>
      <c r="L131" s="59"/>
      <c r="M131" s="59"/>
      <c r="N131" s="59"/>
      <c r="O131" s="59"/>
      <c r="P131" s="59"/>
      <c r="Q131" s="59"/>
      <c r="R131" s="59"/>
      <c r="S131" s="59"/>
      <c r="T131" s="901">
        <v>1000</v>
      </c>
      <c r="U131" s="901">
        <v>1000</v>
      </c>
      <c r="V131" s="901">
        <v>1000</v>
      </c>
      <c r="W131" s="901">
        <v>1000</v>
      </c>
      <c r="X131" s="901">
        <v>1000</v>
      </c>
      <c r="Y131" s="901">
        <v>1000</v>
      </c>
      <c r="Z131" s="901">
        <v>900</v>
      </c>
      <c r="AA131" s="901">
        <v>700</v>
      </c>
      <c r="AB131" s="901">
        <v>700</v>
      </c>
      <c r="AC131" s="901">
        <v>300</v>
      </c>
      <c r="AD131" s="59"/>
      <c r="AE131" s="59"/>
      <c r="AF131" s="59"/>
      <c r="AG131" s="59"/>
      <c r="AH131" s="59"/>
      <c r="AI131" s="59"/>
      <c r="AJ131" s="59"/>
      <c r="AK131" s="59"/>
      <c r="AL131" s="59"/>
      <c r="AM131" s="59"/>
      <c r="AN131" s="59"/>
      <c r="AO131" s="59"/>
      <c r="AP131" s="59"/>
    </row>
    <row r="132" spans="1:42">
      <c r="A132" s="59"/>
      <c r="B132" s="67"/>
      <c r="C132" s="67"/>
      <c r="D132" s="59" t="s">
        <v>783</v>
      </c>
      <c r="E132" s="59"/>
      <c r="F132" s="59"/>
      <c r="G132" s="59"/>
      <c r="H132" s="59"/>
      <c r="I132" s="59"/>
      <c r="J132" s="59"/>
      <c r="K132" s="59"/>
      <c r="L132" s="59"/>
      <c r="M132" s="59"/>
      <c r="N132" s="59"/>
      <c r="O132" s="59"/>
      <c r="P132" s="59"/>
      <c r="Q132" s="59"/>
      <c r="R132" s="59"/>
      <c r="S132" s="59"/>
      <c r="T132" s="901">
        <v>0</v>
      </c>
      <c r="U132" s="901">
        <v>0</v>
      </c>
      <c r="V132" s="901">
        <v>0</v>
      </c>
      <c r="W132" s="901">
        <v>0</v>
      </c>
      <c r="X132" s="901">
        <v>0</v>
      </c>
      <c r="Y132" s="901">
        <v>0</v>
      </c>
      <c r="Z132" s="901">
        <v>0</v>
      </c>
      <c r="AA132" s="901">
        <v>0</v>
      </c>
      <c r="AB132" s="901">
        <v>0</v>
      </c>
      <c r="AC132" s="901">
        <v>0</v>
      </c>
      <c r="AD132" s="59"/>
      <c r="AE132" s="59"/>
      <c r="AF132" s="59"/>
      <c r="AG132" s="59"/>
      <c r="AH132" s="59"/>
      <c r="AI132" s="59"/>
      <c r="AJ132" s="59"/>
      <c r="AK132" s="59"/>
      <c r="AL132" s="59"/>
      <c r="AM132" s="59"/>
      <c r="AN132" s="59"/>
      <c r="AO132" s="59"/>
      <c r="AP132" s="59"/>
    </row>
    <row r="133" spans="1:42">
      <c r="A133" s="59"/>
      <c r="B133" s="67"/>
      <c r="C133" s="67"/>
      <c r="D133" s="58" t="s">
        <v>507</v>
      </c>
      <c r="E133" s="58"/>
      <c r="F133" s="58"/>
      <c r="G133" s="58"/>
      <c r="H133" s="58"/>
      <c r="I133" s="58"/>
      <c r="J133" s="58"/>
      <c r="K133" s="58"/>
      <c r="L133" s="58"/>
      <c r="M133" s="58"/>
      <c r="N133" s="58"/>
      <c r="O133" s="58"/>
      <c r="P133" s="58"/>
      <c r="Q133" s="58"/>
      <c r="R133" s="58"/>
      <c r="S133" s="58"/>
      <c r="T133" s="905">
        <f>SUM(T128:T132)</f>
        <v>0</v>
      </c>
      <c r="U133" s="905">
        <f t="shared" ref="U133:AC133" si="23">SUM(U128:U132)</f>
        <v>0</v>
      </c>
      <c r="V133" s="905">
        <f t="shared" si="23"/>
        <v>1.999999999998181E-2</v>
      </c>
      <c r="W133" s="905">
        <f t="shared" si="23"/>
        <v>1.999999999998181E-2</v>
      </c>
      <c r="X133" s="905">
        <f t="shared" si="23"/>
        <v>1.999999999998181E-2</v>
      </c>
      <c r="Y133" s="905">
        <f t="shared" si="23"/>
        <v>1.999999999998181E-2</v>
      </c>
      <c r="Z133" s="905">
        <f t="shared" si="23"/>
        <v>1.999999999998181E-2</v>
      </c>
      <c r="AA133" s="905">
        <f t="shared" si="23"/>
        <v>1.999999999998181E-2</v>
      </c>
      <c r="AB133" s="905">
        <f t="shared" si="23"/>
        <v>0</v>
      </c>
      <c r="AC133" s="905">
        <f t="shared" si="23"/>
        <v>0</v>
      </c>
      <c r="AD133" s="59"/>
      <c r="AE133" s="59"/>
      <c r="AF133" s="59"/>
      <c r="AG133" s="59"/>
      <c r="AH133" s="59"/>
      <c r="AI133" s="59"/>
      <c r="AJ133" s="59"/>
      <c r="AK133" s="59"/>
      <c r="AL133" s="59"/>
      <c r="AM133" s="59"/>
      <c r="AN133" s="59"/>
      <c r="AO133" s="59"/>
      <c r="AP133" s="59"/>
    </row>
    <row r="134" spans="1:42">
      <c r="A134" s="59"/>
      <c r="B134" s="67"/>
      <c r="C134" s="67"/>
      <c r="D134" s="58"/>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row>
    <row r="135" spans="1:42">
      <c r="A135" s="59"/>
      <c r="B135" s="83"/>
      <c r="C135" s="59"/>
      <c r="D135" s="58" t="s">
        <v>686</v>
      </c>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row>
    <row r="136" spans="1:42">
      <c r="A136" s="59"/>
      <c r="B136" s="67"/>
      <c r="C136" s="67"/>
      <c r="D136" s="59" t="s">
        <v>677</v>
      </c>
      <c r="E136" s="59"/>
      <c r="F136" s="59"/>
      <c r="G136" s="59"/>
      <c r="H136" s="59"/>
      <c r="I136" s="59"/>
      <c r="J136" s="59"/>
      <c r="K136" s="59"/>
      <c r="L136" s="59"/>
      <c r="M136" s="59"/>
      <c r="N136" s="59"/>
      <c r="O136" s="59"/>
      <c r="P136" s="59"/>
      <c r="Q136" s="59"/>
      <c r="R136" s="59"/>
      <c r="S136" s="59"/>
      <c r="T136" s="901">
        <f>SUM(T120, T128)</f>
        <v>4272.9962319368333</v>
      </c>
      <c r="U136" s="901">
        <f t="shared" ref="U136:AC140" si="24">SUM(U120, U128)</f>
        <v>4747.6422319368339</v>
      </c>
      <c r="V136" s="901">
        <f t="shared" si="24"/>
        <v>4703.2582118711471</v>
      </c>
      <c r="W136" s="901">
        <f t="shared" si="24"/>
        <v>4322.2863527472691</v>
      </c>
      <c r="X136" s="901">
        <f t="shared" si="24"/>
        <v>4322.2863527472691</v>
      </c>
      <c r="Y136" s="901">
        <f t="shared" si="24"/>
        <v>4322.2863527472691</v>
      </c>
      <c r="Z136" s="901">
        <f t="shared" si="24"/>
        <v>4422.2863527472691</v>
      </c>
      <c r="AA136" s="901">
        <f t="shared" si="24"/>
        <v>3775.4483527472685</v>
      </c>
      <c r="AB136" s="901">
        <f t="shared" si="24"/>
        <v>3039.035068833718</v>
      </c>
      <c r="AC136" s="901">
        <f t="shared" si="24"/>
        <v>3077.784733083718</v>
      </c>
      <c r="AD136" s="59"/>
      <c r="AE136" s="59"/>
      <c r="AF136" s="59"/>
      <c r="AG136" s="59"/>
      <c r="AH136" s="59"/>
      <c r="AI136" s="59"/>
      <c r="AJ136" s="59"/>
      <c r="AK136" s="59"/>
      <c r="AL136" s="59"/>
      <c r="AM136" s="59"/>
      <c r="AN136" s="59"/>
      <c r="AO136" s="59"/>
      <c r="AP136" s="59"/>
    </row>
    <row r="137" spans="1:42">
      <c r="A137" s="59"/>
      <c r="B137" s="67"/>
      <c r="C137" s="67"/>
      <c r="D137" s="59" t="s">
        <v>678</v>
      </c>
      <c r="E137" s="59"/>
      <c r="F137" s="59"/>
      <c r="G137" s="59"/>
      <c r="H137" s="59"/>
      <c r="I137" s="59"/>
      <c r="J137" s="59"/>
      <c r="K137" s="59"/>
      <c r="L137" s="59"/>
      <c r="M137" s="59"/>
      <c r="N137" s="59"/>
      <c r="O137" s="59"/>
      <c r="P137" s="59"/>
      <c r="Q137" s="59"/>
      <c r="R137" s="59"/>
      <c r="S137" s="59"/>
      <c r="T137" s="901">
        <f t="shared" ref="T137:T140" si="25">SUM(T121, T129)</f>
        <v>0</v>
      </c>
      <c r="U137" s="901">
        <f t="shared" si="24"/>
        <v>0</v>
      </c>
      <c r="V137" s="901">
        <f t="shared" si="24"/>
        <v>474.22</v>
      </c>
      <c r="W137" s="901">
        <f t="shared" si="24"/>
        <v>474.22</v>
      </c>
      <c r="X137" s="901">
        <f t="shared" si="24"/>
        <v>474.22</v>
      </c>
      <c r="Y137" s="901">
        <f t="shared" si="24"/>
        <v>474.22</v>
      </c>
      <c r="Z137" s="901">
        <f t="shared" si="24"/>
        <v>474.22</v>
      </c>
      <c r="AA137" s="901">
        <f t="shared" si="24"/>
        <v>474.22</v>
      </c>
      <c r="AB137" s="901">
        <f t="shared" si="24"/>
        <v>150</v>
      </c>
      <c r="AC137" s="901">
        <f t="shared" si="24"/>
        <v>0</v>
      </c>
      <c r="AD137" s="59"/>
      <c r="AE137" s="59"/>
      <c r="AF137" s="59"/>
      <c r="AG137" s="59"/>
      <c r="AH137" s="59"/>
      <c r="AI137" s="59"/>
      <c r="AJ137" s="59"/>
      <c r="AK137" s="59"/>
      <c r="AL137" s="59"/>
      <c r="AM137" s="59"/>
      <c r="AN137" s="59"/>
      <c r="AO137" s="59"/>
      <c r="AP137" s="59"/>
    </row>
    <row r="138" spans="1:42">
      <c r="A138" s="59"/>
      <c r="B138" s="67"/>
      <c r="C138" s="67"/>
      <c r="D138" s="59" t="s">
        <v>781</v>
      </c>
      <c r="E138" s="59"/>
      <c r="F138" s="59"/>
      <c r="G138" s="59"/>
      <c r="H138" s="59"/>
      <c r="I138" s="59"/>
      <c r="J138" s="59"/>
      <c r="K138" s="59"/>
      <c r="L138" s="59"/>
      <c r="M138" s="59"/>
      <c r="N138" s="59"/>
      <c r="O138" s="59"/>
      <c r="P138" s="59"/>
      <c r="Q138" s="59"/>
      <c r="R138" s="59"/>
      <c r="S138" s="59"/>
      <c r="T138" s="901">
        <f t="shared" si="25"/>
        <v>1392.8200999225915</v>
      </c>
      <c r="U138" s="901">
        <f t="shared" si="24"/>
        <v>1520.7070022889534</v>
      </c>
      <c r="V138" s="901">
        <f t="shared" si="24"/>
        <v>1284.3925170698026</v>
      </c>
      <c r="W138" s="901">
        <f t="shared" si="24"/>
        <v>985.0687694330129</v>
      </c>
      <c r="X138" s="901">
        <f t="shared" si="24"/>
        <v>991.49368612908154</v>
      </c>
      <c r="Y138" s="901">
        <f t="shared" si="24"/>
        <v>600.03197381394011</v>
      </c>
      <c r="Z138" s="901">
        <f t="shared" si="24"/>
        <v>600.21198340608419</v>
      </c>
      <c r="AA138" s="901">
        <f t="shared" si="24"/>
        <v>603.326993812193</v>
      </c>
      <c r="AB138" s="901">
        <f t="shared" si="24"/>
        <v>621.42680362655938</v>
      </c>
      <c r="AC138" s="901">
        <f t="shared" si="24"/>
        <v>640.06960773535684</v>
      </c>
      <c r="AD138" s="59"/>
      <c r="AE138" s="59"/>
      <c r="AF138" s="59"/>
      <c r="AG138" s="59"/>
      <c r="AH138" s="59"/>
      <c r="AI138" s="59"/>
      <c r="AJ138" s="59"/>
      <c r="AK138" s="59"/>
      <c r="AL138" s="59"/>
      <c r="AM138" s="59"/>
      <c r="AN138" s="59"/>
      <c r="AO138" s="59"/>
      <c r="AP138" s="59"/>
    </row>
    <row r="139" spans="1:42">
      <c r="A139" s="59"/>
      <c r="B139" s="67"/>
      <c r="C139" s="67"/>
      <c r="D139" s="59" t="s">
        <v>782</v>
      </c>
      <c r="E139" s="59"/>
      <c r="F139" s="59"/>
      <c r="G139" s="59"/>
      <c r="H139" s="59"/>
      <c r="I139" s="59"/>
      <c r="J139" s="59"/>
      <c r="K139" s="59"/>
      <c r="L139" s="59"/>
      <c r="M139" s="59"/>
      <c r="N139" s="59"/>
      <c r="O139" s="59"/>
      <c r="P139" s="59"/>
      <c r="Q139" s="59"/>
      <c r="R139" s="59"/>
      <c r="S139" s="59"/>
      <c r="T139" s="901">
        <f t="shared" si="25"/>
        <v>1000</v>
      </c>
      <c r="U139" s="901">
        <f t="shared" si="24"/>
        <v>1000</v>
      </c>
      <c r="V139" s="901">
        <f t="shared" si="24"/>
        <v>1000</v>
      </c>
      <c r="W139" s="901">
        <f t="shared" si="24"/>
        <v>1000</v>
      </c>
      <c r="X139" s="901">
        <f t="shared" si="24"/>
        <v>1000</v>
      </c>
      <c r="Y139" s="901">
        <f t="shared" si="24"/>
        <v>1000</v>
      </c>
      <c r="Z139" s="901">
        <f t="shared" si="24"/>
        <v>900</v>
      </c>
      <c r="AA139" s="901">
        <f t="shared" si="24"/>
        <v>700</v>
      </c>
      <c r="AB139" s="901">
        <f t="shared" si="24"/>
        <v>700</v>
      </c>
      <c r="AC139" s="901">
        <f t="shared" si="24"/>
        <v>300</v>
      </c>
      <c r="AD139" s="59"/>
      <c r="AE139" s="59"/>
      <c r="AF139" s="59"/>
      <c r="AG139" s="59"/>
      <c r="AH139" s="59"/>
      <c r="AI139" s="59"/>
      <c r="AJ139" s="59"/>
      <c r="AK139" s="59"/>
      <c r="AL139" s="59"/>
      <c r="AM139" s="59"/>
      <c r="AN139" s="59"/>
      <c r="AO139" s="59"/>
      <c r="AP139" s="59"/>
    </row>
    <row r="140" spans="1:42">
      <c r="A140" s="59"/>
      <c r="B140" s="67"/>
      <c r="C140" s="67"/>
      <c r="D140" s="59" t="s">
        <v>783</v>
      </c>
      <c r="E140" s="59"/>
      <c r="F140" s="59"/>
      <c r="G140" s="59"/>
      <c r="H140" s="59"/>
      <c r="I140" s="59"/>
      <c r="J140" s="59"/>
      <c r="K140" s="59"/>
      <c r="L140" s="59"/>
      <c r="M140" s="59"/>
      <c r="N140" s="59"/>
      <c r="O140" s="59"/>
      <c r="P140" s="59"/>
      <c r="Q140" s="59"/>
      <c r="R140" s="59"/>
      <c r="S140" s="59"/>
      <c r="T140" s="901">
        <f t="shared" si="25"/>
        <v>0</v>
      </c>
      <c r="U140" s="901">
        <f t="shared" si="24"/>
        <v>0</v>
      </c>
      <c r="V140" s="901">
        <f t="shared" si="24"/>
        <v>0</v>
      </c>
      <c r="W140" s="901">
        <f t="shared" si="24"/>
        <v>0</v>
      </c>
      <c r="X140" s="901">
        <f t="shared" si="24"/>
        <v>0</v>
      </c>
      <c r="Y140" s="901">
        <f t="shared" si="24"/>
        <v>0</v>
      </c>
      <c r="Z140" s="901">
        <f t="shared" si="24"/>
        <v>0</v>
      </c>
      <c r="AA140" s="901">
        <f t="shared" si="24"/>
        <v>0</v>
      </c>
      <c r="AB140" s="901">
        <f t="shared" si="24"/>
        <v>0</v>
      </c>
      <c r="AC140" s="901">
        <f t="shared" si="24"/>
        <v>0</v>
      </c>
      <c r="AD140" s="59"/>
      <c r="AE140" s="59"/>
      <c r="AF140" s="59"/>
      <c r="AG140" s="59"/>
      <c r="AH140" s="59"/>
      <c r="AI140" s="59"/>
      <c r="AJ140" s="59"/>
      <c r="AK140" s="59"/>
      <c r="AL140" s="59"/>
      <c r="AM140" s="59"/>
      <c r="AN140" s="59"/>
      <c r="AO140" s="59"/>
      <c r="AP140" s="59"/>
    </row>
    <row r="141" spans="1:42">
      <c r="A141" s="59"/>
      <c r="B141" s="67"/>
      <c r="C141" s="67"/>
      <c r="D141" s="58" t="s">
        <v>507</v>
      </c>
      <c r="E141" s="58"/>
      <c r="F141" s="58"/>
      <c r="G141" s="58"/>
      <c r="H141" s="58"/>
      <c r="I141" s="58"/>
      <c r="J141" s="58"/>
      <c r="K141" s="58"/>
      <c r="L141" s="58"/>
      <c r="M141" s="58"/>
      <c r="N141" s="58"/>
      <c r="O141" s="58"/>
      <c r="P141" s="58"/>
      <c r="Q141" s="58"/>
      <c r="R141" s="58"/>
      <c r="S141" s="58"/>
      <c r="T141" s="905">
        <f>SUM(T136:T140)</f>
        <v>6665.8163318594252</v>
      </c>
      <c r="U141" s="905">
        <f t="shared" ref="U141:AC141" si="26">SUM(U136:U140)</f>
        <v>7268.3492342257869</v>
      </c>
      <c r="V141" s="905">
        <f t="shared" si="26"/>
        <v>7461.8707289409504</v>
      </c>
      <c r="W141" s="905">
        <f t="shared" si="26"/>
        <v>6781.5751221802821</v>
      </c>
      <c r="X141" s="905">
        <f t="shared" si="26"/>
        <v>6788.000038876351</v>
      </c>
      <c r="Y141" s="905">
        <f t="shared" si="26"/>
        <v>6396.538326561209</v>
      </c>
      <c r="Z141" s="905">
        <f t="shared" si="26"/>
        <v>6396.7183361533534</v>
      </c>
      <c r="AA141" s="905">
        <f t="shared" si="26"/>
        <v>5552.9953465594617</v>
      </c>
      <c r="AB141" s="905">
        <f t="shared" si="26"/>
        <v>4510.4618724602769</v>
      </c>
      <c r="AC141" s="905">
        <f t="shared" si="26"/>
        <v>4017.8543408190749</v>
      </c>
      <c r="AD141" s="59"/>
      <c r="AE141" s="59"/>
      <c r="AF141" s="59"/>
      <c r="AG141" s="59"/>
      <c r="AH141" s="59"/>
      <c r="AI141" s="59"/>
      <c r="AJ141" s="59"/>
      <c r="AK141" s="59"/>
      <c r="AL141" s="59"/>
      <c r="AM141" s="59"/>
      <c r="AN141" s="59"/>
      <c r="AO141" s="59"/>
      <c r="AP141" s="59"/>
    </row>
    <row r="142" spans="1:42">
      <c r="A142" s="59"/>
      <c r="B142" s="67"/>
      <c r="C142" s="67"/>
      <c r="D142" s="58"/>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row>
    <row r="143" spans="1:42" ht="15" customHeight="1">
      <c r="A143" s="65"/>
      <c r="B143" s="84" t="s">
        <v>687</v>
      </c>
      <c r="C143" s="8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387"/>
      <c r="AE143" s="387"/>
      <c r="AF143" s="387"/>
      <c r="AG143" s="387"/>
      <c r="AH143" s="387"/>
      <c r="AI143" s="387"/>
      <c r="AJ143" s="387"/>
      <c r="AK143" s="387"/>
      <c r="AL143" s="387"/>
      <c r="AM143" s="180"/>
      <c r="AN143" s="180"/>
      <c r="AO143" s="180"/>
      <c r="AP143" s="180"/>
    </row>
    <row r="144" spans="1:42">
      <c r="A144" s="59"/>
      <c r="B144" s="67"/>
      <c r="C144" s="67"/>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row>
    <row r="145" spans="1:42">
      <c r="A145" s="59"/>
      <c r="B145" s="67"/>
      <c r="C145" s="67"/>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row>
  </sheetData>
  <sheetProtection insertRows="0" sort="0" autoFilter="0" pivotTables="0"/>
  <dataConsolidate/>
  <mergeCells count="47">
    <mergeCell ref="D51:Q51"/>
    <mergeCell ref="T7:X7"/>
    <mergeCell ref="Y7:AC7"/>
    <mergeCell ref="D48:Q48"/>
    <mergeCell ref="D49:Q49"/>
    <mergeCell ref="D50:Q50"/>
    <mergeCell ref="D65:R65"/>
    <mergeCell ref="D52:Q52"/>
    <mergeCell ref="D53:Q53"/>
    <mergeCell ref="D54:Q54"/>
    <mergeCell ref="D55:Q55"/>
    <mergeCell ref="D56:Q56"/>
    <mergeCell ref="D57:Q57"/>
    <mergeCell ref="D60:R60"/>
    <mergeCell ref="D61:R61"/>
    <mergeCell ref="D62:R62"/>
    <mergeCell ref="D63:R63"/>
    <mergeCell ref="D64:R64"/>
    <mergeCell ref="D77:R77"/>
    <mergeCell ref="D66:R66"/>
    <mergeCell ref="D67:R67"/>
    <mergeCell ref="D68:R68"/>
    <mergeCell ref="D69:R69"/>
    <mergeCell ref="D70:R70"/>
    <mergeCell ref="D71:R71"/>
    <mergeCell ref="D72:R72"/>
    <mergeCell ref="D73:R73"/>
    <mergeCell ref="D74:R74"/>
    <mergeCell ref="D75:R75"/>
    <mergeCell ref="D76:R76"/>
    <mergeCell ref="D105:R105"/>
    <mergeCell ref="D87:R87"/>
    <mergeCell ref="D88:R88"/>
    <mergeCell ref="D89:R89"/>
    <mergeCell ref="D90:R90"/>
    <mergeCell ref="D91:R91"/>
    <mergeCell ref="D92:R92"/>
    <mergeCell ref="D96:R96"/>
    <mergeCell ref="D97:R97"/>
    <mergeCell ref="D98:R98"/>
    <mergeCell ref="D99:R99"/>
    <mergeCell ref="D101:R101"/>
    <mergeCell ref="D106:R106"/>
    <mergeCell ref="D107:R107"/>
    <mergeCell ref="D111:R111"/>
    <mergeCell ref="D112:R112"/>
    <mergeCell ref="D113:R113"/>
  </mergeCells>
  <conditionalFormatting sqref="T14:AC29 T94:AC94">
    <cfRule type="cellIs" priority="6" stopIfTrue="1" operator="greaterThanOrEqual">
      <formula>0</formula>
    </cfRule>
  </conditionalFormatting>
  <conditionalFormatting sqref="T41:AC41">
    <cfRule type="expression" dxfId="25" priority="2">
      <formula>T41&lt;&gt;"OK"</formula>
    </cfRule>
  </conditionalFormatting>
  <conditionalFormatting sqref="T80:AC80">
    <cfRule type="cellIs" priority="5" stopIfTrue="1" operator="greaterThanOrEqual">
      <formula>0</formula>
    </cfRule>
  </conditionalFormatting>
  <conditionalFormatting sqref="T93:AC93 T102:AC102 T108:AC108 T114:AC114">
    <cfRule type="expression" dxfId="24" priority="4">
      <formula>T92&lt;&gt;1</formula>
    </cfRule>
  </conditionalFormatting>
  <conditionalFormatting sqref="T105:AC106">
    <cfRule type="cellIs" priority="1" stopIfTrue="1" operator="greaterThanOrEqual">
      <formula>0</formula>
    </cfRule>
  </conditionalFormatting>
  <conditionalFormatting sqref="T111:AC112">
    <cfRule type="cellIs" priority="3"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85" zoomScaleNormal="85" workbookViewId="0">
      <selection activeCell="F41" sqref="F41"/>
    </sheetView>
  </sheetViews>
  <sheetFormatPr defaultColWidth="9" defaultRowHeight="12.35"/>
  <cols>
    <col min="1" max="1" width="8.3671875" style="166" customWidth="1"/>
    <col min="2" max="2" width="52.1015625" style="166" bestFit="1" customWidth="1"/>
    <col min="3" max="4" width="4.26171875" style="166" customWidth="1"/>
    <col min="5" max="5" width="14.1015625" style="197" customWidth="1"/>
    <col min="6" max="10" width="11.1015625" style="166" customWidth="1"/>
    <col min="11" max="11" width="5" style="166" customWidth="1"/>
    <col min="12" max="12" width="9" style="166"/>
    <col min="13" max="13" width="9" style="123"/>
    <col min="14" max="16384" width="9" style="166"/>
  </cols>
  <sheetData>
    <row r="1" spans="1:19" ht="20.350000000000001">
      <c r="A1" s="449" t="s">
        <v>784</v>
      </c>
      <c r="B1" s="451"/>
      <c r="C1" s="451"/>
      <c r="D1" s="451"/>
      <c r="E1" s="968"/>
      <c r="F1" s="452"/>
      <c r="G1" s="452"/>
      <c r="H1" s="452"/>
      <c r="I1" s="452"/>
      <c r="J1" s="452"/>
      <c r="K1" s="574"/>
    </row>
    <row r="2" spans="1:19" ht="20.350000000000001">
      <c r="A2" s="454" t="str">
        <f>Licensee</f>
        <v>Cadent-WM</v>
      </c>
      <c r="B2" s="456"/>
      <c r="C2" s="456"/>
      <c r="D2" s="456"/>
      <c r="E2" s="969"/>
      <c r="F2" s="457"/>
      <c r="G2" s="457"/>
      <c r="H2" s="457"/>
      <c r="I2" s="457"/>
      <c r="J2" s="457"/>
      <c r="K2" s="459"/>
    </row>
    <row r="3" spans="1:19" ht="20.350000000000001">
      <c r="A3" s="456">
        <f>Reporting_Year</f>
        <v>2023</v>
      </c>
      <c r="B3" s="460"/>
      <c r="C3" s="460"/>
      <c r="D3" s="460"/>
      <c r="E3" s="460"/>
      <c r="F3" s="460"/>
      <c r="G3" s="460"/>
      <c r="H3" s="460"/>
      <c r="I3" s="460"/>
      <c r="J3" s="460"/>
      <c r="K3" s="462"/>
    </row>
    <row r="4" spans="1:19" s="464" customFormat="1" ht="12.75" customHeight="1">
      <c r="E4" s="585"/>
      <c r="M4" s="507"/>
    </row>
    <row r="5" spans="1:19" s="464" customFormat="1">
      <c r="B5" s="970"/>
      <c r="C5" s="970"/>
      <c r="D5" s="970"/>
      <c r="E5" s="971"/>
      <c r="F5" s="599" t="str">
        <f>IF(F6&lt;=Reporting_Year-1,"Actuals","Forecast")</f>
        <v>Actuals</v>
      </c>
      <c r="G5" s="599" t="str">
        <f>IF(G6&lt;=Reporting_Year-1,"Actuals","Forecast")</f>
        <v>Forecast</v>
      </c>
      <c r="H5" s="599" t="str">
        <f>IF(H6&lt;=Reporting_Year-1,"Actuals","Forecast")</f>
        <v>Forecast</v>
      </c>
      <c r="I5" s="599" t="str">
        <f>IF(I6&lt;=Reporting_Year-1,"Actuals","Forecast")</f>
        <v>Forecast</v>
      </c>
      <c r="J5" s="599" t="str">
        <f>IF(J6&lt;=Reporting_Year-1,"Actuals","Forecast")</f>
        <v>Forecast</v>
      </c>
      <c r="M5" s="507"/>
    </row>
    <row r="6" spans="1:19" s="464" customFormat="1">
      <c r="E6" s="585"/>
      <c r="F6" s="575">
        <f>'RFPR cover'!$C$6</f>
        <v>2022</v>
      </c>
      <c r="G6" s="576">
        <f>F6+1</f>
        <v>2023</v>
      </c>
      <c r="H6" s="576">
        <f t="shared" ref="H6:J6" si="0">G6+1</f>
        <v>2024</v>
      </c>
      <c r="I6" s="576">
        <f t="shared" si="0"/>
        <v>2025</v>
      </c>
      <c r="J6" s="576">
        <f t="shared" si="0"/>
        <v>2026</v>
      </c>
      <c r="M6" s="507"/>
    </row>
    <row r="7" spans="1:19" s="464" customFormat="1">
      <c r="E7" s="585"/>
      <c r="F7" s="575" t="str">
        <f>RIIO_2_start_date-1&amp;"/"&amp;RIGHT(RIIO_2_start_date,2)</f>
        <v>2021/22</v>
      </c>
      <c r="G7" s="575" t="str">
        <f>RIIO_2_start_date&amp;"/"&amp;RIGHT(RIIO_2_start_date+1,2)</f>
        <v>2022/23</v>
      </c>
      <c r="H7" s="575" t="str">
        <f>RIIO_2_start_date+1&amp;"/"&amp;RIGHT(RIIO_2_start_date+2,2)</f>
        <v>2023/24</v>
      </c>
      <c r="I7" s="575" t="str">
        <f>RIIO_2_start_date+2&amp;"/"&amp;RIGHT(RIIO_2_start_date+3,2)</f>
        <v>2024/25</v>
      </c>
      <c r="J7" s="681" t="str">
        <f>RIIO_2_start_date+3&amp;"/"&amp;RIGHT(RIIO_2_start_date+4,2)</f>
        <v>2025/26</v>
      </c>
      <c r="M7" s="507"/>
    </row>
    <row r="8" spans="1:19" s="464" customFormat="1">
      <c r="E8" s="585"/>
      <c r="F8" s="585"/>
      <c r="G8" s="585"/>
      <c r="H8" s="585"/>
      <c r="I8" s="585"/>
      <c r="J8" s="585"/>
      <c r="K8" s="585"/>
      <c r="L8" s="585"/>
      <c r="M8" s="585"/>
      <c r="N8" s="585"/>
      <c r="O8" s="585"/>
      <c r="P8" s="585"/>
      <c r="Q8" s="585"/>
      <c r="R8" s="585"/>
      <c r="S8" s="585"/>
    </row>
    <row r="9" spans="1:19" s="464" customFormat="1">
      <c r="B9" s="972" t="s">
        <v>785</v>
      </c>
      <c r="C9" s="972"/>
      <c r="D9" s="972"/>
      <c r="L9" s="585"/>
      <c r="M9" s="507"/>
    </row>
    <row r="10" spans="1:19" s="464" customFormat="1">
      <c r="L10" s="585"/>
    </row>
    <row r="11" spans="1:19" s="464" customFormat="1">
      <c r="B11" s="973"/>
      <c r="C11" s="973"/>
      <c r="D11" s="973"/>
      <c r="E11" s="973"/>
      <c r="F11" s="973"/>
      <c r="G11" s="973"/>
      <c r="H11" s="973"/>
      <c r="I11" s="973"/>
      <c r="J11" s="973"/>
      <c r="K11" s="973"/>
      <c r="L11" s="585"/>
      <c r="M11" s="507"/>
    </row>
    <row r="12" spans="1:19" s="464" customFormat="1">
      <c r="B12" s="166" t="s">
        <v>786</v>
      </c>
      <c r="C12" s="166"/>
      <c r="D12" s="166"/>
      <c r="E12" s="974" t="str">
        <f>Data!$C$9</f>
        <v>£m 18/19</v>
      </c>
      <c r="F12" s="975">
        <v>1765.4513213142177</v>
      </c>
      <c r="G12" s="975">
        <v>1775.2727696524973</v>
      </c>
      <c r="H12" s="975">
        <v>1783.6531451575797</v>
      </c>
      <c r="I12" s="975">
        <v>1786.9315066380102</v>
      </c>
      <c r="J12" s="975">
        <v>1785.8545999855062</v>
      </c>
      <c r="L12" s="585"/>
      <c r="M12" s="507"/>
    </row>
    <row r="13" spans="1:19" s="464" customFormat="1">
      <c r="L13" s="585"/>
      <c r="M13" s="507"/>
    </row>
    <row r="14" spans="1:19" s="464" customFormat="1">
      <c r="B14" s="973"/>
      <c r="C14" s="973"/>
      <c r="D14" s="973"/>
      <c r="E14" s="585"/>
      <c r="F14" s="585"/>
      <c r="G14" s="585"/>
      <c r="H14" s="585"/>
      <c r="I14" s="585"/>
      <c r="J14" s="585"/>
      <c r="L14" s="585"/>
      <c r="M14" s="507"/>
    </row>
    <row r="15" spans="1:19" s="464" customFormat="1" ht="13.7">
      <c r="B15" s="464" t="s">
        <v>787</v>
      </c>
      <c r="E15" s="974" t="str">
        <f>Data!$C$9</f>
        <v>£m 18/19</v>
      </c>
      <c r="F15" s="975">
        <v>1745.9138213074323</v>
      </c>
      <c r="G15" s="995">
        <f>F24</f>
        <v>1765.4513213142177</v>
      </c>
      <c r="H15" s="995">
        <f>G24</f>
        <v>1775.2727696524973</v>
      </c>
      <c r="I15" s="995">
        <f>H24</f>
        <v>1783.6531451575797</v>
      </c>
      <c r="J15" s="995">
        <f>I24</f>
        <v>1786.9315066380102</v>
      </c>
      <c r="L15" s="585"/>
      <c r="M15" s="507"/>
    </row>
    <row r="16" spans="1:19" s="464" customFormat="1">
      <c r="B16" s="464" t="s">
        <v>788</v>
      </c>
      <c r="E16" s="974" t="str">
        <f>Data!$C$9</f>
        <v>£m 18/19</v>
      </c>
      <c r="F16" s="976">
        <v>0</v>
      </c>
      <c r="G16" s="977">
        <v>0</v>
      </c>
      <c r="H16" s="977">
        <v>0</v>
      </c>
      <c r="I16" s="977">
        <v>0</v>
      </c>
      <c r="J16" s="977">
        <v>0</v>
      </c>
      <c r="L16" s="585"/>
      <c r="M16" s="507"/>
    </row>
    <row r="17" spans="1:14" s="464" customFormat="1">
      <c r="B17" s="600" t="s">
        <v>789</v>
      </c>
      <c r="C17" s="600"/>
      <c r="D17" s="600"/>
      <c r="E17" s="974" t="str">
        <f>Data!$C$9</f>
        <v>£m 18/19</v>
      </c>
      <c r="F17" s="996">
        <f>SUM(F15:F16)</f>
        <v>1745.9138213074323</v>
      </c>
      <c r="G17" s="997">
        <f t="shared" ref="G17:J17" si="1">SUM(G15:G16)</f>
        <v>1765.4513213142177</v>
      </c>
      <c r="H17" s="997">
        <f t="shared" si="1"/>
        <v>1775.2727696524973</v>
      </c>
      <c r="I17" s="997">
        <f t="shared" si="1"/>
        <v>1783.6531451575797</v>
      </c>
      <c r="J17" s="997">
        <f t="shared" si="1"/>
        <v>1786.9315066380102</v>
      </c>
      <c r="L17" s="585"/>
      <c r="M17" s="507"/>
    </row>
    <row r="18" spans="1:14" s="464" customFormat="1">
      <c r="B18" s="978" t="s">
        <v>790</v>
      </c>
      <c r="C18" s="978"/>
      <c r="D18" s="978"/>
      <c r="E18" s="974" t="str">
        <f>Data!$C$9</f>
        <v>£m 18/19</v>
      </c>
      <c r="F18" s="979">
        <v>110.84228717318003</v>
      </c>
      <c r="G18" s="979">
        <v>103.47608549911131</v>
      </c>
      <c r="H18" s="979">
        <v>103.95749902507968</v>
      </c>
      <c r="I18" s="979">
        <v>100.69892548825949</v>
      </c>
      <c r="J18" s="979">
        <v>97.944978704816307</v>
      </c>
      <c r="L18" s="585"/>
      <c r="M18" s="507"/>
    </row>
    <row r="19" spans="1:14" s="464" customFormat="1">
      <c r="B19" s="978" t="s">
        <v>791</v>
      </c>
      <c r="C19" s="978"/>
      <c r="D19" s="978"/>
      <c r="E19" s="974" t="str">
        <f>Data!$C$9</f>
        <v>£m 18/19</v>
      </c>
      <c r="F19" s="980">
        <v>0</v>
      </c>
      <c r="G19" s="981">
        <v>0</v>
      </c>
      <c r="H19" s="981">
        <v>0</v>
      </c>
      <c r="I19" s="981">
        <v>0</v>
      </c>
      <c r="J19" s="981">
        <v>0</v>
      </c>
      <c r="L19" s="585"/>
      <c r="M19" s="507"/>
    </row>
    <row r="20" spans="1:14" s="464" customFormat="1">
      <c r="B20" s="982" t="s">
        <v>792</v>
      </c>
      <c r="C20" s="982"/>
      <c r="D20" s="982"/>
      <c r="E20" s="974" t="str">
        <f>Data!$C$9</f>
        <v>£m 18/19</v>
      </c>
      <c r="F20" s="998">
        <f>SUM(F18:F19)</f>
        <v>110.84228717318003</v>
      </c>
      <c r="G20" s="998">
        <f t="shared" ref="G20:J20" si="2">SUM(G18:G19)</f>
        <v>103.47608549911131</v>
      </c>
      <c r="H20" s="998">
        <f t="shared" si="2"/>
        <v>103.95749902507968</v>
      </c>
      <c r="I20" s="998">
        <f t="shared" si="2"/>
        <v>100.69892548825949</v>
      </c>
      <c r="J20" s="998">
        <f t="shared" si="2"/>
        <v>97.944978704816307</v>
      </c>
      <c r="L20" s="585"/>
      <c r="M20" s="507"/>
    </row>
    <row r="21" spans="1:14" s="464" customFormat="1">
      <c r="B21" s="978" t="s">
        <v>793</v>
      </c>
      <c r="C21" s="978"/>
      <c r="D21" s="978"/>
      <c r="E21" s="974" t="str">
        <f>Data!$C$9</f>
        <v>£m 18/19</v>
      </c>
      <c r="F21" s="983">
        <v>-91.304787166394547</v>
      </c>
      <c r="G21" s="983">
        <v>-93.654637160831783</v>
      </c>
      <c r="H21" s="983">
        <v>-95.577123519997258</v>
      </c>
      <c r="I21" s="983">
        <v>-97.420564007828901</v>
      </c>
      <c r="J21" s="984">
        <v>-99.021885357320443</v>
      </c>
      <c r="L21" s="585"/>
      <c r="M21" s="507"/>
    </row>
    <row r="22" spans="1:14" s="464" customFormat="1">
      <c r="B22" s="978" t="s">
        <v>794</v>
      </c>
      <c r="C22" s="978"/>
      <c r="D22" s="978"/>
      <c r="E22" s="974" t="str">
        <f>Data!$C$9</f>
        <v>£m 18/19</v>
      </c>
      <c r="F22" s="985">
        <v>0</v>
      </c>
      <c r="G22" s="986">
        <v>0</v>
      </c>
      <c r="H22" s="986">
        <v>0</v>
      </c>
      <c r="I22" s="986">
        <v>0</v>
      </c>
      <c r="J22" s="986">
        <v>0</v>
      </c>
      <c r="L22" s="585"/>
      <c r="M22" s="507"/>
    </row>
    <row r="23" spans="1:14" s="464" customFormat="1">
      <c r="B23" s="514" t="s">
        <v>795</v>
      </c>
      <c r="C23" s="514"/>
      <c r="D23" s="514"/>
      <c r="E23" s="974" t="str">
        <f>Data!$C$9</f>
        <v>£m 18/19</v>
      </c>
      <c r="F23" s="999">
        <f>SUM(F21:F22)</f>
        <v>-91.304787166394547</v>
      </c>
      <c r="G23" s="999">
        <f t="shared" ref="G23:J23" si="3">SUM(G21:G22)</f>
        <v>-93.654637160831783</v>
      </c>
      <c r="H23" s="999">
        <f t="shared" si="3"/>
        <v>-95.577123519997258</v>
      </c>
      <c r="I23" s="999">
        <f t="shared" si="3"/>
        <v>-97.420564007828901</v>
      </c>
      <c r="J23" s="999">
        <f t="shared" si="3"/>
        <v>-99.021885357320443</v>
      </c>
      <c r="L23" s="585"/>
      <c r="M23" s="507"/>
    </row>
    <row r="24" spans="1:14" s="464" customFormat="1">
      <c r="B24" s="600" t="s">
        <v>796</v>
      </c>
      <c r="C24" s="600"/>
      <c r="D24" s="600"/>
      <c r="E24" s="974" t="str">
        <f>Data!$C$9</f>
        <v>£m 18/19</v>
      </c>
      <c r="F24" s="1000">
        <f>F17+F20+F23</f>
        <v>1765.4513213142177</v>
      </c>
      <c r="G24" s="1000">
        <f t="shared" ref="G24:J24" si="4">G17+G20+G23</f>
        <v>1775.2727696524973</v>
      </c>
      <c r="H24" s="1000">
        <f t="shared" si="4"/>
        <v>1783.6531451575797</v>
      </c>
      <c r="I24" s="1000">
        <f t="shared" si="4"/>
        <v>1786.9315066380102</v>
      </c>
      <c r="J24" s="1000">
        <f t="shared" si="4"/>
        <v>1785.8545999855062</v>
      </c>
      <c r="L24" s="585"/>
      <c r="M24" s="507"/>
    </row>
    <row r="25" spans="1:14" s="464" customFormat="1">
      <c r="B25" s="600"/>
      <c r="C25" s="600"/>
      <c r="D25" s="600"/>
      <c r="E25" s="974"/>
      <c r="F25" s="974"/>
      <c r="G25" s="974"/>
      <c r="H25" s="974"/>
      <c r="I25" s="974"/>
      <c r="J25" s="974"/>
      <c r="K25" s="974"/>
      <c r="L25" s="585"/>
      <c r="M25" s="974"/>
      <c r="N25" s="974"/>
    </row>
    <row r="26" spans="1:14" s="464" customFormat="1">
      <c r="B26" s="600" t="s">
        <v>797</v>
      </c>
      <c r="C26" s="974"/>
      <c r="D26" s="974"/>
      <c r="E26" s="987"/>
      <c r="F26" s="1000">
        <f>F19+F22</f>
        <v>0</v>
      </c>
      <c r="G26" s="1001">
        <f>G19+G22</f>
        <v>0</v>
      </c>
      <c r="H26" s="1001">
        <f t="shared" ref="H26:J26" si="5">H19+H22</f>
        <v>0</v>
      </c>
      <c r="I26" s="1001">
        <f t="shared" si="5"/>
        <v>0</v>
      </c>
      <c r="J26" s="1002">
        <f t="shared" si="5"/>
        <v>0</v>
      </c>
      <c r="K26" s="974"/>
      <c r="L26" s="585"/>
      <c r="M26" s="974"/>
      <c r="N26" s="974"/>
    </row>
    <row r="27" spans="1:14" s="464" customFormat="1">
      <c r="B27" s="600" t="s">
        <v>798</v>
      </c>
      <c r="C27" s="974"/>
      <c r="D27" s="974"/>
      <c r="E27" s="988"/>
      <c r="F27" s="1003" t="str">
        <f>IF(F5="Actuals",IF(ABS((F24-SUM($F26:F$26))-F12)&lt;0.1,"TRUE","FALSE"),"NA")</f>
        <v>TRUE</v>
      </c>
      <c r="G27" s="1004" t="str">
        <f>IF(G5="Actuals",IF(ABS((G24-SUM($F26:G$26))-G12)&lt;0.1,"TRUE","FALSE"),"NA")</f>
        <v>NA</v>
      </c>
      <c r="H27" s="1004" t="str">
        <f>IF(H5="Actuals",IF(ABS((H24-SUM($F26:H$26))-H12)&lt;0.1,"TRUE","FALSE"),"NA")</f>
        <v>NA</v>
      </c>
      <c r="I27" s="1004" t="str">
        <f>IF(I5="Actuals",IF(ABS((I24-SUM($F26:I$26))-I12)&lt;0.1,"TRUE","FALSE"),"NA")</f>
        <v>NA</v>
      </c>
      <c r="J27" s="1005" t="str">
        <f>IF(J5="Actuals",IF(ABS((J24-SUM($F26:J$26))-J12)&lt;0.1,"TRUE","FALSE"),"NA")</f>
        <v>NA</v>
      </c>
      <c r="K27" s="974"/>
      <c r="L27" s="585"/>
      <c r="N27" s="974"/>
    </row>
    <row r="28" spans="1:14" s="464" customFormat="1">
      <c r="B28" s="600"/>
      <c r="C28" s="600"/>
      <c r="D28" s="600"/>
      <c r="E28" s="974"/>
      <c r="F28" s="974"/>
      <c r="G28" s="974"/>
      <c r="H28" s="974"/>
      <c r="I28" s="974"/>
      <c r="J28" s="974"/>
      <c r="K28" s="974"/>
      <c r="L28" s="585"/>
      <c r="M28" s="974"/>
      <c r="N28" s="974"/>
    </row>
    <row r="29" spans="1:14" s="464" customFormat="1">
      <c r="B29" s="600"/>
      <c r="C29" s="600"/>
      <c r="D29" s="600"/>
      <c r="E29" s="974"/>
      <c r="F29" s="987"/>
      <c r="G29" s="974"/>
      <c r="H29" s="987"/>
      <c r="I29" s="987"/>
      <c r="J29" s="987"/>
      <c r="K29" s="974"/>
      <c r="L29" s="585"/>
      <c r="M29" s="974"/>
      <c r="N29" s="974"/>
    </row>
    <row r="30" spans="1:14" s="464" customFormat="1">
      <c r="A30" s="166"/>
      <c r="B30" s="464" t="s">
        <v>799</v>
      </c>
      <c r="E30" s="197" t="s">
        <v>800</v>
      </c>
      <c r="F30" s="1006">
        <f>INDEX(Data!C18:N18,MATCH(RIIO_2_start_date-1,Data!C16:N16,0))/IF(Sector="ED2",Data!$E$17,Data!$C$17)</f>
        <v>1.0533528227824487</v>
      </c>
      <c r="G30" s="974"/>
      <c r="H30" s="987"/>
      <c r="I30" s="987"/>
      <c r="J30" s="989"/>
      <c r="K30" s="990"/>
      <c r="L30" s="585"/>
      <c r="M30" s="974"/>
      <c r="N30" s="974"/>
    </row>
    <row r="31" spans="1:14" s="464" customFormat="1">
      <c r="B31" s="600"/>
      <c r="C31" s="600"/>
      <c r="D31" s="600"/>
      <c r="E31" s="974"/>
      <c r="F31" s="991"/>
      <c r="G31" s="991"/>
      <c r="H31" s="991"/>
      <c r="I31" s="991"/>
      <c r="J31" s="991"/>
      <c r="K31" s="974"/>
      <c r="L31" s="585"/>
      <c r="M31" s="974"/>
      <c r="N31" s="974"/>
    </row>
    <row r="32" spans="1:14" s="464" customFormat="1">
      <c r="B32" s="600" t="s">
        <v>796</v>
      </c>
      <c r="C32" s="600"/>
      <c r="D32" s="600"/>
      <c r="E32" s="30" t="s">
        <v>425</v>
      </c>
      <c r="F32" s="1007">
        <f>F24*Combined_real_to_nominal_prices_conversion_factor__financial_year_end</f>
        <v>1993.5776088201994</v>
      </c>
      <c r="G32" s="1007">
        <f>G24*Combined_real_to_nominal_prices_conversion_factor__financial_year_end</f>
        <v>2164.1076003586204</v>
      </c>
      <c r="H32" s="1007">
        <f>H24*Combined_real_to_nominal_prices_conversion_factor__financial_year_end</f>
        <v>2216.355278892212</v>
      </c>
      <c r="I32" s="1007">
        <f>I24*Combined_real_to_nominal_prices_conversion_factor__financial_year_end</f>
        <v>2226.4137876687432</v>
      </c>
      <c r="J32" s="1007">
        <f>J24*Combined_real_to_nominal_prices_conversion_factor__financial_year_end</f>
        <v>2233.9430045310628</v>
      </c>
      <c r="L32" s="585"/>
      <c r="M32" s="974"/>
      <c r="N32" s="974"/>
    </row>
    <row r="33" spans="1:14" s="464" customFormat="1">
      <c r="B33" s="600"/>
      <c r="C33" s="600"/>
      <c r="D33" s="600"/>
      <c r="E33" s="974"/>
      <c r="F33" s="974"/>
      <c r="G33" s="974"/>
      <c r="H33" s="974"/>
      <c r="I33" s="974"/>
      <c r="J33" s="974"/>
      <c r="K33" s="974"/>
      <c r="L33" s="585"/>
      <c r="M33" s="974"/>
      <c r="N33" s="974"/>
    </row>
    <row r="34" spans="1:14" s="464" customFormat="1">
      <c r="B34" s="507" t="s">
        <v>801</v>
      </c>
      <c r="C34" s="507"/>
      <c r="D34" s="507"/>
      <c r="E34" s="974" t="s">
        <v>802</v>
      </c>
      <c r="F34" s="1008">
        <f>INDEX(Data!$H$56:$P$84,MATCH('RFPR cover'!$C$7,Data!$B$56:$B$84,0),MATCH('R7 - RAV'!F$6,Data!$H$55:$P$55,0))</f>
        <v>2.0500000000000001E-2</v>
      </c>
      <c r="G34" s="1008">
        <f>INDEX(Data!$H$56:$P$84,MATCH('RFPR cover'!$C$7,Data!$B$56:$B$84,0),MATCH('R7 - RAV'!G$6,Data!$H$55:$P$55,0))</f>
        <v>1.9E-2</v>
      </c>
      <c r="H34" s="1008">
        <f>INDEX(Data!$H$56:$P$84,MATCH('RFPR cover'!$C$7,Data!$B$56:$B$84,0),MATCH('R7 - RAV'!H$6,Data!$H$55:$P$55,0))</f>
        <v>1.9199999999999998E-2</v>
      </c>
      <c r="I34" s="1008">
        <f>INDEX(Data!$H$56:$P$84,MATCH('RFPR cover'!$C$7,Data!$B$56:$B$84,0),MATCH('R7 - RAV'!I$6,Data!$H$55:$P$55,0))</f>
        <v>2.06E-2</v>
      </c>
      <c r="J34" s="1008">
        <f>INDEX(Data!$H$56:$P$84,MATCH('RFPR cover'!$C$7,Data!$B$56:$B$84,0),MATCH('R7 - RAV'!J$6,Data!$H$55:$P$55,0))</f>
        <v>2.1999999999999999E-2</v>
      </c>
      <c r="K34" s="974"/>
      <c r="L34" s="585"/>
      <c r="M34" s="974"/>
      <c r="N34" s="974"/>
    </row>
    <row r="35" spans="1:14" s="464" customFormat="1">
      <c r="B35" s="507" t="s">
        <v>803</v>
      </c>
      <c r="C35" s="507"/>
      <c r="D35" s="507"/>
      <c r="E35" s="974" t="s">
        <v>802</v>
      </c>
      <c r="F35" s="1009">
        <f>INDEX(Data!$O$56:$U$84,MATCH('RFPR cover'!$C$7,Data!$B$56:$B$84,0),MATCH('R7 - RAV'!F$6,Data!$O$55:$U$55,0))</f>
        <v>4.5181881000000007E-2</v>
      </c>
      <c r="G35" s="1009">
        <f>INDEX(Data!$O$56:$U$84,MATCH('RFPR cover'!$C$7,Data!$B$56:$B$84,0),MATCH('R7 - RAV'!G$6,Data!$O$55:$U$55,0))</f>
        <v>4.5568105000000005E-2</v>
      </c>
      <c r="H35" s="1009">
        <f>INDEX(Data!$O$56:$U$84,MATCH('RFPR cover'!$C$7,Data!$B$56:$B$84,0),MATCH('R7 - RAV'!H$6,Data!$O$55:$U$55,0))</f>
        <v>5.2833944000000001E-2</v>
      </c>
      <c r="I35" s="1009">
        <f>INDEX(Data!$O$56:$U$84,MATCH('RFPR cover'!$C$7,Data!$B$56:$B$84,0),MATCH('R7 - RAV'!I$6,Data!$O$55:$U$55,0))</f>
        <v>5.2351163999999999E-2</v>
      </c>
      <c r="J35" s="1009">
        <f>INDEX(Data!$O$56:$U$84,MATCH('RFPR cover'!$C$7,Data!$B$56:$B$84,0),MATCH('R7 - RAV'!J$6,Data!$O$55:$U$55,0))</f>
        <v>5.2520137000000001E-2</v>
      </c>
      <c r="K35" s="974"/>
      <c r="L35" s="585"/>
      <c r="M35" s="974"/>
      <c r="N35" s="974"/>
    </row>
    <row r="36" spans="1:14">
      <c r="A36" s="464"/>
      <c r="B36" s="507" t="s">
        <v>804</v>
      </c>
      <c r="C36" s="507"/>
      <c r="D36" s="507"/>
      <c r="E36" s="974" t="s">
        <v>389</v>
      </c>
      <c r="F36" s="1010">
        <f t="shared" ref="F36:J36" si="6">Notional_Gearing</f>
        <v>0.6</v>
      </c>
      <c r="G36" s="1010">
        <f t="shared" si="6"/>
        <v>0.6</v>
      </c>
      <c r="H36" s="1010">
        <f t="shared" si="6"/>
        <v>0.6</v>
      </c>
      <c r="I36" s="1010">
        <f t="shared" si="6"/>
        <v>0.6</v>
      </c>
      <c r="J36" s="1010">
        <f t="shared" si="6"/>
        <v>0.6</v>
      </c>
      <c r="K36" s="974"/>
      <c r="L36" s="585"/>
      <c r="M36" s="974"/>
      <c r="N36" s="974"/>
    </row>
    <row r="37" spans="1:14">
      <c r="B37" s="166" t="s">
        <v>805</v>
      </c>
      <c r="E37" s="974" t="s">
        <v>802</v>
      </c>
      <c r="F37" s="1011">
        <f t="shared" ref="F37:J37" si="7">F34*F36+F35*(1-F36)</f>
        <v>3.0372752400000001E-2</v>
      </c>
      <c r="G37" s="1012">
        <f t="shared" si="7"/>
        <v>2.9627241999999998E-2</v>
      </c>
      <c r="H37" s="1012">
        <f t="shared" si="7"/>
        <v>3.2653577599999997E-2</v>
      </c>
      <c r="I37" s="1012">
        <f t="shared" si="7"/>
        <v>3.3300465599999995E-2</v>
      </c>
      <c r="J37" s="1012">
        <f t="shared" si="7"/>
        <v>3.4208054799999998E-2</v>
      </c>
      <c r="K37" s="974"/>
      <c r="L37" s="585"/>
      <c r="M37" s="974"/>
      <c r="N37" s="974"/>
    </row>
    <row r="38" spans="1:14" s="464" customFormat="1">
      <c r="A38" s="166"/>
      <c r="B38" s="166"/>
      <c r="C38" s="166"/>
      <c r="D38" s="166"/>
      <c r="E38" s="992"/>
      <c r="F38" s="993"/>
      <c r="G38" s="993"/>
      <c r="H38" s="993"/>
      <c r="I38" s="993"/>
      <c r="J38" s="993"/>
      <c r="K38" s="974"/>
      <c r="L38" s="585"/>
      <c r="M38" s="974"/>
      <c r="N38" s="974"/>
    </row>
    <row r="39" spans="1:14" s="464" customFormat="1">
      <c r="A39" s="166"/>
      <c r="B39" s="123" t="s">
        <v>806</v>
      </c>
      <c r="C39" s="123"/>
      <c r="D39" s="123"/>
      <c r="E39" s="974" t="str">
        <f>Data!$C$9</f>
        <v>£m 18/19</v>
      </c>
      <c r="F39" s="19">
        <f>F41*F36</f>
        <v>1037.7972464408381</v>
      </c>
      <c r="G39" s="20">
        <f t="shared" ref="G39:J39" si="8">G41*G36</f>
        <v>1046.8923309147965</v>
      </c>
      <c r="H39" s="20">
        <f t="shared" si="8"/>
        <v>1050.7574854951313</v>
      </c>
      <c r="I39" s="20">
        <f t="shared" si="8"/>
        <v>1053.8990118107934</v>
      </c>
      <c r="J39" s="20">
        <f t="shared" si="8"/>
        <v>1054.1148487465161</v>
      </c>
      <c r="K39" s="974"/>
      <c r="L39" s="585"/>
      <c r="M39" s="974"/>
      <c r="N39" s="974"/>
    </row>
    <row r="40" spans="1:14" s="464" customFormat="1">
      <c r="A40" s="166"/>
      <c r="B40" s="123" t="s">
        <v>807</v>
      </c>
      <c r="C40" s="123"/>
      <c r="D40" s="123"/>
      <c r="E40" s="974" t="str">
        <f>Data!$C$9</f>
        <v>£m 18/19</v>
      </c>
      <c r="F40" s="109">
        <f>F41*(1-F36)</f>
        <v>691.86483096055883</v>
      </c>
      <c r="G40" s="110">
        <f t="shared" ref="G40:J40" si="9">G41*(1-G36)</f>
        <v>697.92822060986441</v>
      </c>
      <c r="H40" s="110">
        <f t="shared" si="9"/>
        <v>700.50499033008759</v>
      </c>
      <c r="I40" s="110">
        <f t="shared" si="9"/>
        <v>702.59934120719561</v>
      </c>
      <c r="J40" s="110">
        <f t="shared" si="9"/>
        <v>702.74323249767758</v>
      </c>
      <c r="K40" s="974"/>
      <c r="L40" s="585"/>
      <c r="M40" s="974"/>
      <c r="N40" s="974"/>
    </row>
    <row r="41" spans="1:14" s="464" customFormat="1">
      <c r="A41" s="166"/>
      <c r="B41" s="166" t="s">
        <v>808</v>
      </c>
      <c r="C41" s="166"/>
      <c r="D41" s="166"/>
      <c r="E41" s="974" t="str">
        <f>Data!$C$9</f>
        <v>£m 18/19</v>
      </c>
      <c r="F41" s="22">
        <f>AVERAGE(F17,F24*(1/(1+F37)))</f>
        <v>1729.662077401397</v>
      </c>
      <c r="G41" s="22">
        <f t="shared" ref="G41:J41" si="10">AVERAGE(G17,G24*(1/(1+G37)))</f>
        <v>1744.8205515246609</v>
      </c>
      <c r="H41" s="22">
        <f t="shared" si="10"/>
        <v>1751.2624758252189</v>
      </c>
      <c r="I41" s="22">
        <f t="shared" si="10"/>
        <v>1756.4983530179888</v>
      </c>
      <c r="J41" s="22">
        <f t="shared" si="10"/>
        <v>1756.8580812441937</v>
      </c>
      <c r="K41" s="974"/>
      <c r="L41" s="585"/>
      <c r="M41" s="974"/>
      <c r="N41" s="974"/>
    </row>
    <row r="42" spans="1:14" s="464" customFormat="1">
      <c r="A42" s="166"/>
      <c r="B42" s="166"/>
      <c r="C42" s="166"/>
      <c r="D42" s="166"/>
      <c r="E42" s="974"/>
      <c r="F42" s="974"/>
      <c r="G42" s="974"/>
      <c r="H42" s="974"/>
      <c r="I42" s="974"/>
      <c r="J42" s="974"/>
      <c r="K42" s="974"/>
      <c r="L42" s="585"/>
      <c r="M42" s="974"/>
      <c r="N42" s="974"/>
    </row>
    <row r="43" spans="1:14" s="464" customFormat="1">
      <c r="A43" s="166"/>
      <c r="B43" s="123" t="s">
        <v>809</v>
      </c>
      <c r="C43" s="123"/>
      <c r="D43" s="123"/>
      <c r="E43" s="974" t="str">
        <f>Data!$C$9</f>
        <v>£m 18/19</v>
      </c>
      <c r="F43" s="218">
        <f>F34*F39</f>
        <v>21.274843552037183</v>
      </c>
      <c r="G43" s="219">
        <f t="shared" ref="G43:J44" si="11">G34*G39</f>
        <v>19.890954287381135</v>
      </c>
      <c r="H43" s="219">
        <f t="shared" si="11"/>
        <v>20.17454372150652</v>
      </c>
      <c r="I43" s="219">
        <f t="shared" si="11"/>
        <v>21.710319643302345</v>
      </c>
      <c r="J43" s="219">
        <f t="shared" si="11"/>
        <v>23.190526672423353</v>
      </c>
      <c r="K43" s="974"/>
      <c r="L43" s="585"/>
      <c r="M43" s="974"/>
      <c r="N43" s="974"/>
    </row>
    <row r="44" spans="1:14">
      <c r="B44" s="123" t="s">
        <v>810</v>
      </c>
      <c r="C44" s="123"/>
      <c r="D44" s="123"/>
      <c r="E44" s="974" t="str">
        <f>Data!$C$9</f>
        <v>£m 18/19</v>
      </c>
      <c r="F44" s="16">
        <f>F35*F40</f>
        <v>31.259754460545089</v>
      </c>
      <c r="G44" s="17">
        <f t="shared" si="11"/>
        <v>31.80326643921347</v>
      </c>
      <c r="H44" s="17">
        <f t="shared" si="11"/>
        <v>37.010441430820393</v>
      </c>
      <c r="I44" s="17">
        <f t="shared" si="11"/>
        <v>36.781893337829857</v>
      </c>
      <c r="J44" s="17">
        <f t="shared" si="11"/>
        <v>36.908170846600882</v>
      </c>
      <c r="K44" s="974"/>
      <c r="L44" s="585"/>
      <c r="M44" s="974"/>
      <c r="N44" s="974"/>
    </row>
    <row r="45" spans="1:14">
      <c r="B45" s="166" t="s">
        <v>811</v>
      </c>
      <c r="E45" s="974" t="str">
        <f>Data!$C$9</f>
        <v>£m 18/19</v>
      </c>
      <c r="F45" s="22">
        <f>SUM(F43:F44)</f>
        <v>52.534598012582272</v>
      </c>
      <c r="G45" s="23">
        <f t="shared" ref="G45:J45" si="12">SUM(G43:G44)</f>
        <v>51.694220726594608</v>
      </c>
      <c r="H45" s="23">
        <f t="shared" si="12"/>
        <v>57.184985152326917</v>
      </c>
      <c r="I45" s="23">
        <f t="shared" si="12"/>
        <v>58.492212981132198</v>
      </c>
      <c r="J45" s="23">
        <f t="shared" si="12"/>
        <v>60.098697519024235</v>
      </c>
      <c r="K45" s="974"/>
      <c r="L45" s="585"/>
      <c r="M45" s="974"/>
      <c r="N45" s="974"/>
    </row>
    <row r="46" spans="1:14">
      <c r="K46" s="974"/>
      <c r="L46" s="585"/>
      <c r="M46" s="974"/>
      <c r="N46" s="974"/>
    </row>
    <row r="47" spans="1:14">
      <c r="B47" s="123"/>
      <c r="C47" s="123"/>
      <c r="D47" s="123"/>
      <c r="E47" s="30"/>
      <c r="F47" s="692"/>
      <c r="G47" s="692"/>
      <c r="H47" s="692"/>
      <c r="I47" s="692"/>
      <c r="J47" s="692"/>
      <c r="K47" s="974"/>
      <c r="L47" s="585"/>
      <c r="M47" s="974"/>
      <c r="N47" s="974"/>
    </row>
    <row r="48" spans="1:14">
      <c r="B48" s="123"/>
      <c r="C48" s="123"/>
      <c r="D48" s="123"/>
      <c r="E48" s="30"/>
      <c r="F48" s="692"/>
      <c r="G48" s="692"/>
      <c r="H48" s="692"/>
      <c r="I48" s="692"/>
      <c r="J48" s="692"/>
      <c r="K48" s="974"/>
      <c r="L48" s="585"/>
      <c r="M48" s="974"/>
      <c r="N48" s="974"/>
    </row>
    <row r="49" spans="2:14">
      <c r="E49" s="30"/>
      <c r="F49" s="994"/>
      <c r="G49" s="994"/>
      <c r="H49" s="994"/>
      <c r="I49" s="994"/>
      <c r="J49" s="994"/>
      <c r="K49" s="974"/>
      <c r="L49" s="585"/>
      <c r="M49" s="974"/>
      <c r="N49" s="974"/>
    </row>
    <row r="50" spans="2:14">
      <c r="E50" s="974"/>
      <c r="F50" s="974"/>
      <c r="G50" s="974"/>
      <c r="H50" s="974"/>
      <c r="I50" s="974"/>
      <c r="J50" s="974"/>
      <c r="K50" s="974"/>
      <c r="L50" s="585"/>
      <c r="M50" s="974"/>
      <c r="N50" s="974"/>
    </row>
    <row r="54" spans="2:14">
      <c r="E54" s="166"/>
      <c r="M54" s="166"/>
    </row>
    <row r="55" spans="2:14">
      <c r="E55" s="166"/>
      <c r="M55" s="166"/>
    </row>
    <row r="56" spans="2:14">
      <c r="B56" s="123"/>
      <c r="C56" s="123"/>
      <c r="D56" s="123"/>
      <c r="E56" s="30"/>
      <c r="F56" s="692"/>
      <c r="G56" s="692"/>
      <c r="H56" s="692"/>
      <c r="I56" s="692"/>
      <c r="J56" s="692"/>
      <c r="K56" s="547"/>
    </row>
    <row r="57" spans="2:14">
      <c r="B57" s="123"/>
      <c r="C57" s="123"/>
      <c r="D57" s="123"/>
      <c r="E57" s="30"/>
      <c r="F57" s="994"/>
      <c r="G57" s="994"/>
      <c r="H57" s="994"/>
      <c r="I57" s="994"/>
      <c r="J57" s="994"/>
    </row>
    <row r="58" spans="2:14">
      <c r="E58" s="30"/>
      <c r="F58" s="692"/>
      <c r="G58" s="692"/>
      <c r="H58" s="692"/>
      <c r="I58" s="692"/>
      <c r="J58" s="692"/>
    </row>
    <row r="59" spans="2:14">
      <c r="B59" s="547"/>
      <c r="C59" s="547"/>
      <c r="D59" s="547"/>
      <c r="E59" s="42"/>
      <c r="F59" s="42"/>
      <c r="G59" s="42"/>
      <c r="H59" s="42"/>
      <c r="I59" s="42"/>
      <c r="J59" s="42"/>
    </row>
    <row r="60" spans="2:14">
      <c r="B60" s="547"/>
      <c r="C60" s="547"/>
      <c r="D60" s="547"/>
      <c r="E60" s="42"/>
      <c r="F60" s="42"/>
      <c r="G60" s="42"/>
      <c r="H60" s="42"/>
      <c r="I60" s="42"/>
      <c r="J60" s="42"/>
    </row>
    <row r="61" spans="2:14">
      <c r="B61" s="547"/>
      <c r="C61" s="547"/>
      <c r="D61" s="547"/>
      <c r="E61" s="42"/>
      <c r="F61" s="42"/>
      <c r="G61" s="42"/>
      <c r="H61" s="42"/>
      <c r="I61" s="42"/>
      <c r="J61" s="42"/>
    </row>
    <row r="64" spans="2:14">
      <c r="B64" s="547"/>
      <c r="C64" s="547"/>
      <c r="D64" s="547"/>
      <c r="E64" s="42"/>
      <c r="F64" s="42"/>
      <c r="G64" s="42"/>
      <c r="H64" s="42"/>
      <c r="I64" s="42"/>
      <c r="J64" s="42"/>
    </row>
  </sheetData>
  <sheetProtection algorithmName="SHA-512" hashValue="J0Hqyv/lvRzZMWBALD3xfWx9dj8BIvnd0jaf4zAVvS+x/F92c1FdvBWPWlpJ35tvP3JLP4midDCprB67PusihA==" saltValue="C1ledUhcrswZmrsuPUf5+Q==" spinCount="100000" sheet="1" objects="1" scenarios="1" insertRows="0" sort="0" autoFilter="0" pivotTables="0"/>
  <conditionalFormatting sqref="F5:J5 F6:I6">
    <cfRule type="expression" dxfId="23" priority="15">
      <formula>AND(F$5="Actuals",G$5="Forecast")</formula>
    </cfRule>
  </conditionalFormatting>
  <conditionalFormatting sqref="F7:J7">
    <cfRule type="expression" dxfId="22" priority="1">
      <formula>AND(F$5="Actuals",G$5="Forecast")</formula>
    </cfRule>
  </conditionalFormatting>
  <conditionalFormatting sqref="J6">
    <cfRule type="expression" dxfId="21"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zoomScale="85" zoomScaleNormal="85" workbookViewId="0">
      <selection activeCell="B28" sqref="B28"/>
    </sheetView>
  </sheetViews>
  <sheetFormatPr defaultColWidth="9" defaultRowHeight="12.35"/>
  <cols>
    <col min="1" max="1" width="8.3671875" style="166" customWidth="1"/>
    <col min="2" max="2" width="54.734375" style="166" customWidth="1"/>
    <col min="3" max="3" width="1.734375" style="166" customWidth="1"/>
    <col min="4" max="4" width="14.1015625" style="166" customWidth="1"/>
    <col min="5" max="9" width="11.1015625" style="166" customWidth="1"/>
    <col min="10" max="10" width="7.734375" style="166" customWidth="1"/>
    <col min="11" max="16384" width="9" style="166"/>
  </cols>
  <sheetData>
    <row r="1" spans="1:20" ht="20.350000000000001">
      <c r="A1" s="449" t="s">
        <v>259</v>
      </c>
      <c r="B1" s="451"/>
      <c r="C1" s="451"/>
      <c r="D1" s="452"/>
      <c r="E1" s="452"/>
      <c r="F1" s="452"/>
      <c r="G1" s="452"/>
      <c r="H1" s="452"/>
      <c r="I1" s="452"/>
      <c r="J1" s="574"/>
    </row>
    <row r="2" spans="1:20" ht="20.350000000000001">
      <c r="A2" s="454" t="str">
        <f>Licensee</f>
        <v>Cadent-WM</v>
      </c>
      <c r="B2" s="457"/>
      <c r="C2" s="457"/>
      <c r="D2" s="457"/>
      <c r="E2" s="457"/>
      <c r="F2" s="457"/>
      <c r="G2" s="457"/>
      <c r="H2" s="457"/>
      <c r="I2" s="457"/>
      <c r="J2" s="459"/>
    </row>
    <row r="3" spans="1:20" ht="20.350000000000001">
      <c r="A3" s="456">
        <f>Reporting_Year</f>
        <v>2023</v>
      </c>
      <c r="B3" s="460"/>
      <c r="C3" s="460"/>
      <c r="D3" s="460"/>
      <c r="E3" s="1013"/>
      <c r="F3" s="1013"/>
      <c r="G3" s="1013"/>
      <c r="H3" s="1013"/>
      <c r="I3" s="1013"/>
      <c r="J3" s="462"/>
    </row>
    <row r="4" spans="1:20" ht="12.75" customHeight="1">
      <c r="A4" s="1014"/>
      <c r="B4" s="1015"/>
      <c r="C4" s="1015"/>
      <c r="D4" s="1014"/>
      <c r="E4" s="1014"/>
      <c r="F4" s="1014"/>
      <c r="G4" s="1014"/>
      <c r="H4" s="1014"/>
      <c r="I4" s="1014"/>
      <c r="J4" s="1014"/>
      <c r="K4" s="1015"/>
    </row>
    <row r="5" spans="1:20" s="464" customFormat="1">
      <c r="B5" s="598"/>
      <c r="C5" s="598"/>
      <c r="D5" s="598"/>
      <c r="E5" s="463" t="str">
        <f>IF(E6+1&lt;=Reporting_Year,"Actuals","Forecast")</f>
        <v>Actuals</v>
      </c>
      <c r="F5" s="463" t="str">
        <f>IF(F6+1&lt;=Reporting_Year,"Actuals","Forecast")</f>
        <v>Forecast</v>
      </c>
      <c r="G5" s="463" t="str">
        <f>IF(G6+1&lt;=Reporting_Year,"Actuals","Forecast")</f>
        <v>Forecast</v>
      </c>
      <c r="H5" s="463" t="str">
        <f>IF(H6+1&lt;=Reporting_Year,"Actuals","Forecast")</f>
        <v>Forecast</v>
      </c>
      <c r="I5" s="463" t="str">
        <f>IF(I6+1&lt;=Reporting_Year,"Actuals","Forecast")</f>
        <v>Forecast</v>
      </c>
    </row>
    <row r="6" spans="1:20" s="464" customFormat="1">
      <c r="E6" s="575">
        <f>'RFPR cover'!$C$6</f>
        <v>2022</v>
      </c>
      <c r="F6" s="576">
        <f>E6+1</f>
        <v>2023</v>
      </c>
      <c r="G6" s="576">
        <f t="shared" ref="G6:I6" si="0">F6+1</f>
        <v>2024</v>
      </c>
      <c r="H6" s="576">
        <f t="shared" si="0"/>
        <v>2025</v>
      </c>
      <c r="I6" s="576">
        <f t="shared" si="0"/>
        <v>2026</v>
      </c>
    </row>
    <row r="7" spans="1:20" s="464" customFormat="1">
      <c r="E7" s="575" t="str">
        <f>RIIO_2_start_date-1&amp;"/"&amp;RIGHT(RIIO_2_start_date,2)</f>
        <v>2021/22</v>
      </c>
      <c r="F7" s="575" t="str">
        <f>RIIO_2_start_date&amp;"/"&amp;RIGHT(RIIO_2_start_date+1,2)</f>
        <v>2022/23</v>
      </c>
      <c r="G7" s="575" t="str">
        <f>RIIO_2_start_date+1&amp;"/"&amp;RIGHT(RIIO_2_start_date+2,2)</f>
        <v>2023/24</v>
      </c>
      <c r="H7" s="575" t="str">
        <f>RIIO_2_start_date+2&amp;"/"&amp;RIGHT(RIIO_2_start_date+3,2)</f>
        <v>2024/25</v>
      </c>
      <c r="I7" s="681" t="str">
        <f>RIIO_2_start_date+3&amp;"/"&amp;RIGHT(RIIO_2_start_date+4,2)</f>
        <v>2025/26</v>
      </c>
    </row>
    <row r="8" spans="1:20" s="464" customFormat="1">
      <c r="B8" s="1016" t="s">
        <v>812</v>
      </c>
      <c r="C8" s="700"/>
      <c r="D8" s="701"/>
      <c r="E8" s="701"/>
      <c r="F8" s="701"/>
      <c r="G8" s="701"/>
      <c r="H8" s="701"/>
      <c r="I8" s="701"/>
    </row>
    <row r="9" spans="1:20" s="464" customFormat="1" ht="34.5" customHeight="1">
      <c r="B9" s="1310" t="s">
        <v>813</v>
      </c>
      <c r="C9" s="1310"/>
      <c r="D9" s="1310"/>
      <c r="E9" s="1310"/>
      <c r="F9" s="1310"/>
      <c r="G9" s="1310"/>
      <c r="H9" s="1310"/>
      <c r="I9" s="1310"/>
    </row>
    <row r="10" spans="1:20" s="464" customFormat="1">
      <c r="B10" s="973"/>
      <c r="C10" s="973"/>
    </row>
    <row r="11" spans="1:20" s="464" customFormat="1" ht="34.5" customHeight="1">
      <c r="B11" s="1017" t="s">
        <v>814</v>
      </c>
      <c r="C11" s="547"/>
      <c r="D11" s="30" t="s">
        <v>425</v>
      </c>
      <c r="E11" s="1018">
        <v>84.211230000000043</v>
      </c>
      <c r="F11" s="1018"/>
      <c r="G11" s="1018"/>
      <c r="H11" s="1018"/>
      <c r="I11" s="1018"/>
      <c r="J11" s="166" t="s">
        <v>815</v>
      </c>
    </row>
    <row r="12" spans="1:20" s="464" customFormat="1">
      <c r="B12" s="547"/>
      <c r="C12" s="547"/>
      <c r="D12" s="547"/>
      <c r="E12" s="547"/>
      <c r="F12" s="547"/>
      <c r="G12" s="547"/>
      <c r="H12" s="547"/>
      <c r="I12" s="547"/>
      <c r="J12" s="547"/>
      <c r="K12" s="547"/>
      <c r="L12" s="547"/>
      <c r="M12" s="547"/>
      <c r="N12" s="547"/>
      <c r="O12" s="547"/>
      <c r="P12" s="547"/>
      <c r="Q12" s="547"/>
      <c r="R12" s="547"/>
      <c r="S12" s="547"/>
      <c r="T12" s="547"/>
    </row>
    <row r="13" spans="1:20" s="464" customFormat="1">
      <c r="B13" s="547"/>
      <c r="C13" s="547"/>
      <c r="D13" s="547"/>
      <c r="E13" s="547"/>
      <c r="F13" s="547"/>
      <c r="G13" s="547"/>
      <c r="H13" s="547"/>
      <c r="I13" s="547"/>
      <c r="J13" s="547"/>
      <c r="K13" s="547"/>
      <c r="L13" s="547"/>
      <c r="M13" s="547"/>
      <c r="N13" s="547"/>
      <c r="O13" s="547"/>
      <c r="P13" s="547"/>
      <c r="Q13" s="547"/>
      <c r="R13" s="547"/>
      <c r="S13" s="547"/>
      <c r="T13" s="547"/>
    </row>
    <row r="14" spans="1:20" s="464" customFormat="1">
      <c r="B14" s="1019"/>
      <c r="C14" s="547"/>
      <c r="D14" s="30"/>
      <c r="E14" s="1020"/>
      <c r="F14" s="1020"/>
      <c r="G14" s="1020"/>
      <c r="H14" s="1020"/>
      <c r="I14" s="1020"/>
      <c r="J14" s="166"/>
    </row>
    <row r="15" spans="1:20">
      <c r="B15" s="547" t="s">
        <v>816</v>
      </c>
      <c r="C15" s="547"/>
      <c r="D15" s="30"/>
      <c r="E15" s="30"/>
      <c r="F15" s="30"/>
      <c r="G15" s="30"/>
      <c r="H15" s="30"/>
      <c r="I15" s="30"/>
      <c r="M15" s="464"/>
      <c r="N15" s="464"/>
    </row>
    <row r="16" spans="1:20">
      <c r="B16" s="685" t="s">
        <v>817</v>
      </c>
      <c r="C16" s="685"/>
      <c r="D16" s="30" t="s">
        <v>425</v>
      </c>
      <c r="E16" s="1018">
        <v>0</v>
      </c>
      <c r="F16" s="1018"/>
      <c r="G16" s="1018"/>
      <c r="H16" s="1018"/>
      <c r="I16" s="1018"/>
      <c r="M16" s="464"/>
      <c r="N16" s="464"/>
    </row>
    <row r="17" spans="2:38">
      <c r="B17" s="685" t="s">
        <v>818</v>
      </c>
      <c r="C17" s="685"/>
      <c r="D17" s="30" t="s">
        <v>425</v>
      </c>
      <c r="E17" s="1018">
        <v>0.40749165860000003</v>
      </c>
      <c r="F17" s="1018"/>
      <c r="G17" s="1018"/>
      <c r="H17" s="1018"/>
      <c r="I17" s="1018"/>
      <c r="M17" s="464"/>
      <c r="N17" s="464"/>
    </row>
    <row r="18" spans="2:38">
      <c r="B18" s="685" t="s">
        <v>819</v>
      </c>
      <c r="C18" s="685"/>
      <c r="D18" s="30" t="s">
        <v>425</v>
      </c>
      <c r="E18" s="1018">
        <v>1.1500284299000001</v>
      </c>
      <c r="F18" s="1018"/>
      <c r="G18" s="1018"/>
      <c r="H18" s="1018"/>
      <c r="I18" s="1018"/>
      <c r="M18" s="464"/>
      <c r="N18" s="464"/>
    </row>
    <row r="19" spans="2:38">
      <c r="B19" s="685" t="s">
        <v>820</v>
      </c>
      <c r="C19" s="685"/>
      <c r="D19" s="30" t="s">
        <v>425</v>
      </c>
      <c r="E19" s="1018">
        <v>-2.2536064464000001</v>
      </c>
      <c r="F19" s="1018"/>
      <c r="G19" s="1018"/>
      <c r="H19" s="1018"/>
      <c r="I19" s="1018"/>
      <c r="M19" s="464"/>
      <c r="N19" s="464"/>
    </row>
    <row r="20" spans="2:38">
      <c r="B20" s="1021" t="s">
        <v>821</v>
      </c>
      <c r="C20" s="1021"/>
      <c r="D20" s="30" t="s">
        <v>425</v>
      </c>
      <c r="E20" s="673">
        <f>SUM(E16:E19)</f>
        <v>-0.69608635790000006</v>
      </c>
      <c r="F20" s="630">
        <f t="shared" ref="F20:I20" si="1">SUM(F16:F19)</f>
        <v>0</v>
      </c>
      <c r="G20" s="630">
        <f t="shared" si="1"/>
        <v>0</v>
      </c>
      <c r="H20" s="630">
        <f t="shared" si="1"/>
        <v>0</v>
      </c>
      <c r="I20" s="630">
        <f t="shared" si="1"/>
        <v>0</v>
      </c>
      <c r="M20" s="464"/>
      <c r="N20" s="464"/>
    </row>
    <row r="21" spans="2:38">
      <c r="B21" s="685"/>
      <c r="C21" s="685"/>
      <c r="D21" s="685"/>
      <c r="E21" s="1022"/>
      <c r="F21" s="1022"/>
      <c r="G21" s="1022"/>
      <c r="H21" s="1022"/>
      <c r="I21" s="1022"/>
    </row>
    <row r="22" spans="2:38">
      <c r="B22" s="547" t="s">
        <v>625</v>
      </c>
      <c r="C22" s="547"/>
      <c r="D22" s="30"/>
      <c r="E22" s="30"/>
      <c r="F22" s="341"/>
      <c r="G22" s="341"/>
      <c r="H22" s="341"/>
      <c r="I22" s="341"/>
      <c r="K22" s="685"/>
      <c r="L22" s="685"/>
      <c r="M22" s="685"/>
      <c r="N22" s="685"/>
      <c r="O22" s="685"/>
      <c r="P22" s="685"/>
      <c r="Q22" s="685"/>
      <c r="R22" s="685"/>
      <c r="S22" s="685"/>
      <c r="T22" s="685"/>
      <c r="U22" s="685"/>
      <c r="V22" s="685"/>
      <c r="W22" s="685"/>
      <c r="X22" s="685"/>
      <c r="Y22" s="685"/>
      <c r="Z22" s="685"/>
      <c r="AA22" s="685"/>
      <c r="AB22" s="685"/>
      <c r="AC22" s="685"/>
      <c r="AD22" s="685"/>
      <c r="AE22" s="685"/>
      <c r="AF22" s="685"/>
      <c r="AG22" s="685"/>
      <c r="AH22" s="685"/>
      <c r="AI22" s="685"/>
      <c r="AJ22" s="685"/>
      <c r="AK22" s="685"/>
      <c r="AL22" s="685"/>
    </row>
    <row r="23" spans="2:38">
      <c r="B23" s="685" t="s">
        <v>822</v>
      </c>
      <c r="C23" s="1023"/>
      <c r="D23" s="30" t="s">
        <v>425</v>
      </c>
      <c r="E23" s="1028">
        <f>IF(E5="Actuals",('R4 - Incentives and Other Rev'!D67+'R4 - Incentives and Other Rev'!D41+'R4 - Incentives and Other Rev'!D48+'R4 - Incentives and Other Rev'!D55)/(1-INDEX(Corporate_Tax,MATCH(E$6,Data!$C$16:$N$16,0)))*INDEX(Corporate_Tax,MATCH(E$6,Data!$C$16:$N$16,0)),0)*E38</f>
        <v>2.2326842501010406E-2</v>
      </c>
      <c r="F23" s="1028">
        <f>IF(F5="Actuals",('R4 - Incentives and Other Rev'!E67+'R4 - Incentives and Other Rev'!E41+'R4 - Incentives and Other Rev'!E48+'R4 - Incentives and Other Rev'!E55)/(1-INDEX(Corporate_Tax,MATCH(F$6,Data!$C$16:$N$16,0)))*INDEX(Corporate_Tax,MATCH(F$6,Data!$C$16:$N$16,0)),0)*F38</f>
        <v>0</v>
      </c>
      <c r="G23" s="1028">
        <f>IF(G5="Actuals",('R4 - Incentives and Other Rev'!F67+'R4 - Incentives and Other Rev'!F41+'R4 - Incentives and Other Rev'!F48+'R4 - Incentives and Other Rev'!F55)/(1-INDEX(Corporate_Tax,MATCH(G$6,Data!$C$16:$N$16,0)))*INDEX(Corporate_Tax,MATCH(G$6,Data!$C$16:$N$16,0)),0)*G38</f>
        <v>0</v>
      </c>
      <c r="H23" s="1028">
        <f>IF(H5="Actuals",('R4 - Incentives and Other Rev'!G67+'R4 - Incentives and Other Rev'!G41+'R4 - Incentives and Other Rev'!G48+'R4 - Incentives and Other Rev'!G55)/(1-INDEX(Corporate_Tax,MATCH(H$6,Data!$C$16:$N$16,0)))*INDEX(Corporate_Tax,MATCH(H$6,Data!$C$16:$N$16,0)),0)*H38</f>
        <v>0</v>
      </c>
      <c r="I23" s="1028">
        <f>IF(I5="Actuals",('R4 - Incentives and Other Rev'!H67+'R4 - Incentives and Other Rev'!H41+'R4 - Incentives and Other Rev'!H48+'R4 - Incentives and Other Rev'!H55)/(1-INDEX(Corporate_Tax,MATCH(I$6,Data!$C$16:$N$16,0)))*INDEX(Corporate_Tax,MATCH(I$6,Data!$C$16:$N$16,0)),0)*I38</f>
        <v>0</v>
      </c>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5"/>
      <c r="AL23" s="685"/>
    </row>
    <row r="24" spans="2:38">
      <c r="B24" s="685" t="s">
        <v>823</v>
      </c>
      <c r="C24" s="685"/>
      <c r="D24" s="30" t="s">
        <v>425</v>
      </c>
      <c r="E24" s="1018">
        <v>-13.98835869188748</v>
      </c>
      <c r="F24" s="1018"/>
      <c r="G24" s="1018"/>
      <c r="H24" s="1018"/>
      <c r="I24" s="1018"/>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685"/>
      <c r="AK24" s="685"/>
      <c r="AL24" s="685"/>
    </row>
    <row r="25" spans="2:38">
      <c r="B25" s="685" t="s">
        <v>824</v>
      </c>
      <c r="C25" s="685"/>
      <c r="D25" s="30" t="s">
        <v>425</v>
      </c>
      <c r="E25" s="1018">
        <v>-0.30282613561214577</v>
      </c>
      <c r="F25" s="1018"/>
      <c r="G25" s="1018"/>
      <c r="H25" s="1018"/>
      <c r="I25" s="1018"/>
    </row>
    <row r="26" spans="2:38">
      <c r="B26" s="685" t="s">
        <v>825</v>
      </c>
      <c r="C26" s="685"/>
      <c r="D26" s="30" t="s">
        <v>425</v>
      </c>
      <c r="E26" s="1018">
        <v>0</v>
      </c>
      <c r="F26" s="1018"/>
      <c r="G26" s="1018"/>
      <c r="H26" s="1018"/>
      <c r="I26" s="1018"/>
    </row>
    <row r="27" spans="2:38">
      <c r="B27" s="685" t="s">
        <v>826</v>
      </c>
      <c r="C27" s="685"/>
      <c r="D27" s="30" t="s">
        <v>425</v>
      </c>
      <c r="E27" s="1018">
        <v>0</v>
      </c>
      <c r="F27" s="1018"/>
      <c r="G27" s="1018"/>
      <c r="H27" s="1018"/>
      <c r="I27" s="1018"/>
    </row>
    <row r="28" spans="2:38">
      <c r="B28" s="685" t="s">
        <v>1060</v>
      </c>
      <c r="C28" s="685"/>
      <c r="D28" s="30" t="s">
        <v>425</v>
      </c>
      <c r="E28" s="1018">
        <v>69.875783237169856</v>
      </c>
      <c r="F28" s="1018"/>
      <c r="G28" s="1018"/>
      <c r="H28" s="1018"/>
      <c r="I28" s="1018"/>
    </row>
    <row r="29" spans="2:38">
      <c r="B29" s="685" t="s">
        <v>1061</v>
      </c>
      <c r="C29" s="685"/>
      <c r="D29" s="30" t="s">
        <v>425</v>
      </c>
      <c r="E29" s="1018">
        <v>1.2943924173000019</v>
      </c>
      <c r="F29" s="1018"/>
      <c r="G29" s="1018"/>
      <c r="H29" s="1018"/>
      <c r="I29" s="1018"/>
    </row>
    <row r="30" spans="2:38">
      <c r="B30" s="685" t="s">
        <v>1062</v>
      </c>
      <c r="C30" s="685"/>
      <c r="D30" s="30" t="s">
        <v>425</v>
      </c>
      <c r="E30" s="1018">
        <v>7.1761050303860507</v>
      </c>
      <c r="F30" s="1018"/>
      <c r="G30" s="1018"/>
      <c r="H30" s="1018"/>
      <c r="I30" s="1018"/>
    </row>
    <row r="31" spans="2:38">
      <c r="B31" s="685" t="s">
        <v>1063</v>
      </c>
      <c r="C31" s="685"/>
      <c r="D31" s="30"/>
      <c r="E31" s="1018">
        <v>1.2161363002427377</v>
      </c>
      <c r="F31" s="1018"/>
      <c r="G31" s="1018"/>
      <c r="H31" s="1018"/>
      <c r="I31" s="1018"/>
    </row>
    <row r="32" spans="2:38">
      <c r="B32" s="685" t="s">
        <v>1064</v>
      </c>
      <c r="C32" s="685"/>
      <c r="D32" s="30"/>
      <c r="E32" s="1018">
        <v>1.2256006234275671</v>
      </c>
      <c r="F32" s="1018"/>
      <c r="G32" s="1018"/>
      <c r="H32" s="1018"/>
      <c r="I32" s="1018"/>
    </row>
    <row r="33" spans="2:11">
      <c r="B33" s="547" t="s">
        <v>447</v>
      </c>
      <c r="C33" s="547"/>
      <c r="D33" s="30" t="s">
        <v>425</v>
      </c>
      <c r="E33" s="1028">
        <f>SUM(E23:E32)</f>
        <v>66.519159623527599</v>
      </c>
      <c r="F33" s="1029">
        <f>SUM(F23:F32)</f>
        <v>0</v>
      </c>
      <c r="G33" s="1029">
        <f>SUM(G23:G32)</f>
        <v>0</v>
      </c>
      <c r="H33" s="1029">
        <f>SUM(H23:H32)</f>
        <v>0</v>
      </c>
      <c r="I33" s="1029">
        <f>SUM(I23:I32)</f>
        <v>0</v>
      </c>
    </row>
    <row r="35" spans="2:11" ht="25.5" customHeight="1">
      <c r="B35" s="914" t="s">
        <v>829</v>
      </c>
      <c r="D35" s="30" t="s">
        <v>425</v>
      </c>
      <c r="E35" s="1018">
        <v>0</v>
      </c>
      <c r="F35" s="1018">
        <v>19.757492906057728</v>
      </c>
      <c r="G35" s="1018">
        <v>29.723242185744027</v>
      </c>
      <c r="H35" s="1018">
        <v>35.532831640368514</v>
      </c>
      <c r="I35" s="1018">
        <v>37.366414253860981</v>
      </c>
    </row>
    <row r="36" spans="2:11" ht="12.75" customHeight="1">
      <c r="B36" s="914" t="s">
        <v>830</v>
      </c>
      <c r="C36" s="914"/>
      <c r="D36" s="30" t="s">
        <v>425</v>
      </c>
      <c r="E36" s="1028">
        <f>IF(ISNUMBER(E11),E11-E20-E33,E35-E20-E33)</f>
        <v>18.388156734372444</v>
      </c>
      <c r="F36" s="1028">
        <f>IF(ISNUMBER(F11),F11-F20-F33,F35-F20-F33)</f>
        <v>19.757492906057728</v>
      </c>
      <c r="G36" s="1028">
        <f>IF(ISNUMBER(G11),G11-G20-G33,G35-G20-G33)</f>
        <v>29.723242185744027</v>
      </c>
      <c r="H36" s="1028">
        <f>IF(ISNUMBER(H11),H11-H20-H33,H35-H20-H33)</f>
        <v>35.532831640368514</v>
      </c>
      <c r="I36" s="1028">
        <f>IF(ISNUMBER(I11),I11-I20-I33,I35-I20-I33)</f>
        <v>37.366414253860981</v>
      </c>
    </row>
    <row r="37" spans="2:11" ht="12.75" customHeight="1">
      <c r="B37" s="686"/>
      <c r="C37" s="686"/>
      <c r="D37" s="30"/>
      <c r="E37" s="1020"/>
      <c r="F37" s="1020"/>
      <c r="G37" s="1020"/>
      <c r="H37" s="1020"/>
      <c r="I37" s="1020"/>
    </row>
    <row r="38" spans="2:11">
      <c r="B38" s="166" t="s">
        <v>580</v>
      </c>
      <c r="D38" s="197" t="s">
        <v>581</v>
      </c>
      <c r="E38" s="1030">
        <f t="shared" ref="E38:I38" si="2">INDEX(real_to_nominal_CF,MATCH(E$6,calendar_year,0))</f>
        <v>1.0847835302284383</v>
      </c>
      <c r="F38" s="1030">
        <f t="shared" si="2"/>
        <v>1.1799638149272795</v>
      </c>
      <c r="G38" s="1030">
        <f t="shared" si="2"/>
        <v>1.2360034766257399</v>
      </c>
      <c r="H38" s="1030">
        <f t="shared" si="2"/>
        <v>1.2450319245860968</v>
      </c>
      <c r="I38" s="1030">
        <f t="shared" si="2"/>
        <v>1.248156029182222</v>
      </c>
    </row>
    <row r="39" spans="2:11">
      <c r="B39" s="686"/>
      <c r="C39" s="686"/>
      <c r="D39" s="30"/>
      <c r="E39" s="30"/>
      <c r="F39" s="30"/>
      <c r="G39" s="30"/>
      <c r="H39" s="30"/>
      <c r="I39" s="30"/>
    </row>
    <row r="40" spans="2:11">
      <c r="B40" s="914" t="s">
        <v>831</v>
      </c>
      <c r="C40" s="914"/>
      <c r="D40" s="974" t="str">
        <f>Data!$C$9</f>
        <v>£m 18/19</v>
      </c>
      <c r="E40" s="1028">
        <f>Adjusted_regulated_tax_liability/E38</f>
        <v>16.950991808015548</v>
      </c>
      <c r="F40" s="1028">
        <f>Adjusted_regulated_tax_liability/F38</f>
        <v>16.744151520676393</v>
      </c>
      <c r="G40" s="1028">
        <f>Adjusted_regulated_tax_liability/G38</f>
        <v>24.047862929065353</v>
      </c>
      <c r="H40" s="1028">
        <f>Adjusted_regulated_tax_liability/H38</f>
        <v>28.53969519872447</v>
      </c>
      <c r="I40" s="1028">
        <f>Adjusted_regulated_tax_liability/I38</f>
        <v>29.937294200584073</v>
      </c>
    </row>
    <row r="41" spans="2:11">
      <c r="B41" s="914"/>
      <c r="C41" s="914"/>
      <c r="D41" s="914"/>
      <c r="E41" s="914"/>
      <c r="F41" s="914"/>
      <c r="G41" s="914"/>
      <c r="H41" s="914"/>
      <c r="I41" s="914"/>
    </row>
    <row r="42" spans="2:11">
      <c r="B42" s="699" t="s">
        <v>832</v>
      </c>
      <c r="C42" s="699"/>
      <c r="D42" s="974"/>
      <c r="E42" s="974"/>
      <c r="F42" s="974"/>
      <c r="G42" s="974"/>
      <c r="H42" s="974"/>
      <c r="I42" s="974"/>
    </row>
    <row r="43" spans="2:11">
      <c r="B43" s="700" t="s">
        <v>586</v>
      </c>
      <c r="C43" s="700"/>
      <c r="D43" s="914"/>
      <c r="E43" s="914"/>
      <c r="F43" s="914"/>
      <c r="G43" s="914"/>
      <c r="H43" s="914"/>
      <c r="I43" s="914"/>
      <c r="K43" s="914"/>
    </row>
    <row r="44" spans="2:11">
      <c r="K44" s="914"/>
    </row>
    <row r="45" spans="2:11" ht="12.75" customHeight="1">
      <c r="B45" s="123" t="s">
        <v>24</v>
      </c>
      <c r="C45" s="123"/>
      <c r="D45" s="586" t="s">
        <v>389</v>
      </c>
      <c r="E45" s="155">
        <f>Data!$C$8</f>
        <v>0.6</v>
      </c>
      <c r="F45" s="156">
        <f>Data!$C$8</f>
        <v>0.6</v>
      </c>
      <c r="G45" s="156">
        <f>Data!$C$8</f>
        <v>0.6</v>
      </c>
      <c r="H45" s="156">
        <f>Data!$C$8</f>
        <v>0.6</v>
      </c>
      <c r="I45" s="156">
        <f>Data!$C$8</f>
        <v>0.6</v>
      </c>
      <c r="K45" s="914"/>
    </row>
    <row r="46" spans="2:11" ht="12.75" customHeight="1">
      <c r="B46" s="123" t="s">
        <v>587</v>
      </c>
      <c r="C46" s="123"/>
      <c r="D46" s="586" t="s">
        <v>389</v>
      </c>
      <c r="E46" s="156">
        <f>'R6 - Net Debt'!D68</f>
        <v>0.62004564014516783</v>
      </c>
      <c r="F46" s="156">
        <f>'R6 - Net Debt'!E68</f>
        <v>0.59777957947785321</v>
      </c>
      <c r="G46" s="156">
        <f>'R6 - Net Debt'!F68</f>
        <v>0.61006233363050233</v>
      </c>
      <c r="H46" s="156">
        <f>'R6 - Net Debt'!G68</f>
        <v>0.61098654052034584</v>
      </c>
      <c r="I46" s="156">
        <f>'R6 - Net Debt'!H68</f>
        <v>0.61129570974657677</v>
      </c>
      <c r="K46" s="914"/>
    </row>
    <row r="47" spans="2:11" ht="12.75" customHeight="1">
      <c r="B47" s="123"/>
      <c r="C47" s="123"/>
      <c r="D47" s="586"/>
      <c r="E47" s="586"/>
      <c r="F47" s="586"/>
      <c r="G47" s="586"/>
      <c r="H47" s="586"/>
      <c r="I47" s="586"/>
      <c r="K47" s="914"/>
    </row>
    <row r="48" spans="2:11" ht="12.75" customHeight="1">
      <c r="B48" s="914" t="s">
        <v>831</v>
      </c>
      <c r="C48" s="914"/>
      <c r="D48" s="30" t="s">
        <v>425</v>
      </c>
      <c r="E48" s="1028">
        <f>E36</f>
        <v>18.388156734372444</v>
      </c>
      <c r="F48" s="1028">
        <f>F36</f>
        <v>19.757492906057728</v>
      </c>
      <c r="G48" s="1028">
        <f>G36</f>
        <v>29.723242185744027</v>
      </c>
      <c r="H48" s="1028">
        <f>H36</f>
        <v>35.532831640368514</v>
      </c>
      <c r="I48" s="1028">
        <f>I36</f>
        <v>37.366414253860981</v>
      </c>
      <c r="K48" s="914"/>
    </row>
    <row r="49" spans="2:11">
      <c r="B49" s="123" t="s">
        <v>833</v>
      </c>
      <c r="C49" s="123"/>
      <c r="D49" s="30" t="s">
        <v>425</v>
      </c>
      <c r="E49" s="1028">
        <f>E66-E68</f>
        <v>-6.1822375402786456E-2</v>
      </c>
      <c r="F49" s="1028">
        <f t="shared" ref="F49:I49" si="3">F66-F68</f>
        <v>2.8867759606225007E-2</v>
      </c>
      <c r="G49" s="1028">
        <f t="shared" si="3"/>
        <v>-7.3104152969362346E-2</v>
      </c>
      <c r="H49" s="1028">
        <f t="shared" si="3"/>
        <v>0.10981987671066273</v>
      </c>
      <c r="I49" s="1028">
        <f t="shared" si="3"/>
        <v>0.14956649811273948</v>
      </c>
      <c r="K49" s="914"/>
    </row>
    <row r="50" spans="2:11">
      <c r="B50" s="123" t="s">
        <v>834</v>
      </c>
      <c r="C50" s="123"/>
      <c r="D50" s="30" t="s">
        <v>425</v>
      </c>
      <c r="E50" s="1028">
        <f>SUM(E48:E49)</f>
        <v>18.326334358969657</v>
      </c>
      <c r="F50" s="1028">
        <f t="shared" ref="F50:I50" si="4">SUM(F48:F49)</f>
        <v>19.786360665663953</v>
      </c>
      <c r="G50" s="1028">
        <f t="shared" si="4"/>
        <v>29.650138032774663</v>
      </c>
      <c r="H50" s="1028">
        <f t="shared" si="4"/>
        <v>35.642651517079173</v>
      </c>
      <c r="I50" s="1028">
        <f t="shared" si="4"/>
        <v>37.515980751973721</v>
      </c>
    </row>
    <row r="52" spans="2:11">
      <c r="B52" s="123" t="s">
        <v>834</v>
      </c>
      <c r="C52" s="123"/>
      <c r="D52" s="974" t="str">
        <f>Data!$C$9</f>
        <v>£m 18/19</v>
      </c>
      <c r="E52" s="1028">
        <f>E50/E38</f>
        <v>16.894001289925946</v>
      </c>
      <c r="F52" s="1028">
        <f t="shared" ref="F52:I52" si="5">F50/F38</f>
        <v>16.768616473958037</v>
      </c>
      <c r="G52" s="1028">
        <f t="shared" si="5"/>
        <v>23.988717340600719</v>
      </c>
      <c r="H52" s="1028">
        <f t="shared" si="5"/>
        <v>28.627901673226855</v>
      </c>
      <c r="I52" s="1028">
        <f t="shared" si="5"/>
        <v>30.057124169446809</v>
      </c>
    </row>
    <row r="54" spans="2:11">
      <c r="B54" s="1024" t="s">
        <v>835</v>
      </c>
      <c r="C54" s="1024"/>
      <c r="D54" s="1025"/>
      <c r="E54" s="1025"/>
      <c r="F54" s="1025"/>
      <c r="G54" s="1025"/>
      <c r="H54" s="1025"/>
      <c r="I54" s="1025"/>
      <c r="K54" s="914"/>
    </row>
    <row r="55" spans="2:11" ht="12.6" customHeight="1">
      <c r="D55" s="974"/>
      <c r="E55" s="1026"/>
      <c r="F55" s="1026"/>
      <c r="G55" s="1026"/>
      <c r="H55" s="1026"/>
      <c r="I55" s="1026"/>
    </row>
    <row r="56" spans="2:11">
      <c r="B56" s="166" t="s">
        <v>836</v>
      </c>
      <c r="D56" s="974" t="str">
        <f>Data!$C$9</f>
        <v>£m 18/19</v>
      </c>
      <c r="E56" s="984">
        <v>18.143646858418105</v>
      </c>
      <c r="F56" s="984">
        <v>13.394620960612109</v>
      </c>
      <c r="G56" s="984">
        <v>25.20741436735748</v>
      </c>
      <c r="H56" s="984">
        <v>29.072530169961183</v>
      </c>
      <c r="I56" s="984">
        <v>30.532542201228527</v>
      </c>
    </row>
    <row r="57" spans="2:11">
      <c r="D57" s="974"/>
      <c r="E57" s="974"/>
      <c r="F57" s="974"/>
      <c r="G57" s="974"/>
      <c r="H57" s="974"/>
      <c r="I57" s="974"/>
    </row>
    <row r="58" spans="2:11">
      <c r="B58" s="709" t="s">
        <v>595</v>
      </c>
      <c r="C58" s="709"/>
      <c r="D58" s="709"/>
      <c r="E58" s="709"/>
      <c r="F58" s="709"/>
      <c r="G58" s="709"/>
      <c r="H58" s="709"/>
      <c r="I58" s="709"/>
    </row>
    <row r="60" spans="2:11">
      <c r="B60" s="547" t="s">
        <v>837</v>
      </c>
      <c r="C60" s="547"/>
      <c r="D60" s="1027" t="str">
        <f>Data!$C$9</f>
        <v>£m 18/19</v>
      </c>
      <c r="E60" s="629">
        <f>E$56-E40</f>
        <v>1.192655050402557</v>
      </c>
      <c r="F60" s="629">
        <f>F$56-F40</f>
        <v>-3.3495305600642844</v>
      </c>
      <c r="G60" s="629">
        <f>G$56-G40</f>
        <v>1.1595514382921266</v>
      </c>
      <c r="H60" s="629">
        <f>H$56-H40</f>
        <v>0.53283497123671353</v>
      </c>
      <c r="I60" s="629">
        <f>I$56-I40</f>
        <v>0.59524800064445316</v>
      </c>
    </row>
    <row r="61" spans="2:11">
      <c r="B61" s="547"/>
      <c r="C61" s="547"/>
      <c r="D61" s="547"/>
      <c r="E61" s="547"/>
      <c r="F61" s="547"/>
      <c r="G61" s="547"/>
      <c r="H61" s="547"/>
      <c r="I61" s="547"/>
    </row>
    <row r="62" spans="2:11">
      <c r="B62" s="547" t="s">
        <v>838</v>
      </c>
      <c r="C62" s="547"/>
      <c r="D62" s="1027" t="str">
        <f>Data!$C$9</f>
        <v>£m 18/19</v>
      </c>
      <c r="E62" s="629">
        <f>E$56-E52</f>
        <v>1.2496455684921592</v>
      </c>
      <c r="F62" s="629">
        <f>F$56-F52</f>
        <v>-3.3739955133459283</v>
      </c>
      <c r="G62" s="629">
        <f>G$56-G52</f>
        <v>1.2186970267567609</v>
      </c>
      <c r="H62" s="629">
        <f>H$56-H52</f>
        <v>0.44462849673432814</v>
      </c>
      <c r="I62" s="629">
        <f>I$56-I52</f>
        <v>0.47541803178171804</v>
      </c>
    </row>
    <row r="64" spans="2:11">
      <c r="B64" s="547" t="s">
        <v>839</v>
      </c>
      <c r="C64" s="547"/>
      <c r="D64" s="1027" t="str">
        <f>Data!$C$9</f>
        <v>£m 18/19</v>
      </c>
      <c r="E64" s="629">
        <f>E60-E62</f>
        <v>-5.6990518089602205E-2</v>
      </c>
      <c r="F64" s="672">
        <f>F60-F62</f>
        <v>2.4464953281643886E-2</v>
      </c>
      <c r="G64" s="672">
        <f>G60-G62</f>
        <v>-5.9145588464634358E-2</v>
      </c>
      <c r="H64" s="672">
        <f>H60-H62</f>
        <v>8.820647450238539E-2</v>
      </c>
      <c r="I64" s="672">
        <f>I60-I62</f>
        <v>0.11982996886273511</v>
      </c>
    </row>
    <row r="66" spans="2:10">
      <c r="B66" s="166" t="s">
        <v>840</v>
      </c>
      <c r="D66" s="30" t="s">
        <v>425</v>
      </c>
      <c r="E66" s="1031">
        <f>-('R5 - Financing'!D83*INDEX(Corporate_Tax,MATCH(E$6,Data!$C$16:$N$16,0))*'R8 - Tax'!E$38)</f>
        <v>-6.297204880273739</v>
      </c>
      <c r="F66" s="1031">
        <f>-('R5 - Financing'!E83*INDEX(Corporate_Tax,MATCH(F$6,Data!$C$16:$N$16,0))*'R8 - Tax'!F$38)</f>
        <v>-12.231167001321783</v>
      </c>
      <c r="G66" s="1031">
        <f>-('R5 - Financing'!F83*INDEX(Corporate_Tax,MATCH(G$6,Data!$C$16:$N$16,0))*'R8 - Tax'!G$38)</f>
        <v>-10.66613316350298</v>
      </c>
      <c r="H66" s="1031">
        <f>-('R5 - Financing'!G83*INDEX(Corporate_Tax,MATCH(H$6,Data!$C$16:$N$16,0))*'R8 - Tax'!H$38)</f>
        <v>-0.65017680019348678</v>
      </c>
      <c r="I66" s="1031">
        <f>-('R5 - Financing'!H83*INDEX(Corporate_Tax,MATCH(I$6,Data!$C$16:$N$16,0))*'R8 - Tax'!I$38)</f>
        <v>0.85781786120905756</v>
      </c>
      <c r="J66" s="166" t="s">
        <v>841</v>
      </c>
    </row>
    <row r="67" spans="2:10">
      <c r="B67" s="166" t="s">
        <v>840</v>
      </c>
      <c r="D67" s="974" t="str">
        <f>Data!$C$9</f>
        <v>£m 18/19</v>
      </c>
      <c r="E67" s="1028">
        <f>E66/E$38</f>
        <v>-5.8050336355564385</v>
      </c>
      <c r="F67" s="1028">
        <f t="shared" ref="F67:I67" si="6">F66/F$38</f>
        <v>-10.3657136317147</v>
      </c>
      <c r="G67" s="1028">
        <f t="shared" si="6"/>
        <v>-8.6295333024638978</v>
      </c>
      <c r="H67" s="1028">
        <f t="shared" si="6"/>
        <v>-0.52221697078943097</v>
      </c>
      <c r="I67" s="1028">
        <f t="shared" si="6"/>
        <v>0.68726813086909522</v>
      </c>
    </row>
    <row r="68" spans="2:10">
      <c r="B68" s="166" t="s">
        <v>842</v>
      </c>
      <c r="D68" s="30" t="s">
        <v>425</v>
      </c>
      <c r="E68" s="1031">
        <f>-('R5 - Financing'!D85*INDEX(Corporate_Tax,MATCH(E$6,Data!$C$16:$N$16,0))*'R8 - Tax'!E$38)</f>
        <v>-6.2353825048709526</v>
      </c>
      <c r="F68" s="1031">
        <f>-('R5 - Financing'!E85*INDEX(Corporate_Tax,MATCH(F$6,Data!$C$16:$N$16,0))*'R8 - Tax'!F$38)</f>
        <v>-12.260034760928008</v>
      </c>
      <c r="G68" s="1031">
        <f>-('R5 - Financing'!F85*INDEX(Corporate_Tax,MATCH(G$6,Data!$C$16:$N$16,0))*'R8 - Tax'!G$38)</f>
        <v>-10.593029010533618</v>
      </c>
      <c r="H68" s="1031">
        <f>-('R5 - Financing'!G85*INDEX(Corporate_Tax,MATCH(H$6,Data!$C$16:$N$16,0))*'R8 - Tax'!H$38)</f>
        <v>-0.75999667690414952</v>
      </c>
      <c r="I68" s="1031">
        <f>-('R5 - Financing'!H85*INDEX(Corporate_Tax,MATCH(I$6,Data!$C$16:$N$16,0))*'R8 - Tax'!I$38)</f>
        <v>0.70825136309631809</v>
      </c>
      <c r="J68" s="166" t="s">
        <v>841</v>
      </c>
    </row>
    <row r="69" spans="2:10">
      <c r="B69" s="166" t="s">
        <v>842</v>
      </c>
      <c r="D69" s="974" t="str">
        <f>Data!$C$9</f>
        <v>£m 18/19</v>
      </c>
      <c r="E69" s="1028">
        <f>E68/E$38</f>
        <v>-5.7480431174668363</v>
      </c>
      <c r="F69" s="1028">
        <f t="shared" ref="F69:I69" si="7">F68/F$38</f>
        <v>-10.390178584996344</v>
      </c>
      <c r="G69" s="1028">
        <f t="shared" si="7"/>
        <v>-8.5703877139992635</v>
      </c>
      <c r="H69" s="1028">
        <f t="shared" si="7"/>
        <v>-0.61042344529181913</v>
      </c>
      <c r="I69" s="1028">
        <f t="shared" si="7"/>
        <v>0.5674381620063611</v>
      </c>
    </row>
    <row r="70" spans="2:10">
      <c r="B70" s="166" t="s">
        <v>843</v>
      </c>
      <c r="D70" s="974" t="str">
        <f>Data!$C$9</f>
        <v>£m 18/19</v>
      </c>
      <c r="E70" s="1028">
        <f>E67-E69</f>
        <v>-5.6990518089602205E-2</v>
      </c>
      <c r="F70" s="1028">
        <f t="shared" ref="F70:I70" si="8">F67-F69</f>
        <v>2.4464953281643886E-2</v>
      </c>
      <c r="G70" s="1028">
        <f t="shared" si="8"/>
        <v>-5.9145588464634358E-2</v>
      </c>
      <c r="H70" s="1028">
        <f t="shared" si="8"/>
        <v>8.8206474502388166E-2</v>
      </c>
      <c r="I70" s="1028">
        <f t="shared" si="8"/>
        <v>0.11982996886273412</v>
      </c>
    </row>
  </sheetData>
  <sheetProtection insertRows="0" sort="0" autoFilter="0" pivotTables="0"/>
  <mergeCells count="1">
    <mergeCell ref="B9:I9"/>
  </mergeCells>
  <phoneticPr fontId="260" type="noConversion"/>
  <conditionalFormatting sqref="E7:I7">
    <cfRule type="expression" dxfId="20" priority="15">
      <formula>AND(E$5="Actuals",F$5="Forecast")</formula>
    </cfRule>
  </conditionalFormatting>
  <conditionalFormatting sqref="E11:I11 E23:I32">
    <cfRule type="expression" dxfId="19" priority="10">
      <formula>E$5="Forecast"</formula>
    </cfRule>
  </conditionalFormatting>
  <conditionalFormatting sqref="E16:I19">
    <cfRule type="expression" dxfId="18" priority="7">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46:I46" evalError="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2"/>
  <sheetViews>
    <sheetView zoomScale="85" zoomScaleNormal="85" workbookViewId="0">
      <selection activeCell="D11" sqref="D11"/>
    </sheetView>
  </sheetViews>
  <sheetFormatPr defaultColWidth="9.26171875" defaultRowHeight="14.35"/>
  <cols>
    <col min="1" max="1" width="27" style="1033" customWidth="1"/>
    <col min="2" max="2" width="51.26171875" style="1033" customWidth="1"/>
    <col min="3" max="3" width="14.1015625" style="1033" customWidth="1"/>
    <col min="4" max="5" width="16.26171875" style="1033" customWidth="1"/>
    <col min="6" max="6" width="2.1015625" style="1033" customWidth="1"/>
    <col min="7" max="7" width="57.62890625" style="1033" customWidth="1"/>
    <col min="8" max="8" width="15.62890625" style="1033" customWidth="1"/>
    <col min="9" max="9" width="3.26171875" style="1033" customWidth="1"/>
    <col min="10" max="11" width="17.47265625" style="1033" customWidth="1"/>
    <col min="12" max="12" width="56.26171875" style="1033" customWidth="1"/>
    <col min="13" max="14" width="2.26171875" style="1033" customWidth="1"/>
    <col min="15" max="16384" width="9.26171875" style="1033"/>
  </cols>
  <sheetData>
    <row r="1" spans="1:14" ht="20">
      <c r="A1" s="449" t="s">
        <v>844</v>
      </c>
      <c r="B1" s="449"/>
      <c r="C1" s="456"/>
      <c r="D1" s="456"/>
      <c r="E1" s="456"/>
      <c r="F1" s="1032"/>
      <c r="G1" s="456"/>
      <c r="H1" s="456"/>
      <c r="J1" s="456"/>
      <c r="K1" s="1034"/>
      <c r="L1" s="456"/>
      <c r="N1" s="1035"/>
    </row>
    <row r="2" spans="1:14" ht="20">
      <c r="A2" s="456"/>
      <c r="B2" s="456"/>
      <c r="C2" s="456"/>
      <c r="D2" s="456"/>
      <c r="E2" s="456"/>
      <c r="F2" s="1032"/>
      <c r="G2" s="456"/>
      <c r="H2" s="456"/>
      <c r="J2" s="456"/>
      <c r="K2" s="1034"/>
      <c r="L2" s="456"/>
      <c r="N2" s="1035"/>
    </row>
    <row r="3" spans="1:14" ht="20">
      <c r="A3" s="456" t="s">
        <v>845</v>
      </c>
      <c r="B3" s="456" t="str">
        <f>Licensee</f>
        <v>Cadent-WM</v>
      </c>
      <c r="C3" s="456"/>
      <c r="D3" s="456"/>
      <c r="E3" s="456"/>
      <c r="F3" s="1032"/>
      <c r="G3" s="456"/>
      <c r="H3" s="456"/>
      <c r="J3" s="456"/>
      <c r="K3" s="1034"/>
      <c r="L3" s="456"/>
      <c r="N3" s="1035"/>
    </row>
    <row r="4" spans="1:14" ht="20">
      <c r="A4" s="456" t="s">
        <v>6</v>
      </c>
      <c r="B4" s="456" t="str">
        <f>Sector</f>
        <v>GD2</v>
      </c>
      <c r="C4" s="456"/>
      <c r="D4" s="456"/>
      <c r="E4" s="456"/>
      <c r="F4" s="1032"/>
      <c r="G4" s="456"/>
      <c r="H4" s="456"/>
      <c r="J4" s="456"/>
      <c r="K4" s="1034"/>
      <c r="L4" s="456"/>
      <c r="N4" s="1035"/>
    </row>
    <row r="5" spans="1:14" ht="20">
      <c r="A5" s="456" t="s">
        <v>846</v>
      </c>
      <c r="B5" s="1036">
        <f>INDEX(Data!$C$15:$N$15,MATCH($B$6,Data!$C$16:$N$16,0))</f>
        <v>44651</v>
      </c>
      <c r="C5" s="456"/>
      <c r="D5" s="456"/>
      <c r="E5" s="456"/>
      <c r="F5" s="1032"/>
      <c r="G5" s="456"/>
      <c r="H5" s="456"/>
      <c r="J5" s="456"/>
      <c r="K5" s="1034"/>
      <c r="L5" s="456"/>
      <c r="N5" s="1035"/>
    </row>
    <row r="6" spans="1:14" ht="20">
      <c r="A6" s="456" t="s">
        <v>34</v>
      </c>
      <c r="B6" s="456">
        <f>Reporting_Year-1</f>
        <v>2022</v>
      </c>
      <c r="C6" s="456"/>
      <c r="D6" s="456"/>
      <c r="E6" s="456"/>
      <c r="F6" s="1032"/>
      <c r="G6" s="456"/>
      <c r="H6" s="456"/>
      <c r="J6" s="456"/>
      <c r="K6" s="1034"/>
      <c r="L6" s="456"/>
      <c r="N6" s="1035"/>
    </row>
    <row r="7" spans="1:14" ht="28.5" customHeight="1">
      <c r="A7" s="1317" t="s">
        <v>847</v>
      </c>
      <c r="B7" s="1317"/>
      <c r="C7" s="456"/>
      <c r="D7" s="456"/>
      <c r="E7" s="456"/>
      <c r="F7" s="1032"/>
      <c r="G7" s="456"/>
      <c r="H7" s="1034"/>
      <c r="J7" s="456"/>
      <c r="K7" s="1034"/>
      <c r="L7" s="456"/>
      <c r="N7" s="1035"/>
    </row>
    <row r="8" spans="1:14" ht="86.25" customHeight="1">
      <c r="A8" s="1318" t="s">
        <v>848</v>
      </c>
      <c r="B8" s="1319"/>
      <c r="C8" s="1311" t="s">
        <v>849</v>
      </c>
      <c r="D8" s="1037" t="s">
        <v>850</v>
      </c>
      <c r="E8" s="1037" t="s">
        <v>851</v>
      </c>
      <c r="F8" s="1038"/>
      <c r="G8" s="1322" t="s">
        <v>852</v>
      </c>
      <c r="H8" s="1039" t="s">
        <v>853</v>
      </c>
      <c r="I8" s="1038"/>
      <c r="J8" s="1039" t="s">
        <v>854</v>
      </c>
      <c r="K8" s="1039" t="s">
        <v>855</v>
      </c>
      <c r="L8" s="1311" t="s">
        <v>856</v>
      </c>
      <c r="N8" s="1035"/>
    </row>
    <row r="9" spans="1:14" ht="15.6" customHeight="1">
      <c r="A9" s="1320"/>
      <c r="B9" s="1321"/>
      <c r="C9" s="1312"/>
      <c r="D9" s="1040" t="s">
        <v>611</v>
      </c>
      <c r="E9" s="1040" t="s">
        <v>611</v>
      </c>
      <c r="F9" s="1041"/>
      <c r="G9" s="1323"/>
      <c r="H9" s="1040" t="s">
        <v>857</v>
      </c>
      <c r="I9" s="1041"/>
      <c r="J9" s="1040" t="s">
        <v>611</v>
      </c>
      <c r="K9" s="1040" t="s">
        <v>611</v>
      </c>
      <c r="L9" s="1312"/>
      <c r="N9" s="1035"/>
    </row>
    <row r="10" spans="1:14" ht="15.6" customHeight="1">
      <c r="A10" s="1042"/>
      <c r="B10" s="1042"/>
      <c r="C10" s="1042"/>
      <c r="D10" s="1041"/>
      <c r="E10" s="1041"/>
      <c r="F10" s="1041"/>
      <c r="G10" s="1043"/>
      <c r="H10" s="1041"/>
      <c r="I10" s="1041"/>
      <c r="J10" s="1041"/>
      <c r="K10" s="1041"/>
      <c r="L10" s="1042"/>
      <c r="N10" s="1035"/>
    </row>
    <row r="11" spans="1:14" ht="28.7">
      <c r="A11" s="1042" t="s">
        <v>858</v>
      </c>
      <c r="B11" s="1044" t="str">
        <f>IF(AND(D11="",E11=""),"No Filing Date",IF(AND(D11="",E11&lt;&gt;""),"Enter Original Filing Date",IF(AND(D11&lt;&gt;"",E11=""),"Original Filing","Re-filed")))</f>
        <v>Original Filing</v>
      </c>
      <c r="C11" s="1042"/>
      <c r="D11" s="1045">
        <v>45016</v>
      </c>
      <c r="E11" s="1045"/>
      <c r="F11" s="1041"/>
      <c r="G11" s="1043"/>
      <c r="H11" s="1041"/>
      <c r="I11" s="1041"/>
      <c r="J11" s="1046"/>
      <c r="K11" s="1046"/>
      <c r="L11" s="1042"/>
      <c r="N11" s="1035"/>
    </row>
    <row r="12" spans="1:14" s="1048" customFormat="1" ht="17.45" customHeight="1">
      <c r="A12" s="1047"/>
      <c r="J12" s="1046"/>
      <c r="K12" s="1046"/>
      <c r="N12" s="1049"/>
    </row>
    <row r="13" spans="1:14" ht="15.6" customHeight="1">
      <c r="A13" s="1313" t="s">
        <v>859</v>
      </c>
      <c r="B13" s="1314"/>
      <c r="D13" s="1149">
        <v>0.19</v>
      </c>
      <c r="E13" s="1149">
        <v>0.19</v>
      </c>
      <c r="F13" s="1050"/>
      <c r="G13" s="1050"/>
      <c r="H13" s="1149">
        <v>0.19</v>
      </c>
      <c r="I13" s="1051"/>
      <c r="J13" s="1046"/>
      <c r="K13" s="1046"/>
      <c r="N13" s="1035"/>
    </row>
    <row r="14" spans="1:14" ht="15.6" customHeight="1">
      <c r="B14" s="1052"/>
      <c r="D14" s="1050"/>
      <c r="E14" s="1050"/>
      <c r="F14" s="1050"/>
      <c r="G14" s="1050"/>
      <c r="H14" s="1050"/>
      <c r="I14" s="1051"/>
      <c r="J14" s="1051"/>
      <c r="K14" s="1053"/>
      <c r="N14" s="1035"/>
    </row>
    <row r="15" spans="1:14" ht="15.6" customHeight="1">
      <c r="A15" s="1054"/>
      <c r="B15" s="1054"/>
      <c r="C15" s="1055"/>
      <c r="D15" s="1056"/>
      <c r="E15" s="1057"/>
      <c r="F15" s="1057"/>
      <c r="G15" s="1058"/>
      <c r="H15" s="1059"/>
      <c r="I15" s="1060"/>
      <c r="J15" s="1060"/>
      <c r="K15" s="1061"/>
      <c r="L15" s="1062"/>
      <c r="N15" s="1035"/>
    </row>
    <row r="16" spans="1:14" ht="67.5" customHeight="1">
      <c r="A16" s="1063" t="s">
        <v>860</v>
      </c>
      <c r="B16" s="1064"/>
      <c r="C16" s="1055" t="s">
        <v>861</v>
      </c>
      <c r="D16" s="1150">
        <f>IFERROR(INDEX('R2 - Rec to Revenue and Profit'!$E$58:$I$58,MATCH('R8a - Tax Reconciliation'!$B$6,'R2 - Rec to Revenue and Profit'!$E$6:$I$6)),0)</f>
        <v>1984</v>
      </c>
      <c r="E16" s="1065"/>
      <c r="F16" s="1057"/>
      <c r="G16" s="1231"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1066">
        <v>350.37969938558859</v>
      </c>
      <c r="I16" s="1233"/>
      <c r="J16" s="1158">
        <f>IF(E$11&lt;&gt;"",IF(OR(B$11="No Filing Date","Enter Filing Date",E$11&lt;D$11),"Error in Filing Date",IF('R8a - Tax Reconciliation'!B$11="Original Filing",D16-H16,E16-H16)),IF(OR(B$11="No Filing Date","Enter Filing Date"),"Error in Filing Date",IF('R8a - Tax Reconciliation'!B$11="Original Filing",D16-H16,E16-H16)))</f>
        <v>1633.6203006144115</v>
      </c>
      <c r="K16" s="1067"/>
      <c r="L16" s="1068" t="s">
        <v>1065</v>
      </c>
      <c r="N16" s="1035"/>
    </row>
    <row r="17" spans="1:16" ht="150.75" customHeight="1">
      <c r="A17" s="1315" t="s">
        <v>862</v>
      </c>
      <c r="B17" s="1316"/>
      <c r="C17" s="1055"/>
      <c r="D17" s="1057"/>
      <c r="E17" s="1057"/>
      <c r="F17" s="1057"/>
      <c r="G17" s="1058" t="str">
        <f>IF($B$4="ESO2", $B$4&amp; " " &amp;"PCFM - see Tax Allowance scetion in 'System Operator' worksheet",  $B$4&amp; " " &amp;"PCFM - see Tax Allowance in 'Finance &amp;Tax' worksheet")</f>
        <v>GD2 PCFM - see Tax Allowance in 'Finance &amp;Tax' worksheet</v>
      </c>
      <c r="H17" s="1066">
        <v>-162.1221579394132</v>
      </c>
      <c r="I17" s="1060"/>
      <c r="J17" s="1060"/>
      <c r="K17" s="1061"/>
      <c r="L17" s="1068" t="s">
        <v>1066</v>
      </c>
      <c r="N17" s="1035"/>
    </row>
    <row r="18" spans="1:16" ht="15.6" customHeight="1">
      <c r="A18" s="1069" t="s">
        <v>863</v>
      </c>
      <c r="B18" s="1070"/>
      <c r="C18" s="1055"/>
      <c r="D18" s="1057"/>
      <c r="E18" s="1057"/>
      <c r="F18" s="1057"/>
      <c r="G18" s="1058" t="str">
        <f t="shared" ref="G18:G19" si="0">IF($B$4="ESO2", $B$4&amp; " " &amp;"PCFM - see Tax Allowance in 'System Operator' worksheet",  $B$4&amp; " " &amp;"PCFM - see Tax Allowance in 'Finance &amp;Tax' worksheet")</f>
        <v>GD2 PCFM - see Tax Allowance in 'Finance &amp;Tax' worksheet</v>
      </c>
      <c r="H18" s="1066">
        <v>0</v>
      </c>
      <c r="I18" s="1060"/>
      <c r="J18" s="1060"/>
      <c r="K18" s="1061"/>
      <c r="L18" s="1068">
        <v>0</v>
      </c>
      <c r="N18" s="1035"/>
    </row>
    <row r="19" spans="1:16" s="1055" customFormat="1">
      <c r="A19" s="1069" t="s">
        <v>864</v>
      </c>
      <c r="B19" s="1070"/>
      <c r="D19" s="1057"/>
      <c r="E19" s="1057"/>
      <c r="F19" s="1057"/>
      <c r="G19" s="1058" t="str">
        <f t="shared" si="0"/>
        <v>GD2 PCFM - see Tax Allowance in 'Finance &amp;Tax' worksheet</v>
      </c>
      <c r="H19" s="1066">
        <v>0</v>
      </c>
      <c r="I19" s="1060"/>
      <c r="J19" s="1060"/>
      <c r="K19" s="1061"/>
      <c r="L19" s="1068">
        <v>0</v>
      </c>
      <c r="M19" s="1035"/>
      <c r="N19" s="1035"/>
      <c r="O19" s="1035"/>
      <c r="P19" s="1035"/>
    </row>
    <row r="20" spans="1:16">
      <c r="A20" s="1069" t="s">
        <v>865</v>
      </c>
      <c r="B20" s="1070"/>
      <c r="C20" s="1055" t="s">
        <v>861</v>
      </c>
      <c r="D20" s="1065">
        <v>-898.3</v>
      </c>
      <c r="E20" s="1065"/>
      <c r="F20" s="1057"/>
      <c r="G20" s="1058"/>
      <c r="H20" s="1057"/>
      <c r="I20" s="1060"/>
      <c r="J20" s="1060"/>
      <c r="K20" s="1067"/>
      <c r="L20" s="1062"/>
      <c r="N20" s="1035"/>
    </row>
    <row r="21" spans="1:16">
      <c r="A21" s="1069"/>
      <c r="B21" s="1070"/>
      <c r="C21" s="1055"/>
      <c r="D21" s="1057"/>
      <c r="E21" s="1057"/>
      <c r="F21" s="1057"/>
      <c r="G21" s="1058"/>
      <c r="H21" s="1057"/>
      <c r="I21" s="1060"/>
      <c r="J21" s="1060"/>
      <c r="K21" s="1067"/>
      <c r="L21" s="1062"/>
      <c r="N21" s="1035"/>
    </row>
    <row r="22" spans="1:16">
      <c r="A22" s="1071" t="s">
        <v>866</v>
      </c>
      <c r="B22" s="1072"/>
      <c r="C22" s="1073" t="s">
        <v>861</v>
      </c>
      <c r="D22" s="1151">
        <f>SUM(D16:D20)</f>
        <v>1085.7</v>
      </c>
      <c r="E22" s="1151">
        <f>SUM(E16:E20)</f>
        <v>0</v>
      </c>
      <c r="F22" s="1057"/>
      <c r="G22" s="1058"/>
      <c r="H22" s="1151">
        <f>SUM(H16:H20)</f>
        <v>188.2575414461754</v>
      </c>
      <c r="I22" s="1060"/>
      <c r="J22" s="1158">
        <f>IF(E$11&lt;&gt;"",IF(OR(B$11="No Filing Date","Enter Filing Date",E$11&lt;D$11),"Error in Filing Date",IF('R8a - Tax Reconciliation'!B$11="Original Filing",D22-H22,E22-H22)),IF(OR(B$11="No Filing Date","Enter Filing Date"),"Error in Filing Date",IF('R8a - Tax Reconciliation'!B$11="Original Filing",D22-H22,E22-H22)))</f>
        <v>897.44245855382462</v>
      </c>
      <c r="K22" s="1067"/>
      <c r="L22" s="1062"/>
      <c r="N22" s="1035"/>
    </row>
    <row r="23" spans="1:16">
      <c r="A23" s="1074"/>
      <c r="B23" s="1070"/>
      <c r="C23" s="1055"/>
      <c r="D23" s="1075"/>
      <c r="E23" s="1075"/>
      <c r="F23" s="1057"/>
      <c r="G23" s="1058"/>
      <c r="H23" s="1075"/>
      <c r="I23" s="1060"/>
      <c r="J23" s="1076"/>
      <c r="K23" s="1077"/>
      <c r="L23" s="1062"/>
      <c r="N23" s="1035"/>
    </row>
    <row r="24" spans="1:16" ht="143.35">
      <c r="A24" s="1078" t="s">
        <v>867</v>
      </c>
      <c r="B24" s="1070"/>
      <c r="C24" s="1055" t="s">
        <v>861</v>
      </c>
      <c r="D24" s="1065">
        <v>-304.52736188350082</v>
      </c>
      <c r="E24" s="1065"/>
      <c r="F24" s="1057"/>
      <c r="G24" s="1058" t="str">
        <f t="shared" ref="G24:G25" si="1">IF($B$4="ESO2", $B$4&amp; " " &amp;"PCFM - see Tax Allowance in 'System Operator' worksheet",  $B$4&amp; " " &amp;"PCFM - see Tax Allowance in 'Finance &amp;Tax' worksheet")</f>
        <v>GD2 PCFM - see Tax Allowance in 'Finance &amp;Tax' worksheet</v>
      </c>
      <c r="H24" s="1066">
        <v>-37.570166061312307</v>
      </c>
      <c r="I24" s="1060"/>
      <c r="J24" s="1158">
        <f>IF(E$11&lt;&gt;"",IF(OR(B$11="No Filing Date","Enter Filing Date",E$11&lt;D$11),"Error in Filing Date",IF('R8a - Tax Reconciliation'!B$11="Original Filing",D24-H24,E24-H24)),IF(OR(B$11="No Filing Date","Enter Filing Date"),"Error in Filing Date",IF('R8a - Tax Reconciliation'!B$11="Original Filing",D24-H24,E24-H24)))</f>
        <v>-266.95719582218851</v>
      </c>
      <c r="K24" s="1067"/>
      <c r="L24" s="1068" t="s">
        <v>1067</v>
      </c>
      <c r="M24" s="1035"/>
      <c r="N24" s="1035"/>
      <c r="O24" s="1035"/>
    </row>
    <row r="25" spans="1:16">
      <c r="A25" s="1078" t="s">
        <v>868</v>
      </c>
      <c r="B25" s="1070"/>
      <c r="C25" s="1055" t="s">
        <v>861</v>
      </c>
      <c r="D25" s="1065">
        <v>-11.826106246499151</v>
      </c>
      <c r="E25" s="1065"/>
      <c r="F25" s="1057"/>
      <c r="G25" s="1058" t="str">
        <f t="shared" si="1"/>
        <v>GD2 PCFM - see Tax Allowance in 'Finance &amp;Tax' worksheet</v>
      </c>
      <c r="H25" s="1066">
        <v>-11.826106246499151</v>
      </c>
      <c r="I25" s="1060"/>
      <c r="J25" s="1158">
        <f>IF(E$11&lt;&gt;"",IF(OR(B$11="No Filing Date","Enter Filing Date",E$11&lt;D$11),"Error in Filing Date",IF('R8a - Tax Reconciliation'!B$11="Original Filing",D25-H25,E25-H25)),IF(OR(B$11="No Filing Date","Enter Filing Date"),"Error in Filing Date",IF('R8a - Tax Reconciliation'!B$11="Original Filing",D25-H25,E25-H25)))</f>
        <v>0</v>
      </c>
      <c r="K25" s="1067"/>
      <c r="L25" s="1068">
        <v>0</v>
      </c>
      <c r="M25" s="1035"/>
      <c r="N25" s="1035"/>
      <c r="O25" s="1035"/>
    </row>
    <row r="26" spans="1:16">
      <c r="A26" s="1315" t="s">
        <v>869</v>
      </c>
      <c r="B26" s="1316"/>
      <c r="C26" s="1055" t="s">
        <v>861</v>
      </c>
      <c r="D26" s="1065">
        <v>0</v>
      </c>
      <c r="E26" s="1065"/>
      <c r="F26" s="1057"/>
      <c r="G26" s="1058"/>
      <c r="H26" s="1057"/>
      <c r="I26" s="1060"/>
      <c r="J26" s="1060"/>
      <c r="K26" s="1067"/>
      <c r="L26" s="1062"/>
      <c r="M26" s="1035"/>
      <c r="N26" s="1035"/>
      <c r="O26" s="1035"/>
    </row>
    <row r="27" spans="1:16">
      <c r="A27" s="1315" t="s">
        <v>870</v>
      </c>
      <c r="B27" s="1316"/>
      <c r="C27" s="1055" t="s">
        <v>861</v>
      </c>
      <c r="D27" s="1065">
        <v>1.8</v>
      </c>
      <c r="E27" s="1065"/>
      <c r="F27" s="1057"/>
      <c r="G27" s="1058"/>
      <c r="H27" s="1057"/>
      <c r="I27" s="1060"/>
      <c r="J27" s="1060"/>
      <c r="K27" s="1067"/>
      <c r="L27" s="1062"/>
      <c r="M27" s="1035"/>
      <c r="N27" s="1035"/>
      <c r="O27" s="1035"/>
    </row>
    <row r="28" spans="1:16">
      <c r="A28" s="1069" t="s">
        <v>871</v>
      </c>
      <c r="B28" s="1070"/>
      <c r="C28" s="1055" t="s">
        <v>861</v>
      </c>
      <c r="D28" s="1065">
        <v>-381.3</v>
      </c>
      <c r="E28" s="1065"/>
      <c r="F28" s="1057"/>
      <c r="G28" s="1058"/>
      <c r="H28" s="1057"/>
      <c r="I28" s="1060"/>
      <c r="J28" s="1060"/>
      <c r="K28" s="1067"/>
      <c r="L28" s="1062"/>
      <c r="M28" s="1035"/>
      <c r="N28" s="1035"/>
      <c r="O28" s="1035"/>
    </row>
    <row r="29" spans="1:16">
      <c r="A29" s="1069" t="s">
        <v>872</v>
      </c>
      <c r="B29" s="1070"/>
      <c r="C29" s="1055" t="s">
        <v>861</v>
      </c>
      <c r="D29" s="1065">
        <v>-21.2</v>
      </c>
      <c r="E29" s="1065"/>
      <c r="F29" s="1057"/>
      <c r="G29" s="1058"/>
      <c r="H29" s="1057"/>
      <c r="I29" s="1060"/>
      <c r="J29" s="1060"/>
      <c r="K29" s="1067"/>
      <c r="L29" s="1062"/>
      <c r="M29" s="1035"/>
      <c r="N29" s="1035"/>
      <c r="O29" s="1035"/>
    </row>
    <row r="30" spans="1:16">
      <c r="A30" s="1069"/>
      <c r="B30" s="1070"/>
      <c r="C30" s="1055"/>
      <c r="D30" s="1056"/>
      <c r="E30" s="1056"/>
      <c r="F30" s="1057"/>
      <c r="G30" s="1058"/>
      <c r="H30" s="1057"/>
      <c r="I30" s="1060"/>
      <c r="J30" s="1060"/>
      <c r="K30" s="1067"/>
      <c r="L30" s="1062"/>
      <c r="M30" s="1035"/>
      <c r="N30" s="1035"/>
      <c r="O30" s="1035"/>
    </row>
    <row r="31" spans="1:16">
      <c r="A31" s="1079" t="s">
        <v>873</v>
      </c>
      <c r="B31" s="1072"/>
      <c r="C31" s="1073" t="s">
        <v>861</v>
      </c>
      <c r="D31" s="1151">
        <f>SUM(D22:D30)</f>
        <v>368.64653186999999</v>
      </c>
      <c r="E31" s="1151">
        <f>SUM(E22:E30)</f>
        <v>0</v>
      </c>
      <c r="F31" s="1057"/>
      <c r="G31" s="1080" t="s">
        <v>874</v>
      </c>
      <c r="H31" s="1151">
        <f>SUM(H22:H30)</f>
        <v>138.86126913836392</v>
      </c>
      <c r="I31" s="1060"/>
      <c r="J31" s="1158">
        <f>IF(E$11&lt;&gt;"",IF(OR(B$11="No Filing Date","Enter Filing Date",E$11&lt;D$11),"Error in Filing Date",IF('R8a - Tax Reconciliation'!B$11="Original Filing",D31-H31,E31-H31)),IF(OR(B$11="No Filing Date","Enter Filing Date"),"Error in Filing Date",IF('R8a - Tax Reconciliation'!B$11="Original Filing",D31-H31,E31-H31)))</f>
        <v>229.78526273163607</v>
      </c>
      <c r="K31" s="1067" t="str">
        <f>IF(OR(J31&gt;=Data!$C$10,J31&lt;=-Data!$C$10), "Material", "Immaterial")</f>
        <v>Material</v>
      </c>
      <c r="L31" s="1068">
        <v>0</v>
      </c>
      <c r="N31" s="1035"/>
    </row>
    <row r="32" spans="1:16">
      <c r="A32" s="1081"/>
      <c r="B32" s="1054"/>
      <c r="C32" s="1055"/>
      <c r="D32" s="1060"/>
      <c r="E32" s="1060"/>
      <c r="F32" s="1057"/>
      <c r="G32" s="1058"/>
      <c r="I32" s="1060"/>
      <c r="J32" s="1076"/>
      <c r="K32" s="1077"/>
      <c r="L32" s="1062"/>
      <c r="M32" s="1082"/>
      <c r="N32" s="1082"/>
      <c r="O32" s="1082"/>
    </row>
    <row r="33" spans="1:16">
      <c r="A33" s="1083" t="s">
        <v>875</v>
      </c>
      <c r="B33" s="1064"/>
      <c r="C33" s="1055"/>
      <c r="D33" s="1056"/>
      <c r="E33" s="1056"/>
      <c r="F33" s="1057"/>
      <c r="G33" s="1058"/>
      <c r="H33" s="1057"/>
      <c r="I33" s="1060"/>
      <c r="J33" s="1060"/>
      <c r="K33" s="1067"/>
      <c r="L33" s="1062"/>
      <c r="M33" s="1035"/>
      <c r="N33" s="1035"/>
      <c r="O33" s="1035"/>
    </row>
    <row r="34" spans="1:16">
      <c r="A34" s="1069"/>
      <c r="B34" s="1070"/>
      <c r="C34" s="1055"/>
      <c r="D34" s="1056"/>
      <c r="E34" s="1056"/>
      <c r="F34" s="1057"/>
      <c r="G34" s="1058"/>
      <c r="H34" s="1057"/>
      <c r="I34" s="1060"/>
      <c r="J34" s="1060"/>
      <c r="K34" s="1067"/>
      <c r="L34" s="1062"/>
      <c r="M34" s="1035"/>
      <c r="N34" s="1035"/>
      <c r="O34" s="1035"/>
    </row>
    <row r="35" spans="1:16">
      <c r="A35" s="1325" t="s">
        <v>876</v>
      </c>
      <c r="B35" s="1326"/>
      <c r="D35" s="1084"/>
      <c r="E35" s="1084"/>
      <c r="F35" s="1084"/>
      <c r="G35" s="1085"/>
      <c r="H35" s="1084"/>
      <c r="I35" s="1084"/>
      <c r="J35" s="1084"/>
      <c r="K35" s="1085"/>
      <c r="L35" s="1086"/>
      <c r="M35" s="1073"/>
      <c r="N35" s="1073"/>
      <c r="O35" s="1073"/>
      <c r="P35" s="1073"/>
    </row>
    <row r="36" spans="1:16">
      <c r="A36" s="1315" t="s">
        <v>877</v>
      </c>
      <c r="B36" s="1316"/>
      <c r="C36" s="1055" t="s">
        <v>861</v>
      </c>
      <c r="D36" s="1065">
        <v>0</v>
      </c>
      <c r="E36" s="1065"/>
      <c r="F36" s="1057"/>
      <c r="G36" s="1058"/>
      <c r="H36" s="1057"/>
      <c r="I36" s="1060"/>
      <c r="J36" s="1057"/>
      <c r="K36" s="1058"/>
      <c r="L36" s="1057"/>
      <c r="M36" s="1073"/>
      <c r="N36" s="1073"/>
      <c r="O36" s="1073"/>
      <c r="P36" s="1073"/>
    </row>
    <row r="37" spans="1:16">
      <c r="A37" s="1087"/>
      <c r="B37" s="1088"/>
      <c r="D37" s="1084"/>
      <c r="E37" s="1084"/>
      <c r="F37" s="1084"/>
      <c r="I37" s="1084"/>
      <c r="K37" s="1085"/>
      <c r="L37" s="1057"/>
      <c r="M37" s="1073"/>
      <c r="N37" s="1073"/>
      <c r="O37" s="1073"/>
      <c r="P37" s="1073"/>
    </row>
    <row r="38" spans="1:16" s="1055" customFormat="1">
      <c r="A38" s="1325" t="s">
        <v>878</v>
      </c>
      <c r="B38" s="1326"/>
      <c r="C38" s="1033"/>
      <c r="D38" s="1084"/>
      <c r="E38" s="1084"/>
      <c r="F38" s="1084"/>
      <c r="G38" s="1085"/>
      <c r="H38" s="1084"/>
      <c r="I38" s="1084"/>
      <c r="J38" s="1057"/>
      <c r="K38" s="1058"/>
      <c r="L38" s="1057"/>
      <c r="N38" s="1073"/>
    </row>
    <row r="39" spans="1:16" s="1055" customFormat="1">
      <c r="A39" s="1315" t="s">
        <v>877</v>
      </c>
      <c r="B39" s="1316"/>
      <c r="C39" s="1055" t="s">
        <v>861</v>
      </c>
      <c r="D39" s="1065">
        <v>0</v>
      </c>
      <c r="E39" s="1065"/>
      <c r="F39" s="1057"/>
      <c r="G39" s="1058"/>
      <c r="H39" s="1057"/>
      <c r="I39" s="1060"/>
      <c r="J39" s="1057"/>
      <c r="K39" s="1058"/>
      <c r="L39" s="1057"/>
      <c r="N39" s="1073"/>
    </row>
    <row r="40" spans="1:16">
      <c r="A40" s="1087"/>
      <c r="B40" s="1089"/>
      <c r="D40" s="1084"/>
      <c r="E40" s="1084"/>
      <c r="F40" s="1084"/>
      <c r="G40" s="1085"/>
      <c r="H40" s="1084"/>
      <c r="I40" s="1084"/>
      <c r="J40" s="1057"/>
      <c r="K40" s="1058"/>
      <c r="L40" s="1057"/>
      <c r="M40" s="1073"/>
      <c r="N40" s="1073"/>
      <c r="O40" s="1073"/>
      <c r="P40" s="1073"/>
    </row>
    <row r="41" spans="1:16">
      <c r="A41" s="1325" t="s">
        <v>879</v>
      </c>
      <c r="B41" s="1326"/>
      <c r="D41" s="1084"/>
      <c r="E41" s="1084"/>
      <c r="F41" s="1084"/>
      <c r="G41" s="1085"/>
      <c r="H41" s="1084"/>
      <c r="I41" s="1084"/>
      <c r="J41" s="1057"/>
      <c r="K41" s="1058"/>
      <c r="L41" s="1057"/>
      <c r="M41" s="1073"/>
      <c r="N41" s="1073"/>
      <c r="O41" s="1073"/>
      <c r="P41" s="1073"/>
    </row>
    <row r="42" spans="1:16" s="1055" customFormat="1">
      <c r="A42" s="1327" t="s">
        <v>877</v>
      </c>
      <c r="B42" s="1328"/>
      <c r="C42" s="1055" t="s">
        <v>861</v>
      </c>
      <c r="D42" s="1065">
        <v>0</v>
      </c>
      <c r="E42" s="1065"/>
      <c r="F42" s="1057"/>
      <c r="G42" s="1058"/>
      <c r="H42" s="1057"/>
      <c r="I42" s="1060"/>
      <c r="J42" s="1057"/>
      <c r="K42" s="1058"/>
      <c r="L42" s="1057"/>
      <c r="N42" s="1073"/>
    </row>
    <row r="43" spans="1:16" s="1055" customFormat="1">
      <c r="A43" s="1054"/>
      <c r="B43" s="1054"/>
      <c r="D43" s="1057"/>
      <c r="E43" s="1057"/>
      <c r="F43" s="1057"/>
      <c r="G43" s="1058"/>
      <c r="H43" s="1057"/>
      <c r="I43" s="1060"/>
      <c r="J43" s="1060"/>
      <c r="K43" s="1067"/>
      <c r="L43" s="1062"/>
      <c r="M43" s="1035"/>
      <c r="N43" s="1035"/>
      <c r="O43" s="1035"/>
      <c r="P43" s="1035"/>
    </row>
    <row r="44" spans="1:16" s="1055" customFormat="1">
      <c r="A44" s="1079" t="s">
        <v>880</v>
      </c>
      <c r="B44" s="1072"/>
      <c r="C44" s="1073" t="s">
        <v>861</v>
      </c>
      <c r="D44" s="1151">
        <f>SUM(D31:D43)</f>
        <v>368.64653186999999</v>
      </c>
      <c r="E44" s="1151">
        <f>SUM(E31:E43)</f>
        <v>0</v>
      </c>
      <c r="F44" s="1057"/>
      <c r="G44" s="1058"/>
      <c r="H44" s="1151">
        <f>SUM(H31:H43)</f>
        <v>138.86126913836392</v>
      </c>
      <c r="I44" s="1060"/>
      <c r="J44" s="1158">
        <f>IF(E$11&lt;&gt;"",IF(OR(B$11="No Filing Date","Enter Filing Date",E$11&lt;D$11),"Error in Filing Date",IF('R8a - Tax Reconciliation'!B$11="Original Filing",D44-H44,E44-H44)),IF(OR(B$11="No Filing Date","Enter Filing Date"),"Error in Filing Date",IF('R8a - Tax Reconciliation'!B$11="Original Filing",D44-H44,E44-H44)))</f>
        <v>229.78526273163607</v>
      </c>
      <c r="K44" s="1067" t="str">
        <f>IF(OR(J44&gt;=Data!$C$10,J44&lt;=-Data!$C$10), "Material", "Immaterial")</f>
        <v>Material</v>
      </c>
      <c r="L44" s="1068"/>
      <c r="M44" s="1035"/>
      <c r="N44" s="1035"/>
      <c r="O44" s="1035"/>
      <c r="P44" s="1035"/>
    </row>
    <row r="45" spans="1:16" s="1055" customFormat="1">
      <c r="A45" s="1090"/>
      <c r="B45" s="1090"/>
      <c r="C45" s="1033"/>
      <c r="D45" s="1091"/>
      <c r="E45" s="1091"/>
      <c r="F45" s="1091"/>
      <c r="G45" s="1092"/>
      <c r="H45" s="1091"/>
      <c r="I45" s="1084"/>
      <c r="J45" s="1084"/>
      <c r="K45" s="1085"/>
      <c r="L45" s="1086"/>
      <c r="M45" s="1035"/>
      <c r="N45" s="1035"/>
      <c r="O45" s="1035"/>
      <c r="P45" s="1035"/>
    </row>
    <row r="46" spans="1:16" s="1055" customFormat="1">
      <c r="A46" s="1093" t="s">
        <v>881</v>
      </c>
      <c r="B46" s="1094"/>
      <c r="C46" s="1033"/>
      <c r="D46" s="1091"/>
      <c r="E46" s="1091"/>
      <c r="F46" s="1091"/>
      <c r="G46" s="1092"/>
      <c r="H46" s="1091"/>
      <c r="I46" s="1084"/>
      <c r="J46" s="1084"/>
      <c r="K46" s="1085"/>
      <c r="L46" s="1086"/>
      <c r="M46" s="1035"/>
      <c r="N46" s="1035"/>
      <c r="O46" s="1035"/>
      <c r="P46" s="1035"/>
    </row>
    <row r="47" spans="1:16" s="1055" customFormat="1">
      <c r="A47" s="1095"/>
      <c r="B47" s="1096"/>
      <c r="C47" s="1033"/>
      <c r="D47" s="1091"/>
      <c r="E47" s="1091"/>
      <c r="F47" s="1091"/>
      <c r="G47" s="1092"/>
      <c r="H47" s="1091"/>
      <c r="I47" s="1084"/>
      <c r="J47" s="1084"/>
      <c r="K47" s="1085"/>
      <c r="L47" s="1086"/>
      <c r="M47" s="1035"/>
      <c r="N47" s="1035"/>
      <c r="O47" s="1035"/>
      <c r="P47" s="1035"/>
    </row>
    <row r="48" spans="1:16" s="1055" customFormat="1">
      <c r="A48" s="1097" t="s">
        <v>882</v>
      </c>
      <c r="B48" s="1096"/>
      <c r="C48" s="1033"/>
      <c r="D48" s="1091"/>
      <c r="E48" s="1091"/>
      <c r="F48" s="1091"/>
      <c r="G48" s="1092"/>
      <c r="H48" s="1091"/>
      <c r="I48" s="1084"/>
      <c r="J48" s="1084"/>
      <c r="K48" s="1085"/>
      <c r="L48" s="1086"/>
      <c r="M48" s="1035"/>
      <c r="N48" s="1035"/>
      <c r="O48" s="1035"/>
      <c r="P48" s="1035"/>
    </row>
    <row r="49" spans="1:22" s="1055" customFormat="1">
      <c r="A49" s="1069" t="s">
        <v>883</v>
      </c>
      <c r="B49" s="1070"/>
      <c r="C49" s="1055" t="s">
        <v>861</v>
      </c>
      <c r="D49" s="1065">
        <v>0.60000000000000009</v>
      </c>
      <c r="E49" s="1065"/>
      <c r="F49" s="1057"/>
      <c r="G49" s="1058"/>
      <c r="H49" s="1065">
        <v>0</v>
      </c>
      <c r="I49" s="1060"/>
      <c r="J49" s="1158">
        <f>IF(E$11&lt;&gt;"",IF(OR(B$11="No Filing Date","Enter Filing Date",E$11&lt;D$11),"Error in Filing Date",IF('R8a - Tax Reconciliation'!B$11="Original Filing",D49-H49,E49-H49)),IF(OR(B$11="No Filing Date","Enter Filing Date"),"Error in Filing Date",IF('R8a - Tax Reconciliation'!B$11="Original Filing",D49-H49,E49-H49)))</f>
        <v>0.60000000000000009</v>
      </c>
      <c r="K49" s="1067" t="str">
        <f>IF(OR(J49&gt;=Data!$C$10,J49&lt;=-Data!$C$10), "Material", "Immaterial")</f>
        <v>Immaterial</v>
      </c>
      <c r="L49" s="1098" t="s">
        <v>1068</v>
      </c>
      <c r="N49" s="1073"/>
    </row>
    <row r="50" spans="1:22" s="1055" customFormat="1" ht="100.35">
      <c r="A50" s="1069" t="s">
        <v>884</v>
      </c>
      <c r="B50" s="1070"/>
      <c r="C50" s="1055" t="s">
        <v>861</v>
      </c>
      <c r="D50" s="1065">
        <v>-30.1</v>
      </c>
      <c r="E50" s="1065"/>
      <c r="F50" s="1057"/>
      <c r="G50" s="1058"/>
      <c r="H50" s="1065">
        <v>0</v>
      </c>
      <c r="I50" s="1060"/>
      <c r="J50" s="1158">
        <f>IF(E$11&lt;&gt;"",IF(OR(B$11="No Filing Date","Enter Filing Date",E$11&lt;D$11),"Error in Filing Date",IF('R8a - Tax Reconciliation'!B$11="Original Filing",D50-H50,E50-H50)),IF(OR(B$11="No Filing Date","Enter Filing Date"),"Error in Filing Date",IF('R8a - Tax Reconciliation'!B$11="Original Filing",D50-H50,E50-H50)))</f>
        <v>-30.1</v>
      </c>
      <c r="K50" s="1067" t="str">
        <f>IF(OR(J50&gt;=Data!$C$10,J50&lt;=-Data!$C$10), "Material", "Immaterial")</f>
        <v>Material</v>
      </c>
      <c r="L50" s="1098" t="s">
        <v>1069</v>
      </c>
      <c r="M50" s="1035"/>
      <c r="N50" s="1035"/>
      <c r="O50" s="1035"/>
      <c r="P50" s="1035"/>
    </row>
    <row r="51" spans="1:22" s="1055" customFormat="1">
      <c r="A51" s="1069" t="s">
        <v>885</v>
      </c>
      <c r="B51" s="1070"/>
      <c r="C51" s="1055" t="s">
        <v>861</v>
      </c>
      <c r="D51" s="1065">
        <v>372</v>
      </c>
      <c r="E51" s="1065"/>
      <c r="F51" s="1057"/>
      <c r="G51" s="1058"/>
      <c r="H51" s="1065">
        <v>0</v>
      </c>
      <c r="I51" s="1060"/>
      <c r="J51" s="1158">
        <f>IF(E$11&lt;&gt;"",IF(OR(B$11="No Filing Date","Enter Filing Date",E$11&lt;D$11),"Error in Filing Date",IF('R8a - Tax Reconciliation'!B$11="Original Filing",D51-H51,E51-H51)),IF(OR(B$11="No Filing Date","Enter Filing Date"),"Error in Filing Date",IF('R8a - Tax Reconciliation'!B$11="Original Filing",D51-H51,E51-H51)))</f>
        <v>372</v>
      </c>
      <c r="K51" s="1067" t="str">
        <f>IF(OR(J51&gt;=Data!$C$10,J51&lt;=-Data!$C$10), "Material", "Immaterial")</f>
        <v>Material</v>
      </c>
      <c r="L51" s="1098" t="s">
        <v>1070</v>
      </c>
      <c r="N51" s="1073"/>
    </row>
    <row r="52" spans="1:22">
      <c r="A52" s="1069" t="s">
        <v>872</v>
      </c>
      <c r="B52" s="1070"/>
      <c r="C52" s="1055" t="s">
        <v>861</v>
      </c>
      <c r="D52" s="1065">
        <v>21.2</v>
      </c>
      <c r="E52" s="1065"/>
      <c r="F52" s="1057"/>
      <c r="G52" s="1058"/>
      <c r="H52" s="1065">
        <v>0</v>
      </c>
      <c r="I52" s="1060"/>
      <c r="J52" s="1158">
        <f>IF(E$11&lt;&gt;"",IF(OR(B$11="No Filing Date","Enter Filing Date",E$11&lt;D$11),"Error in Filing Date",IF('R8a - Tax Reconciliation'!B$11="Original Filing",D52-H52,E52-H52)),IF(OR(B$11="No Filing Date","Enter Filing Date"),"Error in Filing Date",IF('R8a - Tax Reconciliation'!B$11="Original Filing",D52-H52,E52-H52)))</f>
        <v>21.2</v>
      </c>
      <c r="K52" s="1067" t="str">
        <f>IF(OR(J52&gt;=Data!$C$10,J52&lt;=-Data!$C$10), "Material", "Immaterial")</f>
        <v>Material</v>
      </c>
      <c r="L52" s="1098" t="s">
        <v>1071</v>
      </c>
      <c r="M52" s="1073"/>
      <c r="N52" s="1073"/>
      <c r="O52" s="1073"/>
      <c r="P52" s="1073"/>
    </row>
    <row r="53" spans="1:22">
      <c r="A53" s="1099" t="s">
        <v>886</v>
      </c>
      <c r="B53" s="1100"/>
      <c r="C53" s="1055" t="s">
        <v>861</v>
      </c>
      <c r="D53" s="1065">
        <v>2.5</v>
      </c>
      <c r="E53" s="1065"/>
      <c r="F53" s="1057"/>
      <c r="G53" s="1058"/>
      <c r="H53" s="1065">
        <v>0</v>
      </c>
      <c r="I53" s="1060"/>
      <c r="J53" s="1158">
        <f>IF(E$11&lt;&gt;"",IF(OR(B$11="No Filing Date","Enter Filing Date",E$11&lt;D$11),"Error in Filing Date",IF('R8a - Tax Reconciliation'!B$11="Original Filing",D53-H53,E53-H53)),IF(OR(B$11="No Filing Date","Enter Filing Date"),"Error in Filing Date",IF('R8a - Tax Reconciliation'!B$11="Original Filing",D53-H53,E53-H53)))</f>
        <v>2.5</v>
      </c>
      <c r="K53" s="1067" t="str">
        <f>IF(OR(J53&gt;=Data!$C$10,J53&lt;=-Data!$C$10), "Material", "Immaterial")</f>
        <v>Immaterial</v>
      </c>
      <c r="L53" s="1098">
        <v>0</v>
      </c>
      <c r="N53" s="1035"/>
    </row>
    <row r="54" spans="1:22">
      <c r="A54" s="1315" t="s">
        <v>887</v>
      </c>
      <c r="B54" s="1316"/>
      <c r="C54" s="1055" t="s">
        <v>861</v>
      </c>
      <c r="D54" s="1065">
        <v>0</v>
      </c>
      <c r="E54" s="1065"/>
      <c r="F54" s="1101"/>
      <c r="G54" s="1058"/>
      <c r="H54" s="1065">
        <v>0</v>
      </c>
      <c r="I54" s="1102"/>
      <c r="J54" s="1158">
        <f>IF(E$11&lt;&gt;"",IF(OR(B$11="No Filing Date","Enter Filing Date",E$11&lt;D$11),"Error in Filing Date",IF('R8a - Tax Reconciliation'!B$11="Original Filing",D54-H54,E54-H54)),IF(OR(B$11="No Filing Date","Enter Filing Date"),"Error in Filing Date",IF('R8a - Tax Reconciliation'!B$11="Original Filing",D54-H54,E54-H54)))</f>
        <v>0</v>
      </c>
      <c r="K54" s="1067" t="str">
        <f>IF(OR(J54&gt;=Data!$C$10,J54&lt;=-Data!$C$10), "Material", "Immaterial")</f>
        <v>Immaterial</v>
      </c>
      <c r="L54" s="1098">
        <v>0</v>
      </c>
      <c r="N54" s="1035"/>
    </row>
    <row r="55" spans="1:22" ht="71.7">
      <c r="A55" s="1103" t="s">
        <v>888</v>
      </c>
      <c r="B55" s="1100"/>
      <c r="C55" s="1055" t="s">
        <v>861</v>
      </c>
      <c r="D55" s="1065">
        <v>-98.4</v>
      </c>
      <c r="E55" s="1065"/>
      <c r="F55" s="1060"/>
      <c r="G55" s="1058" t="str">
        <f t="shared" ref="G55" si="2">IF($B$4="ESO2", $B$4&amp; " " &amp;"PCFM - see Tax Allowance in 'System Operator' worksheet",  $B$4&amp; " " &amp;"PCFM - see Tax Allowance in 'Finance &amp;Tax' worksheet")</f>
        <v>GD2 PCFM - see Tax Allowance in 'Finance &amp;Tax' worksheet</v>
      </c>
      <c r="H55" s="1066">
        <v>-11.1</v>
      </c>
      <c r="I55" s="1102"/>
      <c r="J55" s="1158">
        <f>IF(E$11&lt;&gt;"",IF(OR(B$11="No Filing Date","Enter Filing Date",E$11&lt;D$11),"Error in Filing Date",IF('R8a - Tax Reconciliation'!B$11="Original Filing",D55-H55,E55-H55)),IF(OR(B$11="No Filing Date","Enter Filing Date"),"Error in Filing Date",IF('R8a - Tax Reconciliation'!B$11="Original Filing",D55-H55,E55-H55)))</f>
        <v>-87.300000000000011</v>
      </c>
      <c r="K55" s="1067" t="str">
        <f>IF(OR(J55&gt;=Data!$C$10,J55&lt;=-Data!$C$10), "Material", "Immaterial")</f>
        <v>Material</v>
      </c>
      <c r="L55" s="1098" t="s">
        <v>1072</v>
      </c>
      <c r="N55" s="1035"/>
    </row>
    <row r="56" spans="1:22">
      <c r="A56" s="1069" t="s">
        <v>889</v>
      </c>
      <c r="B56" s="1070"/>
      <c r="C56" s="1055" t="s">
        <v>861</v>
      </c>
      <c r="D56" s="1065">
        <v>0</v>
      </c>
      <c r="E56" s="1065"/>
      <c r="F56" s="1057"/>
      <c r="G56" s="1058"/>
      <c r="H56" s="1065">
        <v>0</v>
      </c>
      <c r="I56" s="1060"/>
      <c r="J56" s="1158">
        <f>IF(E$11&lt;&gt;"",IF(OR(B$11="No Filing Date","Enter Filing Date",E$11&lt;D$11),"Error in Filing Date",IF('R8a - Tax Reconciliation'!B$11="Original Filing",D56-H56,E56-H56)),IF(OR(B$11="No Filing Date","Enter Filing Date"),"Error in Filing Date",IF('R8a - Tax Reconciliation'!B$11="Original Filing",D56-H56,E56-H56)))</f>
        <v>0</v>
      </c>
      <c r="K56" s="1067" t="str">
        <f>IF(OR(J56&gt;=Data!$C$10,J56&lt;=-Data!$C$10), "Material", "Immaterial")</f>
        <v>Immaterial</v>
      </c>
      <c r="L56" s="1098">
        <v>0</v>
      </c>
      <c r="M56" s="1073"/>
      <c r="N56" s="1073"/>
      <c r="O56" s="1073"/>
      <c r="P56" s="1073"/>
    </row>
    <row r="57" spans="1:22">
      <c r="A57" s="1069" t="s">
        <v>890</v>
      </c>
      <c r="B57" s="1070"/>
      <c r="C57" s="1055" t="s">
        <v>861</v>
      </c>
      <c r="D57" s="1065">
        <v>0</v>
      </c>
      <c r="E57" s="1065"/>
      <c r="F57" s="1057"/>
      <c r="G57" s="1058"/>
      <c r="H57" s="1065">
        <v>0</v>
      </c>
      <c r="I57" s="1060"/>
      <c r="J57" s="1158">
        <f>IF(E$11&lt;&gt;"",IF(OR(B$11="No Filing Date","Enter Filing Date",E$11&lt;D$11),"Error in Filing Date",IF('R8a - Tax Reconciliation'!B$11="Original Filing",D57-H57,E57-H57)),IF(OR(B$11="No Filing Date","Enter Filing Date"),"Error in Filing Date",IF('R8a - Tax Reconciliation'!B$11="Original Filing",D57-H57,E57-H57)))</f>
        <v>0</v>
      </c>
      <c r="K57" s="1067" t="str">
        <f>IF(OR(J57&gt;=Data!$C$10,J57&lt;=-Data!$C$10), "Material", "Immaterial")</f>
        <v>Immaterial</v>
      </c>
      <c r="L57" s="1098">
        <v>0</v>
      </c>
      <c r="M57" s="1035"/>
      <c r="N57" s="1035"/>
      <c r="O57" s="1035"/>
      <c r="P57" s="1035"/>
      <c r="Q57" s="1055"/>
      <c r="R57" s="1055"/>
      <c r="S57" s="1055"/>
      <c r="T57" s="1055"/>
      <c r="U57" s="1055"/>
      <c r="V57" s="1055"/>
    </row>
    <row r="58" spans="1:22">
      <c r="A58" s="1069" t="s">
        <v>891</v>
      </c>
      <c r="B58" s="1070"/>
      <c r="C58" s="1055" t="s">
        <v>861</v>
      </c>
      <c r="D58" s="1065">
        <v>0</v>
      </c>
      <c r="E58" s="1065"/>
      <c r="F58" s="1057"/>
      <c r="G58" s="1058"/>
      <c r="H58" s="1065">
        <v>0</v>
      </c>
      <c r="I58" s="1060"/>
      <c r="J58" s="1158">
        <f>IF(E$11&lt;&gt;"",IF(OR(B$11="No Filing Date","Enter Filing Date",E$11&lt;D$11),"Error in Filing Date",IF('R8a - Tax Reconciliation'!B$11="Original Filing",D58-H58,E58-H58)),IF(OR(B$11="No Filing Date","Enter Filing Date"),"Error in Filing Date",IF('R8a - Tax Reconciliation'!B$11="Original Filing",D58-H58,E58-H58)))</f>
        <v>0</v>
      </c>
      <c r="K58" s="1067" t="str">
        <f>IF(OR(J58&gt;=Data!$C$10,J58&lt;=-Data!$C$10), "Material", "Immaterial")</f>
        <v>Immaterial</v>
      </c>
      <c r="L58" s="1098">
        <v>0</v>
      </c>
      <c r="M58" s="1035"/>
      <c r="N58" s="1035"/>
      <c r="O58" s="1035"/>
      <c r="P58" s="1035"/>
      <c r="Q58" s="1055"/>
      <c r="R58" s="1055"/>
      <c r="S58" s="1055"/>
      <c r="T58" s="1055"/>
      <c r="U58" s="1055"/>
      <c r="V58" s="1055"/>
    </row>
    <row r="59" spans="1:22">
      <c r="A59" s="1069" t="s">
        <v>892</v>
      </c>
      <c r="B59" s="1070"/>
      <c r="C59" s="1055" t="s">
        <v>861</v>
      </c>
      <c r="D59" s="1065">
        <v>0</v>
      </c>
      <c r="E59" s="1065"/>
      <c r="F59" s="1057"/>
      <c r="G59" s="1058"/>
      <c r="H59" s="1065">
        <v>0</v>
      </c>
      <c r="I59" s="1060"/>
      <c r="J59" s="1158">
        <f>IF(E$11&lt;&gt;"",IF(OR(B$11="No Filing Date","Enter Filing Date",E$11&lt;D$11),"Error in Filing Date",IF('R8a - Tax Reconciliation'!B$11="Original Filing",D59-H59,E59-H59)),IF(OR(B$11="No Filing Date","Enter Filing Date"),"Error in Filing Date",IF('R8a - Tax Reconciliation'!B$11="Original Filing",D59-H59,E59-H59)))</f>
        <v>0</v>
      </c>
      <c r="K59" s="1067" t="str">
        <f>IF(OR(J59&gt;=Data!$C$10,J59&lt;=-Data!$C$10), "Material", "Immaterial")</f>
        <v>Immaterial</v>
      </c>
      <c r="L59" s="1098">
        <v>0</v>
      </c>
      <c r="N59" s="1035"/>
    </row>
    <row r="60" spans="1:22">
      <c r="A60" s="1069" t="s">
        <v>893</v>
      </c>
      <c r="B60" s="1070"/>
      <c r="C60" s="1055" t="s">
        <v>861</v>
      </c>
      <c r="D60" s="1065">
        <v>-1.4</v>
      </c>
      <c r="E60" s="1065"/>
      <c r="F60" s="1057"/>
      <c r="G60" s="1058"/>
      <c r="H60" s="1065">
        <v>0</v>
      </c>
      <c r="I60" s="1060"/>
      <c r="J60" s="1158">
        <f>IF(E$11&lt;&gt;"",IF(OR(B$11="No Filing Date","Enter Filing Date",E$11&lt;D$11),"Error in Filing Date",IF('R8a - Tax Reconciliation'!B$11="Original Filing",D60-H60,E60-H60)),IF(OR(B$11="No Filing Date","Enter Filing Date"),"Error in Filing Date",IF('R8a - Tax Reconciliation'!B$11="Original Filing",D60-H60,E60-H60)))</f>
        <v>-1.4</v>
      </c>
      <c r="K60" s="1067" t="str">
        <f>IF(OR(J60&gt;=Data!$C$10,J60&lt;=-Data!$C$10), "Material", "Immaterial")</f>
        <v>Immaterial</v>
      </c>
      <c r="L60" s="1098">
        <v>0</v>
      </c>
      <c r="N60" s="1035"/>
    </row>
    <row r="61" spans="1:22">
      <c r="A61" s="1069" t="s">
        <v>1090</v>
      </c>
      <c r="B61" s="1070"/>
      <c r="C61" s="1055" t="s">
        <v>861</v>
      </c>
      <c r="D61" s="1065">
        <v>-7.3</v>
      </c>
      <c r="E61" s="1065"/>
      <c r="F61" s="1057"/>
      <c r="G61" s="1058"/>
      <c r="H61" s="1065">
        <v>0</v>
      </c>
      <c r="I61" s="1060"/>
      <c r="J61" s="1158">
        <f>IF(E$11&lt;&gt;"",IF(OR(B$11="No Filing Date","Enter Filing Date",E$11&lt;D$11),"Error in Filing Date",IF('R8a - Tax Reconciliation'!B$11="Original Filing",D61-H61,E61-H61)),IF(OR(B$11="No Filing Date","Enter Filing Date"),"Error in Filing Date",IF('R8a - Tax Reconciliation'!B$11="Original Filing",D61-H61,E61-H61)))</f>
        <v>-7.3</v>
      </c>
      <c r="K61" s="1067" t="str">
        <f>IF(OR(J61&gt;=Data!$C$10,J61&lt;=-Data!$C$10), "Material", "Immaterial")</f>
        <v>Material</v>
      </c>
      <c r="L61" s="1098" t="s">
        <v>1073</v>
      </c>
      <c r="N61" s="1035"/>
    </row>
    <row r="62" spans="1:22" ht="71.7">
      <c r="A62" s="1069" t="s">
        <v>1091</v>
      </c>
      <c r="B62" s="1070"/>
      <c r="C62" s="1055" t="s">
        <v>861</v>
      </c>
      <c r="D62" s="1065">
        <v>-10.356</v>
      </c>
      <c r="E62" s="1065"/>
      <c r="F62" s="1057"/>
      <c r="G62" s="1058"/>
      <c r="H62" s="1065">
        <v>0</v>
      </c>
      <c r="I62" s="1060"/>
      <c r="J62" s="1158">
        <f>IF(E$11&lt;&gt;"",IF(OR(B$11="No Filing Date","Enter Filing Date",E$11&lt;D$11),"Error in Filing Date",IF('R8a - Tax Reconciliation'!B$11="Original Filing",D62-H62,E62-H62)),IF(OR(B$11="No Filing Date","Enter Filing Date"),"Error in Filing Date",IF('R8a - Tax Reconciliation'!B$11="Original Filing",D62-H62,E62-H62)))</f>
        <v>-10.356</v>
      </c>
      <c r="K62" s="1067" t="str">
        <f>IF(OR(J62&gt;=Data!$C$10,J62&lt;=-Data!$C$10), "Material", "Immaterial")</f>
        <v>Material</v>
      </c>
      <c r="L62" s="1098" t="s">
        <v>1074</v>
      </c>
      <c r="N62" s="1035"/>
    </row>
    <row r="63" spans="1:22" ht="28.7">
      <c r="A63" s="1069" t="s">
        <v>1092</v>
      </c>
      <c r="B63" s="1070"/>
      <c r="C63" s="1055" t="s">
        <v>861</v>
      </c>
      <c r="D63" s="1065">
        <v>-5.3879999999999999</v>
      </c>
      <c r="E63" s="1065"/>
      <c r="F63" s="1057"/>
      <c r="G63" s="1058"/>
      <c r="H63" s="1065">
        <v>0</v>
      </c>
      <c r="I63" s="1060"/>
      <c r="J63" s="1158">
        <f>IF(E$11&lt;&gt;"",IF(OR(B$11="No Filing Date","Enter Filing Date",E$11&lt;D$11),"Error in Filing Date",IF('R8a - Tax Reconciliation'!B$11="Original Filing",D63-H63,E63-H63)),IF(OR(B$11="No Filing Date","Enter Filing Date"),"Error in Filing Date",IF('R8a - Tax Reconciliation'!B$11="Original Filing",D63-H63,E63-H63)))</f>
        <v>-5.3879999999999999</v>
      </c>
      <c r="K63" s="1067" t="str">
        <f>IF(OR(J63&gt;=Data!$C$10,J63&lt;=-Data!$C$10), "Material", "Immaterial")</f>
        <v>Material</v>
      </c>
      <c r="L63" s="1098" t="s">
        <v>1075</v>
      </c>
      <c r="N63" s="1035"/>
    </row>
    <row r="64" spans="1:22">
      <c r="A64" s="1069" t="s">
        <v>1093</v>
      </c>
      <c r="B64" s="1070"/>
      <c r="C64" s="1055" t="s">
        <v>861</v>
      </c>
      <c r="D64" s="1065">
        <v>-0.96</v>
      </c>
      <c r="E64" s="1065"/>
      <c r="F64" s="1057"/>
      <c r="G64" s="1058"/>
      <c r="H64" s="1065">
        <v>0</v>
      </c>
      <c r="I64" s="1060"/>
      <c r="J64" s="1158">
        <f>IF(E$11&lt;&gt;"",IF(OR(B$11="No Filing Date","Enter Filing Date",E$11&lt;D$11),"Error in Filing Date",IF('R8a - Tax Reconciliation'!B$11="Original Filing",D64-H64,E64-H64)),IF(OR(B$11="No Filing Date","Enter Filing Date"),"Error in Filing Date",IF('R8a - Tax Reconciliation'!B$11="Original Filing",D64-H64,E64-H64)))</f>
        <v>-0.96</v>
      </c>
      <c r="K64" s="1067" t="str">
        <f>IF(OR(J64&gt;=Data!$C$10,J64&lt;=-Data!$C$10), "Material", "Immaterial")</f>
        <v>Immaterial</v>
      </c>
      <c r="L64" s="1098" t="s">
        <v>1076</v>
      </c>
      <c r="N64" s="1035"/>
    </row>
    <row r="65" spans="1:16" ht="43">
      <c r="A65" s="1069" t="s">
        <v>1094</v>
      </c>
      <c r="B65" s="1070"/>
      <c r="C65" s="1055" t="s">
        <v>861</v>
      </c>
      <c r="D65" s="1065">
        <v>-46</v>
      </c>
      <c r="E65" s="1065"/>
      <c r="F65" s="1057"/>
      <c r="G65" s="1058"/>
      <c r="H65" s="1065">
        <v>0</v>
      </c>
      <c r="I65" s="1060"/>
      <c r="J65" s="1158">
        <f>IF(E$11&lt;&gt;"",IF(OR(B$11="No Filing Date","Enter Filing Date",E$11&lt;D$11),"Error in Filing Date",IF('R8a - Tax Reconciliation'!B$11="Original Filing",D65-H65,E65-H65)),IF(OR(B$11="No Filing Date","Enter Filing Date"),"Error in Filing Date",IF('R8a - Tax Reconciliation'!B$11="Original Filing",D65-H65,E65-H65)))</f>
        <v>-46</v>
      </c>
      <c r="K65" s="1067" t="str">
        <f>IF(OR(J65&gt;=Data!$C$10,J65&lt;=-Data!$C$10), "Material", "Immaterial")</f>
        <v>Material</v>
      </c>
      <c r="L65" s="1098" t="s">
        <v>1077</v>
      </c>
      <c r="N65" s="1035"/>
    </row>
    <row r="66" spans="1:16" ht="43">
      <c r="A66" s="1069" t="s">
        <v>1095</v>
      </c>
      <c r="B66" s="1070"/>
      <c r="C66" s="1055" t="s">
        <v>861</v>
      </c>
      <c r="D66" s="1065">
        <v>7.2999999999999989</v>
      </c>
      <c r="E66" s="1065"/>
      <c r="F66" s="1057"/>
      <c r="G66" s="1058"/>
      <c r="H66" s="1065">
        <v>0</v>
      </c>
      <c r="I66" s="1060"/>
      <c r="J66" s="1158">
        <f>IF(E$11&lt;&gt;"",IF(OR(B$11="No Filing Date","Enter Filing Date",E$11&lt;D$11),"Error in Filing Date",IF('R8a - Tax Reconciliation'!B$11="Original Filing",D66-H66,E66-H66)),IF(OR(B$11="No Filing Date","Enter Filing Date"),"Error in Filing Date",IF('R8a - Tax Reconciliation'!B$11="Original Filing",D66-H66,E66-H66)))</f>
        <v>7.2999999999999989</v>
      </c>
      <c r="K66" s="1067" t="str">
        <f>IF(OR(J66&gt;=Data!$C$10,J66&lt;=-Data!$C$10), "Material", "Immaterial")</f>
        <v>Material</v>
      </c>
      <c r="L66" s="1098" t="s">
        <v>1078</v>
      </c>
      <c r="N66" s="1035"/>
    </row>
    <row r="67" spans="1:16" ht="71.7">
      <c r="A67" s="1069" t="s">
        <v>1096</v>
      </c>
      <c r="B67" s="1070"/>
      <c r="C67" s="1055" t="s">
        <v>861</v>
      </c>
      <c r="D67" s="1065">
        <v>15.1</v>
      </c>
      <c r="E67" s="1065"/>
      <c r="F67" s="1057"/>
      <c r="G67" s="1058"/>
      <c r="H67" s="1065">
        <v>0</v>
      </c>
      <c r="I67" s="1060"/>
      <c r="J67" s="1158">
        <f>IF(E$11&lt;&gt;"",IF(OR(B$11="No Filing Date","Enter Filing Date",E$11&lt;D$11),"Error in Filing Date",IF('R8a - Tax Reconciliation'!B$11="Original Filing",D67-H67,E67-H67)),IF(OR(B$11="No Filing Date","Enter Filing Date"),"Error in Filing Date",IF('R8a - Tax Reconciliation'!B$11="Original Filing",D67-H67,E67-H67)))</f>
        <v>15.1</v>
      </c>
      <c r="K67" s="1067" t="str">
        <f>IF(OR(J67&gt;=Data!$C$10,J67&lt;=-Data!$C$10), "Material", "Immaterial")</f>
        <v>Material</v>
      </c>
      <c r="L67" s="1098" t="s">
        <v>1079</v>
      </c>
      <c r="N67" s="1035"/>
    </row>
    <row r="68" spans="1:16" ht="43">
      <c r="A68" s="1069" t="s">
        <v>1097</v>
      </c>
      <c r="B68" s="1070"/>
      <c r="C68" s="1055" t="s">
        <v>861</v>
      </c>
      <c r="D68" s="1065">
        <v>-10</v>
      </c>
      <c r="E68" s="1065"/>
      <c r="F68" s="1057"/>
      <c r="G68" s="1058"/>
      <c r="H68" s="1065">
        <v>0</v>
      </c>
      <c r="I68" s="1060"/>
      <c r="J68" s="1158">
        <f>IF(E$11&lt;&gt;"",IF(OR(B$11="No Filing Date","Enter Filing Date",E$11&lt;D$11),"Error in Filing Date",IF('R8a - Tax Reconciliation'!B$11="Original Filing",D68-H68,E68-H68)),IF(OR(B$11="No Filing Date","Enter Filing Date"),"Error in Filing Date",IF('R8a - Tax Reconciliation'!B$11="Original Filing",D68-H68,E68-H68)))</f>
        <v>-10</v>
      </c>
      <c r="K68" s="1067" t="str">
        <f>IF(OR(J68&gt;=Data!$C$10,J68&lt;=-Data!$C$10), "Material", "Immaterial")</f>
        <v>Material</v>
      </c>
      <c r="L68" s="1098" t="s">
        <v>1080</v>
      </c>
      <c r="N68" s="1035"/>
    </row>
    <row r="69" spans="1:16" ht="43">
      <c r="A69" s="1069" t="s">
        <v>1098</v>
      </c>
      <c r="B69" s="1070"/>
      <c r="C69" s="1055" t="s">
        <v>861</v>
      </c>
      <c r="D69" s="1065">
        <v>9.1999999999999993</v>
      </c>
      <c r="E69" s="1065"/>
      <c r="F69" s="1057"/>
      <c r="G69" s="1058"/>
      <c r="H69" s="1065">
        <v>0</v>
      </c>
      <c r="I69" s="1060"/>
      <c r="J69" s="1158">
        <f>IF(E$11&lt;&gt;"",IF(OR(B$11="No Filing Date","Enter Filing Date",E$11&lt;D$11),"Error in Filing Date",IF('R8a - Tax Reconciliation'!B$11="Original Filing",D69-H69,E69-H69)),IF(OR(B$11="No Filing Date","Enter Filing Date"),"Error in Filing Date",IF('R8a - Tax Reconciliation'!B$11="Original Filing",D69-H69,E69-H69)))</f>
        <v>9.1999999999999993</v>
      </c>
      <c r="K69" s="1067" t="str">
        <f>IF(OR(J69&gt;=Data!$C$10,J69&lt;=-Data!$C$10), "Material", "Immaterial")</f>
        <v>Material</v>
      </c>
      <c r="L69" s="1098" t="s">
        <v>1081</v>
      </c>
      <c r="N69" s="1035"/>
    </row>
    <row r="70" spans="1:16">
      <c r="A70" s="1069" t="s">
        <v>1099</v>
      </c>
      <c r="B70" s="1070"/>
      <c r="C70" s="1055" t="s">
        <v>861</v>
      </c>
      <c r="D70" s="1065">
        <v>0.6</v>
      </c>
      <c r="E70" s="1065"/>
      <c r="F70" s="1057"/>
      <c r="G70" s="1058"/>
      <c r="H70" s="1065">
        <v>0</v>
      </c>
      <c r="I70" s="1060"/>
      <c r="J70" s="1158">
        <f>IF(E$11&lt;&gt;"",IF(OR(B$11="No Filing Date","Enter Filing Date",E$11&lt;D$11),"Error in Filing Date",IF('R8a - Tax Reconciliation'!B$11="Original Filing",D70-H70,E70-H70)),IF(OR(B$11="No Filing Date","Enter Filing Date"),"Error in Filing Date",IF('R8a - Tax Reconciliation'!B$11="Original Filing",D70-H70,E70-H70)))</f>
        <v>0.6</v>
      </c>
      <c r="K70" s="1067" t="str">
        <f>IF(OR(J70&gt;=Data!$C$10,J70&lt;=-Data!$C$10), "Material", "Immaterial")</f>
        <v>Immaterial</v>
      </c>
      <c r="L70" s="1098">
        <v>0</v>
      </c>
      <c r="N70" s="1035"/>
    </row>
    <row r="71" spans="1:16">
      <c r="A71" s="1069" t="s">
        <v>1100</v>
      </c>
      <c r="B71" s="1070"/>
      <c r="C71" s="1055" t="s">
        <v>861</v>
      </c>
      <c r="D71" s="1065">
        <v>0.9</v>
      </c>
      <c r="E71" s="1065"/>
      <c r="F71" s="1057"/>
      <c r="G71" s="1058"/>
      <c r="H71" s="1065">
        <v>0</v>
      </c>
      <c r="I71" s="1060"/>
      <c r="J71" s="1158">
        <f>IF(E$11&lt;&gt;"",IF(OR(B$11="No Filing Date","Enter Filing Date",E$11&lt;D$11),"Error in Filing Date",IF('R8a - Tax Reconciliation'!B$11="Original Filing",D71-H71,E71-H71)),IF(OR(B$11="No Filing Date","Enter Filing Date"),"Error in Filing Date",IF('R8a - Tax Reconciliation'!B$11="Original Filing",D71-H71,E71-H71)))</f>
        <v>0.9</v>
      </c>
      <c r="K71" s="1067" t="str">
        <f>IF(OR(J71&gt;=Data!$C$10,J71&lt;=-Data!$C$10), "Material", "Immaterial")</f>
        <v>Immaterial</v>
      </c>
      <c r="L71" s="1098">
        <v>0</v>
      </c>
      <c r="N71" s="1035"/>
    </row>
    <row r="72" spans="1:16">
      <c r="A72" s="1087"/>
      <c r="B72" s="1089"/>
      <c r="D72" s="1084"/>
      <c r="E72" s="1084"/>
      <c r="F72" s="1084"/>
      <c r="G72" s="1085"/>
      <c r="H72" s="1084"/>
      <c r="I72" s="1084"/>
      <c r="J72" s="1084"/>
      <c r="K72" s="1085"/>
      <c r="L72" s="1086"/>
      <c r="M72" s="1073"/>
      <c r="N72" s="1073"/>
      <c r="O72" s="1073"/>
      <c r="P72" s="1073"/>
    </row>
    <row r="73" spans="1:16">
      <c r="A73" s="1104" t="s">
        <v>894</v>
      </c>
      <c r="B73" s="1089"/>
      <c r="D73" s="1084"/>
      <c r="E73" s="1084"/>
      <c r="F73" s="1084"/>
      <c r="G73" s="1085"/>
      <c r="H73" s="1084"/>
      <c r="I73" s="1084"/>
      <c r="J73" s="1084"/>
      <c r="K73" s="1085"/>
      <c r="L73" s="1086"/>
      <c r="N73" s="1035"/>
    </row>
    <row r="74" spans="1:16" ht="57.35">
      <c r="A74" s="1103" t="s">
        <v>895</v>
      </c>
      <c r="B74" s="1100"/>
      <c r="C74" s="1055" t="s">
        <v>861</v>
      </c>
      <c r="D74" s="1065">
        <v>-64.944000000000003</v>
      </c>
      <c r="E74" s="1065"/>
      <c r="F74" s="1060"/>
      <c r="G74" s="1058" t="str">
        <f t="shared" ref="G74:G76" si="3">IF($B$4="ESO2", $B$4&amp; " " &amp;"PCFM - see Tax Allowance in 'System Operator' worksheet",  $B$4&amp; " " &amp;"PCFM - see Tax Allowance in 'Finance &amp;Tax' worksheet")</f>
        <v>GD2 PCFM - see Tax Allowance in 'Finance &amp;Tax' worksheet</v>
      </c>
      <c r="H74" s="1066">
        <v>-10.486134443310485</v>
      </c>
      <c r="I74" s="1102"/>
      <c r="J74" s="1158">
        <f>IF(E$11&lt;&gt;"",IF(OR(B$11="No Filing Date","Enter Filing Date",E$11&lt;D$11),"Error in Filing Date",IF('R8a - Tax Reconciliation'!B$11="Original Filing",D74-H74,E74-H74)),IF(OR(B$11="No Filing Date","Enter Filing Date"),"Error in Filing Date",IF('R8a - Tax Reconciliation'!B$11="Original Filing",D74-H74,E74-H74)))</f>
        <v>-54.457865556689519</v>
      </c>
      <c r="K74" s="1067" t="str">
        <f>IF(OR(J74&gt;=Data!$C$10,J74&lt;=-Data!$C$10), "Material", "Immaterial")</f>
        <v>Material</v>
      </c>
      <c r="L74" s="1098" t="s">
        <v>1082</v>
      </c>
      <c r="M74" s="1073"/>
      <c r="N74" s="1073"/>
      <c r="O74" s="1073"/>
      <c r="P74" s="1073"/>
    </row>
    <row r="75" spans="1:16" ht="43">
      <c r="A75" s="1103" t="s">
        <v>896</v>
      </c>
      <c r="B75" s="1100"/>
      <c r="C75" s="1055" t="s">
        <v>861</v>
      </c>
      <c r="D75" s="1065">
        <v>-116.29600000000001</v>
      </c>
      <c r="E75" s="1065"/>
      <c r="F75" s="1060"/>
      <c r="G75" s="1058" t="str">
        <f t="shared" si="3"/>
        <v>GD2 PCFM - see Tax Allowance in 'Finance &amp;Tax' worksheet</v>
      </c>
      <c r="H75" s="1066">
        <v>-8.6559975924485908</v>
      </c>
      <c r="I75" s="1102"/>
      <c r="J75" s="1158">
        <f>IF(E$11&lt;&gt;"",IF(OR(B$11="No Filing Date","Enter Filing Date",E$11&lt;D$11),"Error in Filing Date",IF('R8a - Tax Reconciliation'!B$11="Original Filing",D75-H75,E75-H75)),IF(OR(B$11="No Filing Date","Enter Filing Date"),"Error in Filing Date",IF('R8a - Tax Reconciliation'!B$11="Original Filing",D75-H75,E75-H75)))</f>
        <v>-107.64000240755142</v>
      </c>
      <c r="K75" s="1067" t="str">
        <f>IF(OR(J75&gt;=Data!$C$10,J75&lt;=-Data!$C$10), "Material", "Immaterial")</f>
        <v>Material</v>
      </c>
      <c r="L75" s="1098" t="s">
        <v>1083</v>
      </c>
      <c r="M75" s="1073"/>
      <c r="N75" s="1073"/>
      <c r="O75" s="1073"/>
      <c r="P75" s="1073"/>
    </row>
    <row r="76" spans="1:16">
      <c r="A76" s="1103" t="s">
        <v>897</v>
      </c>
      <c r="B76" s="1100"/>
      <c r="C76" s="1055" t="s">
        <v>861</v>
      </c>
      <c r="D76" s="1065">
        <v>0</v>
      </c>
      <c r="E76" s="1065"/>
      <c r="F76" s="1060"/>
      <c r="G76" s="1058" t="str">
        <f t="shared" si="3"/>
        <v>GD2 PCFM - see Tax Allowance in 'Finance &amp;Tax' worksheet</v>
      </c>
      <c r="H76" s="1066">
        <v>0</v>
      </c>
      <c r="I76" s="1102"/>
      <c r="J76" s="1158">
        <f>IF(E$11&lt;&gt;"",IF(OR(B$11="No Filing Date","Enter Filing Date",E$11&lt;D$11),"Error in Filing Date",IF('R8a - Tax Reconciliation'!B$11="Original Filing",D76-H76,E76-H76)),IF(OR(B$11="No Filing Date","Enter Filing Date"),"Error in Filing Date",IF('R8a - Tax Reconciliation'!B$11="Original Filing",D76-H76,E76-H76)))</f>
        <v>0</v>
      </c>
      <c r="K76" s="1067" t="str">
        <f>IF(OR(J76&gt;=Data!$C$10,J76&lt;=-Data!$C$10), "Material", "Immaterial")</f>
        <v>Immaterial</v>
      </c>
      <c r="L76" s="1098">
        <v>0</v>
      </c>
      <c r="M76" s="1073"/>
      <c r="N76" s="1073"/>
      <c r="O76" s="1073"/>
      <c r="P76" s="1073"/>
    </row>
    <row r="77" spans="1:16">
      <c r="A77" s="1103" t="s">
        <v>898</v>
      </c>
      <c r="B77" s="1100"/>
      <c r="C77" s="1055" t="s">
        <v>861</v>
      </c>
      <c r="D77" s="1065">
        <v>0</v>
      </c>
      <c r="E77" s="1065"/>
      <c r="F77" s="1060"/>
      <c r="G77" s="1058"/>
      <c r="H77" s="1065">
        <v>0</v>
      </c>
      <c r="I77" s="1060"/>
      <c r="J77" s="1158">
        <f>IF(E$11&lt;&gt;"",IF(OR(B$11="No Filing Date","Enter Filing Date",E$11&lt;D$11),"Error in Filing Date",IF('R8a - Tax Reconciliation'!B$11="Original Filing",D77-H77,E77-H77)),IF(OR(B$11="No Filing Date","Enter Filing Date"),"Error in Filing Date",IF('R8a - Tax Reconciliation'!B$11="Original Filing",D77-H77,E77-H77)))</f>
        <v>0</v>
      </c>
      <c r="K77" s="1067" t="str">
        <f>IF(OR(J77&gt;=Data!$C$10,J77&lt;=-Data!$C$10), "Material", "Immaterial")</f>
        <v>Immaterial</v>
      </c>
      <c r="L77" s="1098">
        <v>0</v>
      </c>
      <c r="M77" s="1073"/>
      <c r="N77" s="1073"/>
      <c r="O77" s="1073"/>
      <c r="P77" s="1073"/>
    </row>
    <row r="78" spans="1:16" s="1055" customFormat="1" ht="100.35">
      <c r="A78" s="1103" t="s">
        <v>899</v>
      </c>
      <c r="B78" s="1100"/>
      <c r="C78" s="1055" t="s">
        <v>861</v>
      </c>
      <c r="D78" s="1065">
        <v>-31.535</v>
      </c>
      <c r="E78" s="1065"/>
      <c r="F78" s="1060"/>
      <c r="G78" s="1058"/>
      <c r="H78" s="1065">
        <v>0</v>
      </c>
      <c r="I78" s="1060"/>
      <c r="J78" s="1158">
        <f>IF(E$11&lt;&gt;"",IF(OR(B$11="No Filing Date","Enter Filing Date",E$11&lt;D$11),"Error in Filing Date",IF('R8a - Tax Reconciliation'!B$11="Original Filing",D78-H78,E78-H78)),IF(OR(B$11="No Filing Date","Enter Filing Date"),"Error in Filing Date",IF('R8a - Tax Reconciliation'!B$11="Original Filing",D78-H78,E78-H78)))</f>
        <v>-31.535</v>
      </c>
      <c r="K78" s="1067" t="str">
        <f>IF(OR(J78&gt;=Data!$C$10,J78&lt;=-Data!$C$10), "Material", "Immaterial")</f>
        <v>Material</v>
      </c>
      <c r="L78" s="1098" t="s">
        <v>1084</v>
      </c>
      <c r="N78" s="1073"/>
    </row>
    <row r="79" spans="1:16">
      <c r="A79" s="1103" t="s">
        <v>900</v>
      </c>
      <c r="B79" s="1100"/>
      <c r="C79" s="1055" t="s">
        <v>861</v>
      </c>
      <c r="D79" s="1065">
        <v>0</v>
      </c>
      <c r="E79" s="1065"/>
      <c r="F79" s="1060"/>
      <c r="G79" s="1058"/>
      <c r="H79" s="1065">
        <v>0</v>
      </c>
      <c r="I79" s="1060"/>
      <c r="J79" s="1158">
        <f>IF(E$11&lt;&gt;"",IF(OR(B$11="No Filing Date","Enter Filing Date",E$11&lt;D$11),"Error in Filing Date",IF('R8a - Tax Reconciliation'!B$11="Original Filing",D79-H79,E79-H79)),IF(OR(B$11="No Filing Date","Enter Filing Date"),"Error in Filing Date",IF('R8a - Tax Reconciliation'!B$11="Original Filing",D79-H79,E79-H79)))</f>
        <v>0</v>
      </c>
      <c r="K79" s="1067" t="str">
        <f>IF(OR(J79&gt;=Data!$C$10,J79&lt;=-Data!$C$10), "Material", "Immaterial")</f>
        <v>Immaterial</v>
      </c>
      <c r="L79" s="1098">
        <v>0</v>
      </c>
      <c r="M79" s="1073"/>
      <c r="N79" s="1073"/>
      <c r="O79" s="1073"/>
      <c r="P79" s="1073"/>
    </row>
    <row r="80" spans="1:16">
      <c r="A80" s="1103" t="s">
        <v>877</v>
      </c>
      <c r="B80" s="1100"/>
      <c r="C80" s="1073" t="s">
        <v>861</v>
      </c>
      <c r="D80" s="1065">
        <v>0</v>
      </c>
      <c r="E80" s="1065"/>
      <c r="F80" s="1060"/>
      <c r="G80" s="1058"/>
      <c r="H80" s="1065">
        <v>0</v>
      </c>
      <c r="I80" s="1060"/>
      <c r="J80" s="1158">
        <f>IF(E$11&lt;&gt;"",IF(OR(B$11="No Filing Date","Enter Filing Date",E$11&lt;D$11),"Error in Filing Date",IF('R8a - Tax Reconciliation'!B$11="Original Filing",D80-H80,E80-H80)),IF(OR(B$11="No Filing Date","Enter Filing Date"),"Error in Filing Date",IF('R8a - Tax Reconciliation'!B$11="Original Filing",D80-H80,E80-H80)))</f>
        <v>0</v>
      </c>
      <c r="K80" s="1067" t="str">
        <f>IF(OR(J80&gt;=Data!$C$10,J80&lt;=-Data!$C$10), "Material", "Immaterial")</f>
        <v>Immaterial</v>
      </c>
      <c r="L80" s="1068">
        <v>0</v>
      </c>
      <c r="M80" s="1073"/>
      <c r="N80" s="1073"/>
      <c r="O80" s="1073"/>
      <c r="P80" s="1073"/>
    </row>
    <row r="81" spans="1:17" s="1055" customFormat="1">
      <c r="A81" s="1329"/>
      <c r="B81" s="1330"/>
      <c r="C81" s="1033"/>
      <c r="D81" s="1084"/>
      <c r="E81" s="1084"/>
      <c r="F81" s="1084"/>
      <c r="G81" s="1085"/>
      <c r="H81" s="1084"/>
      <c r="I81" s="1084"/>
      <c r="J81" s="1084"/>
      <c r="K81" s="1085"/>
      <c r="L81" s="1086"/>
      <c r="N81" s="1073"/>
    </row>
    <row r="82" spans="1:17" s="1055" customFormat="1">
      <c r="A82" s="1325" t="s">
        <v>901</v>
      </c>
      <c r="B82" s="1326"/>
      <c r="C82" s="1033"/>
      <c r="D82" s="1084"/>
      <c r="E82" s="1084"/>
      <c r="F82" s="1084"/>
      <c r="G82" s="1085"/>
      <c r="H82" s="1084"/>
      <c r="I82" s="1084"/>
      <c r="J82" s="1085"/>
      <c r="K82" s="1085"/>
      <c r="L82" s="1086"/>
      <c r="N82" s="1073"/>
    </row>
    <row r="83" spans="1:17">
      <c r="A83" s="1105" t="s">
        <v>902</v>
      </c>
      <c r="B83" s="1106"/>
      <c r="C83" s="1055" t="s">
        <v>861</v>
      </c>
      <c r="D83" s="1065">
        <v>0</v>
      </c>
      <c r="E83" s="1065"/>
      <c r="F83" s="1057"/>
      <c r="G83" s="1058"/>
      <c r="H83" s="1065">
        <v>0</v>
      </c>
      <c r="I83" s="1060"/>
      <c r="J83" s="1158">
        <f>IF(E$11&lt;&gt;"",IF(OR(B$11="No Filing Date","Enter Filing Date",E$11&lt;D$11),"Error in Filing Date",IF('R8a - Tax Reconciliation'!B$11="Original Filing",D83-H83,E83-H83)),IF(OR(B$11="No Filing Date","Enter Filing Date"),"Error in Filing Date",IF('R8a - Tax Reconciliation'!B$11="Original Filing",D83-H83,E83-H83)))</f>
        <v>0</v>
      </c>
      <c r="K83" s="1067" t="str">
        <f>IF(OR(J83&gt;=Data!$C$10,J83&lt;=-Data!$C$10), "Material", "Immaterial")</f>
        <v>Immaterial</v>
      </c>
      <c r="L83" s="1068">
        <v>0</v>
      </c>
      <c r="M83" s="1073"/>
      <c r="N83" s="1073"/>
      <c r="O83" s="1073"/>
      <c r="P83" s="1073"/>
    </row>
    <row r="84" spans="1:17" ht="43">
      <c r="A84" s="1105" t="s">
        <v>903</v>
      </c>
      <c r="B84" s="1106"/>
      <c r="C84" s="1055" t="s">
        <v>861</v>
      </c>
      <c r="D84" s="1065">
        <v>77.7</v>
      </c>
      <c r="E84" s="1065"/>
      <c r="F84" s="1057"/>
      <c r="G84" s="1058"/>
      <c r="H84" s="1065">
        <v>0</v>
      </c>
      <c r="I84" s="1060"/>
      <c r="J84" s="1158">
        <f>IF(E$11&lt;&gt;"",IF(OR(B$11="No Filing Date","Enter Filing Date",E$11&lt;D$11),"Error in Filing Date",IF('R8a - Tax Reconciliation'!B$11="Original Filing",D84-H84,E84-H84)),IF(OR(B$11="No Filing Date","Enter Filing Date"),"Error in Filing Date",IF('R8a - Tax Reconciliation'!B$11="Original Filing",D84-H84,E84-H84)))</f>
        <v>77.7</v>
      </c>
      <c r="K84" s="1067" t="str">
        <f>IF(OR(J84&gt;=Data!$C$10,J84&lt;=-Data!$C$10), "Material", "Immaterial")</f>
        <v>Material</v>
      </c>
      <c r="L84" s="1068" t="s">
        <v>1085</v>
      </c>
      <c r="M84" s="1073"/>
      <c r="N84" s="1073"/>
      <c r="O84" s="1073"/>
      <c r="P84" s="1073"/>
    </row>
    <row r="85" spans="1:17" ht="28.7">
      <c r="A85" s="1069" t="s">
        <v>904</v>
      </c>
      <c r="B85" s="1070"/>
      <c r="C85" s="1055" t="s">
        <v>861</v>
      </c>
      <c r="D85" s="1065">
        <v>-1.363</v>
      </c>
      <c r="E85" s="1065"/>
      <c r="F85" s="1057"/>
      <c r="G85" s="1058"/>
      <c r="H85" s="1065">
        <v>0</v>
      </c>
      <c r="I85" s="1060"/>
      <c r="J85" s="1158">
        <f>IF(E$11&lt;&gt;"",IF(OR(B$11="No Filing Date","Enter Filing Date",E$11&lt;D$11),"Error in Filing Date",IF('R8a - Tax Reconciliation'!B$11="Original Filing",D85-H85,E85-H85)),IF(OR(B$11="No Filing Date","Enter Filing Date"),"Error in Filing Date",IF('R8a - Tax Reconciliation'!B$11="Original Filing",D85-H85,E85-H85)))</f>
        <v>-1.363</v>
      </c>
      <c r="K85" s="1067" t="str">
        <f>IF(OR(J85&gt;=Data!$C$10,J85&lt;=-Data!$C$10), "Material", "Immaterial")</f>
        <v>Immaterial</v>
      </c>
      <c r="L85" s="1068" t="s">
        <v>1086</v>
      </c>
      <c r="M85" s="1073"/>
      <c r="N85" s="1073"/>
      <c r="O85" s="1073"/>
      <c r="P85" s="1073"/>
    </row>
    <row r="86" spans="1:17">
      <c r="A86" s="1069" t="s">
        <v>905</v>
      </c>
      <c r="B86" s="1070"/>
      <c r="C86" s="1055" t="s">
        <v>861</v>
      </c>
      <c r="D86" s="1065">
        <v>0</v>
      </c>
      <c r="E86" s="1065"/>
      <c r="F86" s="1057"/>
      <c r="G86" s="1058"/>
      <c r="H86" s="1065">
        <v>0</v>
      </c>
      <c r="I86" s="1060"/>
      <c r="J86" s="1158">
        <f>IF(E$11&lt;&gt;"",IF(OR(B$11="No Filing Date","Enter Filing Date",E$11&lt;D$11),"Error in Filing Date",IF('R8a - Tax Reconciliation'!B$11="Original Filing",D86-H86,E86-H86)),IF(OR(B$11="No Filing Date","Enter Filing Date"),"Error in Filing Date",IF('R8a - Tax Reconciliation'!B$11="Original Filing",D86-H86,E86-H86)))</f>
        <v>0</v>
      </c>
      <c r="K86" s="1067" t="str">
        <f>IF(OR(J86&gt;=Data!$C$10,J86&lt;=-Data!$C$10), "Material", "Immaterial")</f>
        <v>Immaterial</v>
      </c>
      <c r="L86" s="1068">
        <v>0</v>
      </c>
      <c r="M86" s="1073"/>
      <c r="N86" s="1073"/>
      <c r="O86" s="1073"/>
      <c r="P86" s="1073"/>
    </row>
    <row r="87" spans="1:17" ht="28.7">
      <c r="A87" s="1069" t="s">
        <v>906</v>
      </c>
      <c r="B87" s="1070"/>
      <c r="C87" s="1055" t="s">
        <v>861</v>
      </c>
      <c r="D87" s="1065">
        <v>-20.8</v>
      </c>
      <c r="E87" s="1065"/>
      <c r="F87" s="1057"/>
      <c r="G87" s="1058"/>
      <c r="H87" s="1065">
        <v>0</v>
      </c>
      <c r="I87" s="1060"/>
      <c r="J87" s="1158">
        <f>IF(E$11&lt;&gt;"",IF(OR(B$11="No Filing Date","Enter Filing Date",E$11&lt;D$11),"Error in Filing Date",IF('R8a - Tax Reconciliation'!B$11="Original Filing",D87-H87,E87-H87)),IF(OR(B$11="No Filing Date","Enter Filing Date"),"Error in Filing Date",IF('R8a - Tax Reconciliation'!B$11="Original Filing",D87-H87,E87-H87)))</f>
        <v>-20.8</v>
      </c>
      <c r="K87" s="1067" t="str">
        <f>IF(OR(J87&gt;=Data!$C$10,J87&lt;=-Data!$C$10), "Material", "Immaterial")</f>
        <v>Material</v>
      </c>
      <c r="L87" s="1068" t="s">
        <v>1087</v>
      </c>
      <c r="M87" s="1055"/>
      <c r="N87" s="1073"/>
      <c r="O87" s="1055"/>
      <c r="P87" s="1055"/>
      <c r="Q87" s="1055"/>
    </row>
    <row r="88" spans="1:17">
      <c r="A88" s="1069" t="s">
        <v>907</v>
      </c>
      <c r="B88" s="1070"/>
      <c r="C88" s="1055" t="s">
        <v>861</v>
      </c>
      <c r="D88" s="1065">
        <v>21.2</v>
      </c>
      <c r="E88" s="1065"/>
      <c r="F88" s="1057"/>
      <c r="G88" s="1058"/>
      <c r="H88" s="1065">
        <v>0</v>
      </c>
      <c r="I88" s="1060"/>
      <c r="J88" s="1158">
        <f>IF(E$11&lt;&gt;"",IF(OR(B$11="No Filing Date","Enter Filing Date",E$11&lt;D$11),"Error in Filing Date",IF('R8a - Tax Reconciliation'!B$11="Original Filing",D88-H88,E88-H88)),IF(OR(B$11="No Filing Date","Enter Filing Date"),"Error in Filing Date",IF('R8a - Tax Reconciliation'!B$11="Original Filing",D88-H88,E88-H88)))</f>
        <v>21.2</v>
      </c>
      <c r="K88" s="1067" t="str">
        <f>IF(OR(J88&gt;=Data!$C$10,J88&lt;=-Data!$C$10), "Material", "Immaterial")</f>
        <v>Material</v>
      </c>
      <c r="L88" s="1068" t="s">
        <v>1088</v>
      </c>
      <c r="M88" s="1073"/>
      <c r="N88" s="1073"/>
      <c r="O88" s="1073"/>
      <c r="P88" s="1073"/>
    </row>
    <row r="89" spans="1:17" ht="28.7">
      <c r="A89" s="1069" t="s">
        <v>1101</v>
      </c>
      <c r="B89" s="1070"/>
      <c r="C89" s="1055" t="s">
        <v>861</v>
      </c>
      <c r="D89" s="1065">
        <v>-9</v>
      </c>
      <c r="E89" s="1065"/>
      <c r="F89" s="1057"/>
      <c r="G89" s="1058"/>
      <c r="H89" s="1065">
        <v>0</v>
      </c>
      <c r="I89" s="1060"/>
      <c r="J89" s="1158">
        <f>IF(E$11&lt;&gt;"",IF(OR(B$11="No Filing Date","Enter Filing Date",E$11&lt;D$11),"Error in Filing Date",IF('R8a - Tax Reconciliation'!B$11="Original Filing",D89-H89,E89-H89)),IF(OR(B$11="No Filing Date","Enter Filing Date"),"Error in Filing Date",IF('R8a - Tax Reconciliation'!B$11="Original Filing",D89-H89,E89-H89)))</f>
        <v>-9</v>
      </c>
      <c r="K89" s="1067" t="str">
        <f>IF(OR(J89&gt;=Data!$C$10,J89&lt;=-Data!$C$10), "Material", "Immaterial")</f>
        <v>Material</v>
      </c>
      <c r="L89" s="1068" t="s">
        <v>1089</v>
      </c>
      <c r="M89" s="1073"/>
      <c r="N89" s="1073"/>
      <c r="O89" s="1073"/>
      <c r="P89" s="1073"/>
    </row>
    <row r="90" spans="1:17">
      <c r="A90" s="1107" t="s">
        <v>1102</v>
      </c>
      <c r="B90" s="1108"/>
      <c r="C90" s="1055" t="s">
        <v>861</v>
      </c>
      <c r="D90" s="1065">
        <v>0.28299999999999997</v>
      </c>
      <c r="E90" s="1065"/>
      <c r="F90" s="1057"/>
      <c r="G90" s="1058"/>
      <c r="H90" s="1065">
        <v>0</v>
      </c>
      <c r="I90" s="1060"/>
      <c r="J90" s="1158">
        <f>IF(E$11&lt;&gt;"",IF(OR(B$11="No Filing Date","Enter Filing Date",E$11&lt;D$11),"Error in Filing Date",IF('R8a - Tax Reconciliation'!B$11="Original Filing",D90-H90,E90-H90)),IF(OR(B$11="No Filing Date","Enter Filing Date"),"Error in Filing Date",IF('R8a - Tax Reconciliation'!B$11="Original Filing",D90-H90,E90-H90)))</f>
        <v>0.28299999999999997</v>
      </c>
      <c r="K90" s="1067" t="str">
        <f>IF(OR(J90&gt;=Data!$C$10,J90&lt;=-Data!$C$10), "Material", "Immaterial")</f>
        <v>Immaterial</v>
      </c>
      <c r="L90" s="1068">
        <v>0</v>
      </c>
      <c r="M90" s="1073"/>
      <c r="N90" s="1073"/>
      <c r="O90" s="1073"/>
      <c r="P90" s="1073"/>
    </row>
    <row r="91" spans="1:17">
      <c r="D91" s="1109"/>
      <c r="E91" s="1109"/>
      <c r="F91" s="1084"/>
      <c r="G91" s="1085"/>
      <c r="H91" s="1109"/>
      <c r="I91" s="1084"/>
      <c r="J91" s="1084"/>
      <c r="K91" s="1085"/>
      <c r="L91" s="1110"/>
      <c r="M91" s="1073"/>
      <c r="N91" s="1073"/>
      <c r="O91" s="1073"/>
      <c r="P91" s="1073"/>
    </row>
    <row r="92" spans="1:17">
      <c r="A92" s="1331" t="s">
        <v>908</v>
      </c>
      <c r="B92" s="1332"/>
      <c r="C92" s="1100" t="s">
        <v>861</v>
      </c>
      <c r="D92" s="1152">
        <f>SUM(D44:D91)</f>
        <v>443.38753187000009</v>
      </c>
      <c r="E92" s="1152">
        <f>SUM(E44:E91)</f>
        <v>0</v>
      </c>
      <c r="F92" s="1101"/>
      <c r="G92" s="1080" t="s">
        <v>909</v>
      </c>
      <c r="H92" s="1152">
        <f>SUM(H44:H91)</f>
        <v>108.61913710260485</v>
      </c>
      <c r="I92" s="1102"/>
      <c r="J92" s="1152">
        <f>SUM(J44:J91)</f>
        <v>334.76839476739519</v>
      </c>
      <c r="K92" s="1067" t="str">
        <f>IF(OR(J92&gt;=Data!$C$10,J92&lt;=-Data!$C$10), "Material", "Immaterial")</f>
        <v>Material</v>
      </c>
      <c r="L92" s="1068">
        <v>0</v>
      </c>
      <c r="M92" s="1082"/>
      <c r="N92" s="1082"/>
      <c r="O92" s="1082"/>
      <c r="P92" s="1082"/>
    </row>
    <row r="93" spans="1:17">
      <c r="A93" s="1111"/>
      <c r="B93" s="1111"/>
      <c r="C93" s="1055"/>
      <c r="D93" s="1112"/>
      <c r="E93" s="1112"/>
      <c r="F93" s="1057"/>
      <c r="G93" s="1057"/>
      <c r="H93" s="1112"/>
      <c r="I93" s="1060"/>
      <c r="J93" s="1113"/>
      <c r="K93" s="1067"/>
      <c r="L93" s="1062"/>
      <c r="M93" s="1082"/>
      <c r="N93" s="1082"/>
      <c r="O93" s="1082"/>
      <c r="P93" s="1082"/>
    </row>
    <row r="94" spans="1:17">
      <c r="A94" s="1083" t="s">
        <v>910</v>
      </c>
      <c r="B94" s="1114"/>
      <c r="C94" s="1055"/>
      <c r="D94" s="1057"/>
      <c r="E94" s="1057"/>
      <c r="F94" s="1057"/>
      <c r="G94" s="1057"/>
      <c r="H94" s="1057"/>
      <c r="I94" s="1060"/>
      <c r="J94" s="1060"/>
      <c r="K94" s="1067"/>
      <c r="L94" s="1062"/>
      <c r="M94" s="1082"/>
      <c r="N94" s="1082"/>
      <c r="O94" s="1082"/>
      <c r="P94" s="1082"/>
    </row>
    <row r="95" spans="1:17">
      <c r="A95" s="1115"/>
      <c r="B95" s="1116"/>
      <c r="C95" s="1055"/>
      <c r="D95" s="1057"/>
      <c r="E95" s="1057"/>
      <c r="F95" s="1057"/>
      <c r="G95" s="1057"/>
      <c r="H95" s="1057"/>
      <c r="I95" s="1060"/>
      <c r="J95" s="1060"/>
      <c r="K95" s="1067"/>
      <c r="L95" s="1062"/>
      <c r="M95" s="1082"/>
      <c r="N95" s="1082"/>
      <c r="O95" s="1082"/>
      <c r="P95" s="1082"/>
      <c r="Q95" s="1055"/>
    </row>
    <row r="96" spans="1:17">
      <c r="A96" s="1097" t="s">
        <v>911</v>
      </c>
      <c r="B96" s="1117"/>
      <c r="D96" s="1091"/>
      <c r="E96" s="1118"/>
      <c r="F96" s="1091"/>
      <c r="G96" s="1092"/>
      <c r="H96" s="1118"/>
      <c r="I96" s="1084"/>
      <c r="J96" s="1084"/>
      <c r="K96" s="1085"/>
      <c r="L96" s="1086"/>
      <c r="M96" s="1082"/>
      <c r="N96" s="1082"/>
      <c r="O96" s="1082"/>
      <c r="P96" s="1082"/>
    </row>
    <row r="97" spans="1:16" s="1055" customFormat="1">
      <c r="A97" s="1069" t="s">
        <v>912</v>
      </c>
      <c r="B97" s="1116"/>
      <c r="C97" s="1055" t="s">
        <v>861</v>
      </c>
      <c r="D97" s="1065">
        <v>0</v>
      </c>
      <c r="E97" s="1065"/>
      <c r="F97" s="1057"/>
      <c r="G97" s="1058" t="str">
        <f t="shared" ref="G97:G101" si="4">IF($B$4="ESO2", $B$4&amp; " " &amp;"PCFM - see Tax Allowance in 'System Operator' worksheet",  $B$4&amp; " " &amp;"PCFM - see Tax Allowance in 'Finance &amp;Tax' worksheet")</f>
        <v>GD2 PCFM - see Tax Allowance in 'Finance &amp;Tax' worksheet</v>
      </c>
      <c r="H97" s="1066">
        <v>0</v>
      </c>
      <c r="I97" s="1060"/>
      <c r="J97" s="1158">
        <f>IF(E$11&lt;&gt;"",IF(OR(B$11="No Filing Date","Enter Filing Date",E$11&lt;D$11),"Error in Filing Date",IF('R8a - Tax Reconciliation'!B$11="Original Filing",D97-H97,E97-H97)),IF(OR(B$11="No Filing Date","Enter Filing Date"),"Error in Filing Date",IF('R8a - Tax Reconciliation'!B$11="Original Filing",D97-H97,E97-H97)))</f>
        <v>0</v>
      </c>
      <c r="K97" s="1067" t="str">
        <f>IF(OR(J97&gt;=Data!$C$10,J97&lt;=-Data!$C$10), "Material", "Immaterial")</f>
        <v>Immaterial</v>
      </c>
      <c r="L97" s="1098">
        <v>0</v>
      </c>
      <c r="M97" s="1082"/>
      <c r="N97" s="1082"/>
      <c r="O97" s="1082"/>
      <c r="P97" s="1082"/>
    </row>
    <row r="98" spans="1:16" s="1055" customFormat="1">
      <c r="A98" s="1069" t="s">
        <v>913</v>
      </c>
      <c r="B98" s="1116"/>
      <c r="C98" s="1055" t="s">
        <v>861</v>
      </c>
      <c r="D98" s="1065">
        <v>0</v>
      </c>
      <c r="E98" s="1065"/>
      <c r="F98" s="1057"/>
      <c r="G98" s="1058" t="str">
        <f t="shared" si="4"/>
        <v>GD2 PCFM - see Tax Allowance in 'Finance &amp;Tax' worksheet</v>
      </c>
      <c r="H98" s="1066">
        <v>0</v>
      </c>
      <c r="I98" s="1060"/>
      <c r="J98" s="1158">
        <f>IF(E$11&lt;&gt;"",IF(OR(B$11="No Filing Date","Enter Filing Date",E$11&lt;D$11),"Error in Filing Date",IF('R8a - Tax Reconciliation'!B$11="Original Filing",D98-H98,E98-H98)),IF(OR(B$11="No Filing Date","Enter Filing Date"),"Error in Filing Date",IF('R8a - Tax Reconciliation'!B$11="Original Filing",D98-H98,E98-H98)))</f>
        <v>0</v>
      </c>
      <c r="K98" s="1067" t="str">
        <f>IF(OR(J98&gt;=Data!$C$10,J98&lt;=-Data!$C$10), "Material", "Immaterial")</f>
        <v>Immaterial</v>
      </c>
      <c r="L98" s="1098">
        <v>0</v>
      </c>
      <c r="M98" s="1082"/>
      <c r="N98" s="1082"/>
      <c r="O98" s="1082"/>
      <c r="P98" s="1082"/>
    </row>
    <row r="99" spans="1:16" s="1055" customFormat="1">
      <c r="A99" s="1069" t="s">
        <v>914</v>
      </c>
      <c r="B99" s="1116"/>
      <c r="C99" s="1055" t="s">
        <v>861</v>
      </c>
      <c r="D99" s="1119"/>
      <c r="E99" s="1119"/>
      <c r="F99" s="1057"/>
      <c r="G99" s="1058" t="str">
        <f t="shared" si="4"/>
        <v>GD2 PCFM - see Tax Allowance in 'Finance &amp;Tax' worksheet</v>
      </c>
      <c r="H99" s="1066">
        <v>0</v>
      </c>
      <c r="I99" s="1060"/>
      <c r="J99" s="1158">
        <f>IF(E$11&lt;&gt;"",IF(OR(B$11="No Filing Date","Enter Filing Date",E$11&lt;D$11),"Error in Filing Date",IF('R8a - Tax Reconciliation'!B$11="Original Filing",D99-H99,E99-H99)),IF(OR(B$11="No Filing Date","Enter Filing Date"),"Error in Filing Date",IF('R8a - Tax Reconciliation'!B$11="Original Filing",D99-H99,E99-H99)))</f>
        <v>0</v>
      </c>
      <c r="K99" s="1067" t="str">
        <f>IF(OR(J99&gt;=Data!$C$10,J99&lt;=-Data!$C$10), "Material", "Immaterial")</f>
        <v>Immaterial</v>
      </c>
      <c r="L99" s="1098">
        <v>0</v>
      </c>
      <c r="M99" s="1082"/>
      <c r="N99" s="1082"/>
      <c r="O99" s="1082"/>
      <c r="P99" s="1082"/>
    </row>
    <row r="100" spans="1:16" s="1055" customFormat="1">
      <c r="A100" s="1069" t="s">
        <v>915</v>
      </c>
      <c r="B100" s="1116"/>
      <c r="C100" s="1055" t="s">
        <v>861</v>
      </c>
      <c r="D100" s="1119"/>
      <c r="E100" s="1119"/>
      <c r="F100" s="1057"/>
      <c r="G100" s="1058" t="str">
        <f t="shared" si="4"/>
        <v>GD2 PCFM - see Tax Allowance in 'Finance &amp;Tax' worksheet</v>
      </c>
      <c r="H100" s="1066">
        <v>0</v>
      </c>
      <c r="I100" s="1060"/>
      <c r="J100" s="1158">
        <f>IF(E$11&lt;&gt;"",IF(OR(B$11="No Filing Date","Enter Filing Date",E$11&lt;D$11),"Error in Filing Date",IF('R8a - Tax Reconciliation'!B$11="Original Filing",D100-H100,E100-H100)),IF(OR(B$11="No Filing Date","Enter Filing Date"),"Error in Filing Date",IF('R8a - Tax Reconciliation'!B$11="Original Filing",D100-H100,E100-H100)))</f>
        <v>0</v>
      </c>
      <c r="K100" s="1067" t="str">
        <f>IF(OR(J100&gt;=Data!$C$10,J100&lt;=-Data!$C$10), "Material", "Immaterial")</f>
        <v>Immaterial</v>
      </c>
      <c r="L100" s="1098">
        <v>0</v>
      </c>
      <c r="M100" s="1082"/>
      <c r="N100" s="1082"/>
      <c r="O100" s="1082"/>
      <c r="P100" s="1082"/>
    </row>
    <row r="101" spans="1:16" s="1055" customFormat="1">
      <c r="A101" s="1069" t="s">
        <v>916</v>
      </c>
      <c r="B101" s="1116"/>
      <c r="C101" s="1055" t="s">
        <v>861</v>
      </c>
      <c r="D101" s="1065">
        <v>0</v>
      </c>
      <c r="E101" s="1065"/>
      <c r="F101" s="1057"/>
      <c r="G101" s="1058" t="str">
        <f t="shared" si="4"/>
        <v>GD2 PCFM - see Tax Allowance in 'Finance &amp;Tax' worksheet</v>
      </c>
      <c r="H101" s="1066">
        <v>5</v>
      </c>
      <c r="I101" s="1060"/>
      <c r="J101" s="1158">
        <f>IF(E$11&lt;&gt;"",IF(OR(B$11="No Filing Date","Enter Filing Date",E$11&lt;D$11),"Error in Filing Date",IF('R8a - Tax Reconciliation'!B$11="Original Filing",D101-H101,E101-H101)),IF(OR(B$11="No Filing Date","Enter Filing Date"),"Error in Filing Date",IF('R8a - Tax Reconciliation'!B$11="Original Filing",D101-H101,E101-H101)))</f>
        <v>-5</v>
      </c>
      <c r="K101" s="1067" t="str">
        <f>IF(OR(J101&gt;=Data!$C$10,J101&lt;=-Data!$C$10), "Material", "Immaterial")</f>
        <v>Material</v>
      </c>
      <c r="L101" s="1098" t="s">
        <v>1103</v>
      </c>
      <c r="M101" s="1082"/>
      <c r="N101" s="1082"/>
      <c r="O101" s="1082"/>
      <c r="P101" s="1082"/>
    </row>
    <row r="102" spans="1:16" s="1055" customFormat="1">
      <c r="A102" s="1107" t="s">
        <v>917</v>
      </c>
      <c r="B102" s="1108"/>
      <c r="C102" s="1055" t="s">
        <v>861</v>
      </c>
      <c r="D102" s="1065">
        <v>0</v>
      </c>
      <c r="E102" s="1065"/>
      <c r="F102" s="1057"/>
      <c r="G102" s="1058"/>
      <c r="H102" s="1065">
        <v>0</v>
      </c>
      <c r="I102" s="1060"/>
      <c r="J102" s="1158">
        <f>IF(E$11&lt;&gt;"",IF(OR(B$11="No Filing Date","Enter Filing Date",E$11&lt;D$11),"Error in Filing Date",IF('R8a - Tax Reconciliation'!B$11="Original Filing",D102-H102,E102-H102)),IF(OR(B$11="No Filing Date","Enter Filing Date"),"Error in Filing Date",IF('R8a - Tax Reconciliation'!B$11="Original Filing",D102-H102,E102-H102)))</f>
        <v>0</v>
      </c>
      <c r="K102" s="1067" t="str">
        <f>IF(OR(J102&gt;=Data!$C$10,J102&lt;=-Data!$C$10), "Material", "Immaterial")</f>
        <v>Immaterial</v>
      </c>
      <c r="L102" s="1098">
        <v>0</v>
      </c>
      <c r="M102" s="1082"/>
      <c r="N102" s="1082"/>
      <c r="O102" s="1082"/>
      <c r="P102" s="1082"/>
    </row>
    <row r="103" spans="1:16" s="1055" customFormat="1">
      <c r="A103" s="1033"/>
      <c r="B103" s="1033"/>
      <c r="C103" s="1033"/>
      <c r="D103" s="1109"/>
      <c r="E103" s="1109"/>
      <c r="F103" s="1084"/>
      <c r="G103" s="1085"/>
      <c r="H103" s="1109"/>
      <c r="I103" s="1084"/>
      <c r="J103" s="1109"/>
      <c r="K103" s="1085"/>
      <c r="L103" s="1110"/>
      <c r="M103" s="1082"/>
      <c r="N103" s="1082"/>
      <c r="O103" s="1082"/>
      <c r="P103" s="1082"/>
    </row>
    <row r="104" spans="1:16" s="1055" customFormat="1">
      <c r="A104" s="1120" t="s">
        <v>918</v>
      </c>
      <c r="B104" s="1121"/>
      <c r="C104" s="1100" t="s">
        <v>861</v>
      </c>
      <c r="D104" s="1151">
        <f>SUM(D92:D103)</f>
        <v>443.38753187000009</v>
      </c>
      <c r="E104" s="1151">
        <f>SUM(E92:E103)</f>
        <v>0</v>
      </c>
      <c r="F104" s="1122"/>
      <c r="G104" s="1080" t="s">
        <v>919</v>
      </c>
      <c r="H104" s="1151">
        <f>MAX(H92-H101,0)</f>
        <v>103.61913710260485</v>
      </c>
      <c r="I104" s="1232"/>
      <c r="J104" s="1151">
        <f>SUM(J92:J103)</f>
        <v>329.76839476739519</v>
      </c>
      <c r="K104" s="1067" t="str">
        <f>IF(OR(J104&gt;=Data!$C$10,J104&lt;=-Data!$C$10), "Material", "Immaterial")</f>
        <v>Material</v>
      </c>
      <c r="L104" s="1098">
        <v>0</v>
      </c>
      <c r="M104" s="1082"/>
      <c r="N104" s="1082"/>
      <c r="O104" s="1082"/>
      <c r="P104" s="1082"/>
    </row>
    <row r="105" spans="1:16" s="1055" customFormat="1">
      <c r="A105" s="1123"/>
      <c r="B105" s="1124"/>
      <c r="C105" s="1033"/>
      <c r="D105" s="1084"/>
      <c r="E105" s="1084"/>
      <c r="F105" s="1084"/>
      <c r="G105" s="1084"/>
      <c r="H105" s="1085"/>
      <c r="I105" s="1085"/>
      <c r="J105" s="1085"/>
      <c r="K105" s="1085"/>
      <c r="L105" s="1086"/>
      <c r="M105" s="1082"/>
      <c r="N105" s="1082"/>
      <c r="O105" s="1082"/>
      <c r="P105" s="1082"/>
    </row>
    <row r="106" spans="1:16" s="1127" customFormat="1">
      <c r="A106" s="1125" t="s">
        <v>920</v>
      </c>
      <c r="B106" s="1126"/>
      <c r="C106" s="1127" t="s">
        <v>861</v>
      </c>
      <c r="D106" s="1151">
        <f>+D104*D13</f>
        <v>84.243631055300014</v>
      </c>
      <c r="E106" s="1151">
        <f>+E104*E13</f>
        <v>0</v>
      </c>
      <c r="F106" s="1076"/>
      <c r="G106" s="1056" t="s">
        <v>921</v>
      </c>
      <c r="H106" s="1151">
        <f>+H104*H13</f>
        <v>19.687636049494923</v>
      </c>
      <c r="I106" s="1076"/>
      <c r="J106" s="1151">
        <f>IF(E$11&lt;&gt;"",IF(OR(B$11="No Filing Date","Enter Filing Date",E$11&lt;D$11),"Error in Filing Date",IF('R8a - Tax Reconciliation'!B$11="Original Filing",D106-H106,E106-H106)),IF(OR(B$11="No Filing Date","Enter Filing Date"),"Error in Filing Date",IF('R8a - Tax Reconciliation'!B$11="Original Filing",D106-H106,E106-H106)))</f>
        <v>64.555995005805087</v>
      </c>
      <c r="K106" s="1077" t="str">
        <f>IF(OR(J106&gt;=Data!$C$11,J106&lt;=-Data!$C$11), "Material", "Immaterial")</f>
        <v>Material</v>
      </c>
      <c r="L106" s="1128"/>
      <c r="M106" s="1129"/>
      <c r="N106" s="1129"/>
      <c r="O106" s="1129"/>
      <c r="P106" s="1129"/>
    </row>
    <row r="107" spans="1:16" s="1080" customFormat="1">
      <c r="H107" s="1130"/>
    </row>
    <row r="108" spans="1:16" s="1131" customFormat="1">
      <c r="A108" s="1324" t="s">
        <v>922</v>
      </c>
      <c r="B108" s="1324"/>
      <c r="C108" s="1131" t="s">
        <v>800</v>
      </c>
      <c r="D108" s="1153">
        <f>INDEX(Data!$E$27:$L$27,MATCH($B$6,Data!$E$26:$L$26,0))</f>
        <v>1.0847835302284383</v>
      </c>
      <c r="E108" s="1153">
        <f>INDEX(Data!$E$27:$L$27,MATCH($B$6,Data!$E$26:$L$26,0))</f>
        <v>1.0847835302284383</v>
      </c>
      <c r="F108" s="1132"/>
      <c r="G108" s="1092" t="s">
        <v>923</v>
      </c>
      <c r="H108" s="1155">
        <f>INDEX(Data!$E$27:$L$27,MATCH($B$6,Data!$E$26:$L$26,0))</f>
        <v>1.0847835302284383</v>
      </c>
      <c r="I108" s="1133"/>
      <c r="J108" s="1133"/>
      <c r="K108" s="1134"/>
    </row>
    <row r="109" spans="1:16" s="1142" customFormat="1" ht="15.7">
      <c r="A109" s="1135" t="s">
        <v>920</v>
      </c>
      <c r="B109" s="1136"/>
      <c r="C109" s="1137" t="str">
        <f>IF($B$4="ED","20/21 Prices","18/19 Prices")</f>
        <v>18/19 Prices</v>
      </c>
      <c r="D109" s="1154">
        <f>D106/D108</f>
        <v>77.659393517487899</v>
      </c>
      <c r="E109" s="1154">
        <f>E106/E108</f>
        <v>0</v>
      </c>
      <c r="F109" s="1138"/>
      <c r="G109" s="1139" t="s">
        <v>924</v>
      </c>
      <c r="H109" s="1156">
        <f>H106/H108</f>
        <v>18.148907593894808</v>
      </c>
      <c r="I109" s="1140"/>
      <c r="J109" s="1157">
        <f>IF(OR(B$11="No Filing Date","Enter Filing Date"),"Error in Filing Date",IF('R8a - Tax Reconciliation'!B$11="Original Filing",D109-H109,E109-H109))</f>
        <v>59.510485923593095</v>
      </c>
      <c r="K109" s="1141"/>
      <c r="L109" s="1141"/>
      <c r="M109" s="1141"/>
      <c r="N109" s="1141"/>
      <c r="O109" s="1141"/>
      <c r="P109" s="1141"/>
    </row>
    <row r="110" spans="1:16">
      <c r="C110" s="1143"/>
      <c r="D110" s="1084"/>
      <c r="E110" s="1084"/>
      <c r="F110" s="1084"/>
      <c r="G110" s="1085"/>
      <c r="H110" s="1058"/>
      <c r="I110" s="1084"/>
      <c r="J110" s="1084"/>
      <c r="K110" s="1085"/>
      <c r="N110" s="1035"/>
    </row>
    <row r="111" spans="1:16">
      <c r="D111" s="1144"/>
      <c r="E111" s="1144"/>
      <c r="F111" s="1144"/>
      <c r="G111" s="1145"/>
      <c r="H111" s="1144"/>
      <c r="I111" s="1144"/>
      <c r="J111" s="1144"/>
      <c r="K111" s="1145"/>
      <c r="N111" s="1035"/>
    </row>
    <row r="115" spans="2:6">
      <c r="B115" s="1146"/>
    </row>
    <row r="116" spans="2:6">
      <c r="B116" s="1146"/>
    </row>
    <row r="121" spans="2:6">
      <c r="F121" s="1147"/>
    </row>
    <row r="122" spans="2:6">
      <c r="F122" s="1148"/>
    </row>
  </sheetData>
  <sheetProtection formatCells="0" insertRows="0" sort="0" autoFilter="0" pivotTables="0"/>
  <mergeCells count="20">
    <mergeCell ref="A108:B108"/>
    <mergeCell ref="A82:B82"/>
    <mergeCell ref="A35:B35"/>
    <mergeCell ref="A36:B36"/>
    <mergeCell ref="A39:B39"/>
    <mergeCell ref="A41:B41"/>
    <mergeCell ref="A42:B42"/>
    <mergeCell ref="A38:B38"/>
    <mergeCell ref="A81:B81"/>
    <mergeCell ref="A92:B92"/>
    <mergeCell ref="A54:B54"/>
    <mergeCell ref="L8:L9"/>
    <mergeCell ref="A13:B13"/>
    <mergeCell ref="A26:B26"/>
    <mergeCell ref="A27:B27"/>
    <mergeCell ref="A7:B7"/>
    <mergeCell ref="A8:B9"/>
    <mergeCell ref="C8:C9"/>
    <mergeCell ref="G8:G9"/>
    <mergeCell ref="A17:B17"/>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3"/>
  <sheetViews>
    <sheetView zoomScale="85" zoomScaleNormal="85" workbookViewId="0">
      <selection activeCell="D66" sqref="D66"/>
    </sheetView>
  </sheetViews>
  <sheetFormatPr defaultColWidth="9" defaultRowHeight="12.35"/>
  <cols>
    <col min="1" max="1" width="8.3671875" style="166" customWidth="1"/>
    <col min="2" max="2" width="44.47265625" style="166" customWidth="1"/>
    <col min="3" max="3" width="15.1015625" style="166" customWidth="1"/>
    <col min="4" max="4" width="14.734375" style="166" customWidth="1"/>
    <col min="5" max="5" width="14.89453125" style="166" customWidth="1"/>
    <col min="6" max="6" width="14.3671875" style="166" customWidth="1"/>
    <col min="7" max="8" width="11.1015625" style="166" customWidth="1"/>
    <col min="9" max="9" width="5" style="166" customWidth="1"/>
    <col min="10" max="13" width="9" style="166"/>
    <col min="14" max="14" width="13.1015625" style="166" customWidth="1"/>
    <col min="15" max="16384" width="9" style="166"/>
  </cols>
  <sheetData>
    <row r="1" spans="1:15" ht="20.350000000000001">
      <c r="A1" s="449" t="s">
        <v>261</v>
      </c>
      <c r="B1" s="451"/>
      <c r="C1" s="452"/>
      <c r="D1" s="452"/>
      <c r="E1" s="452"/>
      <c r="F1" s="452"/>
      <c r="G1" s="452"/>
      <c r="H1" s="452"/>
      <c r="I1" s="574"/>
    </row>
    <row r="2" spans="1:15" ht="20.350000000000001">
      <c r="A2" s="454" t="str">
        <f>Licensee</f>
        <v>Cadent-WM</v>
      </c>
      <c r="B2" s="456"/>
      <c r="C2" s="457"/>
      <c r="D2" s="457"/>
      <c r="E2" s="457"/>
      <c r="F2" s="457"/>
      <c r="G2" s="457"/>
      <c r="H2" s="457"/>
      <c r="I2" s="459"/>
    </row>
    <row r="3" spans="1:15" ht="20.350000000000001">
      <c r="A3" s="456">
        <f>Reporting_Year</f>
        <v>2023</v>
      </c>
      <c r="B3" s="460"/>
      <c r="C3" s="460"/>
      <c r="D3" s="460"/>
      <c r="E3" s="460"/>
      <c r="F3" s="460"/>
      <c r="G3" s="460"/>
      <c r="H3" s="460"/>
      <c r="I3" s="462"/>
    </row>
    <row r="4" spans="1:15" s="464" customFormat="1" ht="12.75" customHeight="1"/>
    <row r="5" spans="1:15" s="464" customFormat="1">
      <c r="B5" s="598"/>
      <c r="C5" s="598"/>
      <c r="D5" s="463" t="str">
        <f t="shared" ref="D5:H5" si="0">IF(D6&lt;=Reporting_Year,"Actuals","Forecast")</f>
        <v>Actuals</v>
      </c>
      <c r="E5" s="463" t="str">
        <f t="shared" si="0"/>
        <v>Actuals</v>
      </c>
      <c r="F5" s="463" t="str">
        <f t="shared" si="0"/>
        <v>Forecast</v>
      </c>
      <c r="G5" s="463" t="str">
        <f t="shared" si="0"/>
        <v>Forecast</v>
      </c>
      <c r="H5" s="463" t="str">
        <f t="shared" si="0"/>
        <v>Forecast</v>
      </c>
    </row>
    <row r="6" spans="1:15" s="464" customFormat="1">
      <c r="D6" s="575">
        <f>'RFPR cover'!$C$6</f>
        <v>2022</v>
      </c>
      <c r="E6" s="576">
        <f>D6+1</f>
        <v>2023</v>
      </c>
      <c r="F6" s="576">
        <f t="shared" ref="F6:H6" si="1">E6+1</f>
        <v>2024</v>
      </c>
      <c r="G6" s="576">
        <f t="shared" si="1"/>
        <v>2025</v>
      </c>
      <c r="H6" s="576">
        <f t="shared" si="1"/>
        <v>2026</v>
      </c>
    </row>
    <row r="7" spans="1:15" s="464" customFormat="1">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row>
    <row r="8" spans="1:15" s="464" customFormat="1"/>
    <row r="9" spans="1:15" s="464" customFormat="1">
      <c r="A9" s="1159" t="s">
        <v>925</v>
      </c>
      <c r="B9" s="1160"/>
      <c r="C9" s="469"/>
      <c r="D9" s="469"/>
      <c r="E9" s="469"/>
      <c r="F9" s="469"/>
      <c r="G9" s="469"/>
      <c r="H9" s="469"/>
    </row>
    <row r="10" spans="1:15" s="464" customFormat="1"/>
    <row r="11" spans="1:15">
      <c r="B11" s="547" t="s">
        <v>926</v>
      </c>
      <c r="C11" s="30" t="s">
        <v>425</v>
      </c>
      <c r="D11" s="1018">
        <v>37.049999999999997</v>
      </c>
      <c r="E11" s="1018">
        <v>66.5</v>
      </c>
      <c r="F11" s="1018"/>
      <c r="G11" s="1018"/>
      <c r="H11" s="1018"/>
      <c r="J11" s="464"/>
    </row>
    <row r="12" spans="1:15">
      <c r="B12" s="529" t="s">
        <v>927</v>
      </c>
      <c r="C12" s="547"/>
      <c r="D12" s="994"/>
      <c r="E12" s="994"/>
      <c r="F12" s="994"/>
      <c r="G12" s="994"/>
      <c r="H12" s="994"/>
      <c r="J12" s="464"/>
    </row>
    <row r="13" spans="1:15">
      <c r="B13" s="685" t="s">
        <v>827</v>
      </c>
      <c r="C13" s="30" t="s">
        <v>425</v>
      </c>
      <c r="D13" s="1018">
        <v>0</v>
      </c>
      <c r="E13" s="1018">
        <v>0</v>
      </c>
      <c r="F13" s="1018"/>
      <c r="G13" s="1018"/>
      <c r="H13" s="1018"/>
      <c r="J13" s="464"/>
    </row>
    <row r="14" spans="1:15">
      <c r="B14" s="685" t="s">
        <v>827</v>
      </c>
      <c r="C14" s="30" t="s">
        <v>425</v>
      </c>
      <c r="D14" s="1018">
        <v>0</v>
      </c>
      <c r="E14" s="1018">
        <v>0</v>
      </c>
      <c r="F14" s="1018"/>
      <c r="G14" s="1018"/>
      <c r="H14" s="1018"/>
      <c r="J14" s="464"/>
    </row>
    <row r="15" spans="1:15">
      <c r="B15" s="685" t="s">
        <v>828</v>
      </c>
      <c r="C15" s="30" t="s">
        <v>425</v>
      </c>
      <c r="D15" s="1018">
        <v>0</v>
      </c>
      <c r="E15" s="1018">
        <v>0</v>
      </c>
      <c r="F15" s="1018"/>
      <c r="G15" s="1018"/>
      <c r="H15" s="1018"/>
      <c r="J15" s="464"/>
      <c r="N15" s="1161"/>
    </row>
    <row r="16" spans="1:15">
      <c r="B16" s="547" t="s">
        <v>928</v>
      </c>
      <c r="C16" s="30" t="s">
        <v>425</v>
      </c>
      <c r="D16" s="1028">
        <f>D11-SUM(D13:D15)</f>
        <v>37.049999999999997</v>
      </c>
      <c r="E16" s="1028">
        <f t="shared" ref="E16:H16" si="2">E11-SUM(E13:E15)</f>
        <v>66.5</v>
      </c>
      <c r="F16" s="1028">
        <f t="shared" si="2"/>
        <v>0</v>
      </c>
      <c r="G16" s="1028">
        <f t="shared" si="2"/>
        <v>0</v>
      </c>
      <c r="H16" s="1028">
        <f t="shared" si="2"/>
        <v>0</v>
      </c>
      <c r="J16" s="464"/>
      <c r="O16" s="1162"/>
    </row>
    <row r="17" spans="1:14">
      <c r="C17" s="547"/>
      <c r="J17" s="464"/>
      <c r="N17" s="1161"/>
    </row>
    <row r="18" spans="1:14">
      <c r="B18" s="547" t="s">
        <v>929</v>
      </c>
      <c r="C18" s="30" t="s">
        <v>425</v>
      </c>
      <c r="D18" s="1018">
        <v>0</v>
      </c>
      <c r="E18" s="1018">
        <v>0</v>
      </c>
      <c r="F18" s="1018"/>
      <c r="G18" s="1018"/>
      <c r="H18" s="1018"/>
      <c r="J18" s="464"/>
    </row>
    <row r="19" spans="1:14">
      <c r="J19" s="464"/>
    </row>
    <row r="22" spans="1:14">
      <c r="A22" s="1159" t="s">
        <v>930</v>
      </c>
      <c r="B22" s="1163"/>
      <c r="C22" s="469"/>
      <c r="D22" s="469"/>
      <c r="E22" s="469"/>
      <c r="F22" s="469"/>
      <c r="G22" s="469"/>
      <c r="H22" s="469"/>
    </row>
    <row r="23" spans="1:14">
      <c r="D23" s="1333" t="str">
        <f>Reporting_Year&amp;" "&amp;"- Actuals"</f>
        <v>2023 - Actuals</v>
      </c>
      <c r="E23" s="1334"/>
      <c r="F23" s="1334"/>
      <c r="G23" s="1334"/>
      <c r="H23" s="1335"/>
    </row>
    <row r="24" spans="1:14">
      <c r="D24" s="1164" t="s">
        <v>931</v>
      </c>
      <c r="E24" s="1164" t="s">
        <v>932</v>
      </c>
      <c r="F24" s="1164" t="s">
        <v>933</v>
      </c>
      <c r="G24" s="1164" t="s">
        <v>934</v>
      </c>
      <c r="H24" s="1164" t="s">
        <v>935</v>
      </c>
    </row>
    <row r="25" spans="1:14" ht="35.1" customHeight="1">
      <c r="C25" s="166" t="s">
        <v>936</v>
      </c>
      <c r="D25" s="1165" t="s">
        <v>1104</v>
      </c>
      <c r="E25" s="1165" t="s">
        <v>1105</v>
      </c>
      <c r="F25" s="1165" t="s">
        <v>1106</v>
      </c>
      <c r="G25" s="1165">
        <v>0</v>
      </c>
      <c r="H25" s="1165">
        <v>0</v>
      </c>
    </row>
    <row r="26" spans="1:14" ht="44.45" customHeight="1">
      <c r="B26" s="547" t="s">
        <v>937</v>
      </c>
    </row>
    <row r="27" spans="1:14">
      <c r="B27" s="166" t="s">
        <v>938</v>
      </c>
      <c r="C27" s="30" t="s">
        <v>425</v>
      </c>
      <c r="D27" s="1166">
        <v>0.12027</v>
      </c>
      <c r="E27" s="1167">
        <v>7.2770000000000001E-2</v>
      </c>
      <c r="F27" s="1167">
        <v>6.498000000000001E-2</v>
      </c>
      <c r="G27" s="1167">
        <v>0</v>
      </c>
      <c r="H27" s="1167">
        <v>0</v>
      </c>
    </row>
    <row r="28" spans="1:14">
      <c r="B28" s="166" t="s">
        <v>939</v>
      </c>
      <c r="C28" s="30" t="s">
        <v>425</v>
      </c>
      <c r="D28" s="1168">
        <v>0</v>
      </c>
      <c r="E28" s="1169">
        <v>0</v>
      </c>
      <c r="F28" s="1169">
        <v>0</v>
      </c>
      <c r="G28" s="1169">
        <v>0</v>
      </c>
      <c r="H28" s="1169">
        <v>0</v>
      </c>
    </row>
    <row r="29" spans="1:14">
      <c r="B29" s="685" t="s">
        <v>828</v>
      </c>
      <c r="C29" s="30" t="s">
        <v>425</v>
      </c>
      <c r="D29" s="1168">
        <v>0</v>
      </c>
      <c r="E29" s="1169">
        <v>0</v>
      </c>
      <c r="F29" s="1169">
        <v>0</v>
      </c>
      <c r="G29" s="1169">
        <v>0</v>
      </c>
      <c r="H29" s="1169">
        <v>0</v>
      </c>
    </row>
    <row r="30" spans="1:14">
      <c r="B30" s="166" t="s">
        <v>940</v>
      </c>
      <c r="C30" s="30" t="s">
        <v>425</v>
      </c>
      <c r="D30" s="1170">
        <v>7.4099999999999999E-3</v>
      </c>
      <c r="E30" s="1171">
        <v>2.66E-3</v>
      </c>
      <c r="F30" s="1171">
        <v>3.6099999999999999E-3</v>
      </c>
      <c r="G30" s="1171">
        <v>0</v>
      </c>
      <c r="H30" s="1171">
        <v>0</v>
      </c>
    </row>
    <row r="31" spans="1:14">
      <c r="B31" s="685" t="s">
        <v>828</v>
      </c>
      <c r="C31" s="30" t="s">
        <v>425</v>
      </c>
      <c r="D31" s="1172">
        <v>0</v>
      </c>
      <c r="E31" s="1173">
        <v>0</v>
      </c>
      <c r="F31" s="1173">
        <v>0</v>
      </c>
      <c r="G31" s="1173">
        <v>0</v>
      </c>
      <c r="H31" s="1173">
        <v>0</v>
      </c>
    </row>
    <row r="32" spans="1:14">
      <c r="B32" s="166" t="s">
        <v>941</v>
      </c>
      <c r="C32" s="30" t="s">
        <v>425</v>
      </c>
      <c r="D32" s="1172">
        <v>1.444E-2</v>
      </c>
      <c r="E32" s="1173">
        <v>8.7399999999999995E-3</v>
      </c>
      <c r="F32" s="1173">
        <v>7.79E-3</v>
      </c>
      <c r="G32" s="1173">
        <v>0</v>
      </c>
      <c r="H32" s="1173">
        <v>0</v>
      </c>
    </row>
    <row r="33" spans="2:8">
      <c r="B33" s="685" t="s">
        <v>828</v>
      </c>
      <c r="C33" s="30" t="s">
        <v>425</v>
      </c>
      <c r="D33" s="1166">
        <v>0</v>
      </c>
      <c r="E33" s="1167">
        <v>0</v>
      </c>
      <c r="F33" s="1167">
        <v>0</v>
      </c>
      <c r="G33" s="1167">
        <v>0</v>
      </c>
      <c r="H33" s="1167">
        <v>0</v>
      </c>
    </row>
    <row r="34" spans="2:8">
      <c r="B34" s="547" t="s">
        <v>942</v>
      </c>
      <c r="C34" s="30" t="s">
        <v>425</v>
      </c>
      <c r="D34" s="1185">
        <f>SUM(D27:D33)</f>
        <v>0.14212000000000002</v>
      </c>
      <c r="E34" s="1185">
        <f>SUM(E27:E33)</f>
        <v>8.4169999999999995E-2</v>
      </c>
      <c r="F34" s="1185">
        <f>SUM(F27:F33)</f>
        <v>7.6380000000000017E-2</v>
      </c>
      <c r="G34" s="1185">
        <f>SUM(G27:G33)</f>
        <v>0</v>
      </c>
      <c r="H34" s="1185">
        <f>SUM(H27:H33)</f>
        <v>0</v>
      </c>
    </row>
    <row r="35" spans="2:8">
      <c r="B35" s="547" t="s">
        <v>943</v>
      </c>
      <c r="C35" s="30" t="s">
        <v>425</v>
      </c>
      <c r="D35" s="1174">
        <v>0.14212000000000002</v>
      </c>
      <c r="E35" s="1174">
        <v>8.4169999999999995E-2</v>
      </c>
      <c r="F35" s="1174">
        <v>7.6380000000000017E-2</v>
      </c>
      <c r="G35" s="1174">
        <v>0</v>
      </c>
      <c r="H35" s="1174">
        <v>0</v>
      </c>
    </row>
    <row r="36" spans="2:8">
      <c r="B36" s="685"/>
      <c r="D36" s="1175"/>
      <c r="E36" s="1175"/>
      <c r="F36" s="1175"/>
      <c r="G36" s="1175"/>
      <c r="H36" s="1175"/>
    </row>
    <row r="37" spans="2:8">
      <c r="B37" s="547" t="s">
        <v>944</v>
      </c>
      <c r="D37" s="1175"/>
      <c r="E37" s="1175"/>
      <c r="F37" s="1175"/>
      <c r="G37" s="1175"/>
      <c r="H37" s="1175"/>
    </row>
    <row r="38" spans="2:8">
      <c r="B38" s="166" t="s">
        <v>945</v>
      </c>
      <c r="C38" s="30" t="s">
        <v>425</v>
      </c>
      <c r="D38" s="1166">
        <v>0</v>
      </c>
      <c r="E38" s="1167">
        <v>0</v>
      </c>
      <c r="F38" s="1167">
        <v>0</v>
      </c>
      <c r="G38" s="1167">
        <v>0</v>
      </c>
      <c r="H38" s="1167">
        <v>0</v>
      </c>
    </row>
    <row r="39" spans="2:8">
      <c r="B39" s="685" t="s">
        <v>828</v>
      </c>
      <c r="C39" s="30" t="s">
        <v>425</v>
      </c>
      <c r="D39" s="1172">
        <v>0</v>
      </c>
      <c r="E39" s="1173">
        <v>0</v>
      </c>
      <c r="F39" s="1173">
        <v>0</v>
      </c>
      <c r="G39" s="1173">
        <v>0</v>
      </c>
      <c r="H39" s="1173">
        <v>0</v>
      </c>
    </row>
    <row r="40" spans="2:8">
      <c r="B40" s="166" t="s">
        <v>1010</v>
      </c>
      <c r="C40" s="30" t="s">
        <v>425</v>
      </c>
      <c r="D40" s="1170">
        <v>0.14363999999999999</v>
      </c>
      <c r="E40" s="1171">
        <v>4.2939999999999999E-2</v>
      </c>
      <c r="F40" s="1171">
        <v>3.9329999999999997E-2</v>
      </c>
      <c r="G40" s="1171">
        <v>0</v>
      </c>
      <c r="H40" s="1171">
        <v>0</v>
      </c>
    </row>
    <row r="41" spans="2:8">
      <c r="B41" s="166" t="s">
        <v>1011</v>
      </c>
      <c r="C41" s="30" t="s">
        <v>425</v>
      </c>
      <c r="D41" s="1172">
        <v>0</v>
      </c>
      <c r="E41" s="1173">
        <v>0</v>
      </c>
      <c r="F41" s="1173">
        <v>0</v>
      </c>
      <c r="G41" s="1173">
        <v>0</v>
      </c>
      <c r="H41" s="1173">
        <v>0</v>
      </c>
    </row>
    <row r="42" spans="2:8">
      <c r="B42" s="685" t="s">
        <v>1012</v>
      </c>
      <c r="C42" s="30" t="s">
        <v>425</v>
      </c>
      <c r="D42" s="1172">
        <v>0.20082999999999998</v>
      </c>
      <c r="E42" s="1173">
        <v>3.3439999999999998E-2</v>
      </c>
      <c r="F42" s="1173">
        <v>8.3979999999999999E-2</v>
      </c>
      <c r="G42" s="1173">
        <v>0</v>
      </c>
      <c r="H42" s="1173">
        <v>0</v>
      </c>
    </row>
    <row r="43" spans="2:8">
      <c r="B43" s="547" t="s">
        <v>946</v>
      </c>
      <c r="C43" s="30" t="s">
        <v>425</v>
      </c>
      <c r="D43" s="1186">
        <f t="shared" ref="D43:H43" si="3">SUM(D38:D42)</f>
        <v>0.34446999999999994</v>
      </c>
      <c r="E43" s="1186">
        <f t="shared" si="3"/>
        <v>7.6380000000000003E-2</v>
      </c>
      <c r="F43" s="1186">
        <f t="shared" si="3"/>
        <v>0.12331</v>
      </c>
      <c r="G43" s="1186">
        <f t="shared" si="3"/>
        <v>0</v>
      </c>
      <c r="H43" s="1186">
        <f t="shared" si="3"/>
        <v>0</v>
      </c>
    </row>
    <row r="44" spans="2:8">
      <c r="B44" s="547" t="s">
        <v>943</v>
      </c>
      <c r="C44" s="30" t="s">
        <v>425</v>
      </c>
      <c r="D44" s="1174">
        <f>D43</f>
        <v>0.34446999999999994</v>
      </c>
      <c r="E44" s="1174">
        <f t="shared" ref="E44:H44" si="4">E43</f>
        <v>7.6380000000000003E-2</v>
      </c>
      <c r="F44" s="1174">
        <f t="shared" si="4"/>
        <v>0.12331</v>
      </c>
      <c r="G44" s="1174">
        <f t="shared" si="4"/>
        <v>0</v>
      </c>
      <c r="H44" s="1174">
        <f t="shared" si="4"/>
        <v>0</v>
      </c>
    </row>
    <row r="45" spans="2:8">
      <c r="D45" s="1175"/>
      <c r="E45" s="1175"/>
      <c r="F45" s="1175"/>
      <c r="G45" s="1175"/>
      <c r="H45" s="1175"/>
    </row>
    <row r="46" spans="2:8">
      <c r="B46" s="547" t="s">
        <v>947</v>
      </c>
      <c r="C46" s="30" t="s">
        <v>425</v>
      </c>
      <c r="D46" s="1186">
        <f t="shared" ref="D46:H46" si="5">SUM(D34,D43)</f>
        <v>0.48658999999999997</v>
      </c>
      <c r="E46" s="1186">
        <f t="shared" si="5"/>
        <v>0.16055</v>
      </c>
      <c r="F46" s="1186">
        <f t="shared" si="5"/>
        <v>0.19969000000000003</v>
      </c>
      <c r="G46" s="1186">
        <f t="shared" si="5"/>
        <v>0</v>
      </c>
      <c r="H46" s="1186">
        <f t="shared" si="5"/>
        <v>0</v>
      </c>
    </row>
    <row r="47" spans="2:8">
      <c r="B47" s="547" t="s">
        <v>948</v>
      </c>
      <c r="C47" s="30" t="s">
        <v>425</v>
      </c>
      <c r="D47" s="1186">
        <f>D35+D44</f>
        <v>0.48658999999999997</v>
      </c>
      <c r="E47" s="1186">
        <f t="shared" ref="E47:H47" si="6">E35+E44</f>
        <v>0.16055</v>
      </c>
      <c r="F47" s="1186">
        <f t="shared" si="6"/>
        <v>0.19969000000000003</v>
      </c>
      <c r="G47" s="1186">
        <f t="shared" si="6"/>
        <v>0</v>
      </c>
      <c r="H47" s="1186">
        <f t="shared" si="6"/>
        <v>0</v>
      </c>
    </row>
    <row r="48" spans="2:8">
      <c r="D48" s="1175"/>
      <c r="E48" s="1175"/>
      <c r="F48" s="1175"/>
      <c r="G48" s="1175"/>
      <c r="H48" s="1175"/>
    </row>
    <row r="49" spans="2:14">
      <c r="B49" s="547" t="s">
        <v>949</v>
      </c>
      <c r="D49" s="1175"/>
      <c r="E49" s="1175"/>
      <c r="F49" s="1175"/>
      <c r="G49" s="1175"/>
      <c r="H49" s="1175"/>
    </row>
    <row r="50" spans="2:14">
      <c r="B50" s="166" t="s">
        <v>950</v>
      </c>
      <c r="C50" s="30" t="s">
        <v>951</v>
      </c>
      <c r="D50" s="1166">
        <v>0</v>
      </c>
      <c r="E50" s="1167">
        <v>0</v>
      </c>
      <c r="F50" s="1167">
        <v>0</v>
      </c>
      <c r="G50" s="1167">
        <v>0</v>
      </c>
      <c r="H50" s="1167">
        <v>0</v>
      </c>
    </row>
    <row r="51" spans="2:14">
      <c r="B51" s="685" t="s">
        <v>828</v>
      </c>
      <c r="C51" s="30"/>
      <c r="D51" s="1166">
        <v>0</v>
      </c>
      <c r="E51" s="1167">
        <v>0</v>
      </c>
      <c r="F51" s="1167">
        <v>0</v>
      </c>
      <c r="G51" s="1167">
        <v>0</v>
      </c>
      <c r="H51" s="1167">
        <v>0</v>
      </c>
    </row>
    <row r="52" spans="2:14">
      <c r="B52" s="166" t="s">
        <v>952</v>
      </c>
      <c r="C52" s="30" t="s">
        <v>389</v>
      </c>
      <c r="D52" s="1166">
        <v>0</v>
      </c>
      <c r="E52" s="1167">
        <v>0</v>
      </c>
      <c r="F52" s="1167">
        <v>0</v>
      </c>
      <c r="G52" s="1167">
        <v>0</v>
      </c>
      <c r="H52" s="1167">
        <v>0</v>
      </c>
    </row>
    <row r="53" spans="2:14">
      <c r="B53" s="289" t="s">
        <v>953</v>
      </c>
      <c r="C53" s="30" t="s">
        <v>389</v>
      </c>
      <c r="D53" s="1166">
        <v>0</v>
      </c>
      <c r="E53" s="1167">
        <v>0</v>
      </c>
      <c r="F53" s="1167">
        <v>0</v>
      </c>
      <c r="G53" s="1167">
        <v>0</v>
      </c>
      <c r="H53" s="1167">
        <v>0</v>
      </c>
    </row>
    <row r="54" spans="2:14">
      <c r="B54" s="547" t="s">
        <v>954</v>
      </c>
      <c r="C54" s="30" t="s">
        <v>425</v>
      </c>
      <c r="D54" s="1166">
        <v>0</v>
      </c>
      <c r="E54" s="1167">
        <v>0</v>
      </c>
      <c r="F54" s="1167">
        <v>0</v>
      </c>
      <c r="G54" s="1167">
        <v>0</v>
      </c>
      <c r="H54" s="1167">
        <v>0</v>
      </c>
    </row>
    <row r="55" spans="2:14">
      <c r="B55" s="289" t="s">
        <v>955</v>
      </c>
      <c r="C55" s="30" t="s">
        <v>956</v>
      </c>
      <c r="D55" s="1166">
        <v>0</v>
      </c>
      <c r="E55" s="1167">
        <v>0</v>
      </c>
      <c r="F55" s="1167">
        <v>0</v>
      </c>
      <c r="G55" s="1167">
        <v>0</v>
      </c>
      <c r="H55" s="1167">
        <v>0</v>
      </c>
    </row>
    <row r="56" spans="2:14">
      <c r="B56" s="289" t="s">
        <v>957</v>
      </c>
      <c r="C56" s="30" t="s">
        <v>958</v>
      </c>
      <c r="D56" s="1166">
        <v>0</v>
      </c>
      <c r="E56" s="1167">
        <v>0</v>
      </c>
      <c r="F56" s="1167">
        <v>0</v>
      </c>
      <c r="G56" s="1167">
        <v>0</v>
      </c>
      <c r="H56" s="1167">
        <v>0</v>
      </c>
    </row>
    <row r="57" spans="2:14">
      <c r="B57" s="289" t="s">
        <v>959</v>
      </c>
      <c r="C57" s="30" t="s">
        <v>956</v>
      </c>
      <c r="D57" s="1166">
        <v>0</v>
      </c>
      <c r="E57" s="1167">
        <v>0</v>
      </c>
      <c r="F57" s="1167">
        <v>0</v>
      </c>
      <c r="G57" s="1167">
        <v>0</v>
      </c>
      <c r="H57" s="1167">
        <v>0</v>
      </c>
    </row>
    <row r="58" spans="2:14">
      <c r="B58" s="547" t="s">
        <v>960</v>
      </c>
      <c r="C58" s="30" t="s">
        <v>425</v>
      </c>
      <c r="D58" s="1187">
        <f>D56*D57</f>
        <v>0</v>
      </c>
      <c r="E58" s="1187">
        <f t="shared" ref="E58:H58" si="7">E56*E57</f>
        <v>0</v>
      </c>
      <c r="F58" s="1187">
        <f t="shared" si="7"/>
        <v>0</v>
      </c>
      <c r="G58" s="1187">
        <f t="shared" si="7"/>
        <v>0</v>
      </c>
      <c r="H58" s="1187">
        <f t="shared" si="7"/>
        <v>0</v>
      </c>
    </row>
    <row r="59" spans="2:14">
      <c r="C59" s="30"/>
      <c r="D59" s="1175"/>
      <c r="E59" s="1175"/>
      <c r="F59" s="1175"/>
      <c r="G59" s="1175"/>
      <c r="H59" s="1175"/>
    </row>
    <row r="60" spans="2:14">
      <c r="B60" s="547" t="s">
        <v>961</v>
      </c>
      <c r="C60" s="30" t="s">
        <v>425</v>
      </c>
      <c r="D60" s="1166">
        <v>0</v>
      </c>
      <c r="E60" s="1167">
        <v>0</v>
      </c>
      <c r="F60" s="1167">
        <v>0</v>
      </c>
      <c r="G60" s="1167">
        <v>0</v>
      </c>
      <c r="H60" s="1167">
        <v>0</v>
      </c>
    </row>
    <row r="61" spans="2:14">
      <c r="B61" s="547"/>
      <c r="C61" s="547"/>
      <c r="D61" s="1176"/>
      <c r="E61" s="1176"/>
      <c r="F61" s="1176"/>
      <c r="G61" s="1176"/>
      <c r="H61" s="1176"/>
      <c r="I61" s="547"/>
      <c r="J61" s="547"/>
      <c r="K61" s="547"/>
      <c r="L61" s="547"/>
      <c r="M61" s="547"/>
      <c r="N61" s="547"/>
    </row>
    <row r="62" spans="2:14">
      <c r="B62" s="547" t="s">
        <v>962</v>
      </c>
      <c r="C62" s="30"/>
      <c r="D62" s="1187">
        <f>D54+D58+D60</f>
        <v>0</v>
      </c>
      <c r="E62" s="1187">
        <f>E54+E58+E60</f>
        <v>0</v>
      </c>
      <c r="F62" s="1187">
        <f>F54+F58+F60</f>
        <v>0</v>
      </c>
      <c r="G62" s="1187">
        <f>G54+G58+G60</f>
        <v>0</v>
      </c>
      <c r="H62" s="1187">
        <f>H54+H58+H60</f>
        <v>0</v>
      </c>
    </row>
    <row r="63" spans="2:14">
      <c r="B63" s="547" t="s">
        <v>943</v>
      </c>
      <c r="C63" s="30" t="s">
        <v>425</v>
      </c>
      <c r="D63" s="1166">
        <v>0</v>
      </c>
      <c r="E63" s="1167">
        <v>0</v>
      </c>
      <c r="F63" s="1167">
        <v>0</v>
      </c>
      <c r="G63" s="1167">
        <v>0</v>
      </c>
      <c r="H63" s="1167">
        <v>0</v>
      </c>
    </row>
    <row r="64" spans="2:14">
      <c r="B64" s="547"/>
      <c r="C64" s="30"/>
      <c r="D64" s="1176"/>
      <c r="E64" s="1176"/>
      <c r="F64" s="1176"/>
      <c r="G64" s="1176"/>
      <c r="H64" s="1176"/>
      <c r="J64" s="547"/>
      <c r="K64" s="547"/>
    </row>
    <row r="65" spans="1:12">
      <c r="B65" s="547" t="s">
        <v>963</v>
      </c>
      <c r="C65" s="30" t="s">
        <v>425</v>
      </c>
      <c r="D65" s="1187">
        <f>D46+D62</f>
        <v>0.48658999999999997</v>
      </c>
      <c r="E65" s="1187">
        <f t="shared" ref="E65:H65" si="8">E46+E62</f>
        <v>0.16055</v>
      </c>
      <c r="F65" s="1187">
        <f t="shared" si="8"/>
        <v>0.19969000000000003</v>
      </c>
      <c r="G65" s="1187">
        <f t="shared" si="8"/>
        <v>0</v>
      </c>
      <c r="H65" s="1187">
        <f t="shared" si="8"/>
        <v>0</v>
      </c>
    </row>
    <row r="66" spans="1:12">
      <c r="B66" s="547" t="s">
        <v>964</v>
      </c>
      <c r="C66" s="30" t="s">
        <v>425</v>
      </c>
      <c r="D66" s="1187">
        <f>D47+D63</f>
        <v>0.48658999999999997</v>
      </c>
      <c r="E66" s="1187">
        <f t="shared" ref="E66:H66" si="9">E47+E63</f>
        <v>0.16055</v>
      </c>
      <c r="F66" s="1187">
        <f t="shared" si="9"/>
        <v>0.19969000000000003</v>
      </c>
      <c r="G66" s="1187">
        <f t="shared" si="9"/>
        <v>0</v>
      </c>
      <c r="H66" s="1187">
        <f t="shared" si="9"/>
        <v>0</v>
      </c>
      <c r="J66" s="547"/>
    </row>
    <row r="67" spans="1:12">
      <c r="B67" s="547"/>
      <c r="C67" s="30"/>
      <c r="D67" s="665"/>
      <c r="E67" s="665"/>
      <c r="F67" s="665"/>
      <c r="G67" s="665"/>
      <c r="H67" s="665"/>
      <c r="J67" s="547"/>
    </row>
    <row r="68" spans="1:12">
      <c r="B68" s="547" t="s">
        <v>965</v>
      </c>
      <c r="C68" s="30"/>
      <c r="D68" s="665"/>
      <c r="E68" s="665"/>
      <c r="F68" s="665"/>
      <c r="G68" s="665"/>
      <c r="H68" s="665"/>
      <c r="I68" s="665"/>
      <c r="J68" s="665"/>
      <c r="K68" s="665"/>
    </row>
    <row r="69" spans="1:12">
      <c r="B69" s="166" t="s">
        <v>966</v>
      </c>
      <c r="C69" s="30"/>
      <c r="D69" s="614">
        <v>0</v>
      </c>
      <c r="E69" s="665"/>
      <c r="F69" s="665"/>
      <c r="G69" s="665"/>
      <c r="H69" s="665"/>
      <c r="I69" s="665"/>
      <c r="J69" s="665"/>
      <c r="K69" s="665"/>
    </row>
    <row r="70" spans="1:12">
      <c r="B70" s="166" t="s">
        <v>967</v>
      </c>
      <c r="C70" s="30"/>
      <c r="D70" s="614">
        <v>0</v>
      </c>
      <c r="E70" s="665"/>
      <c r="F70" s="665"/>
      <c r="G70" s="665"/>
      <c r="H70" s="665"/>
      <c r="I70" s="665"/>
      <c r="J70" s="665"/>
      <c r="K70" s="665"/>
    </row>
    <row r="71" spans="1:12">
      <c r="B71" s="166" t="s">
        <v>968</v>
      </c>
      <c r="C71" s="30"/>
      <c r="D71" s="614">
        <v>0</v>
      </c>
      <c r="E71" s="665"/>
      <c r="F71" s="665"/>
      <c r="G71" s="665"/>
      <c r="H71" s="665"/>
      <c r="I71" s="665"/>
      <c r="J71" s="665"/>
      <c r="K71" s="665"/>
    </row>
    <row r="72" spans="1:12">
      <c r="B72" s="547"/>
      <c r="C72" s="30"/>
      <c r="D72" s="665"/>
      <c r="E72" s="665"/>
      <c r="F72" s="665"/>
      <c r="G72" s="665"/>
      <c r="H72" s="665"/>
      <c r="I72" s="665"/>
      <c r="J72" s="665"/>
      <c r="K72" s="665"/>
    </row>
    <row r="73" spans="1:12">
      <c r="A73" s="546" t="s">
        <v>969</v>
      </c>
      <c r="B73" s="547"/>
      <c r="C73" s="30"/>
      <c r="D73" s="30"/>
      <c r="E73" s="665"/>
      <c r="F73" s="665"/>
      <c r="G73" s="665"/>
      <c r="H73" s="665"/>
      <c r="I73" s="665"/>
      <c r="J73" s="665"/>
      <c r="K73" s="665"/>
      <c r="L73" s="30"/>
    </row>
    <row r="74" spans="1:12">
      <c r="A74" s="546" t="s">
        <v>970</v>
      </c>
      <c r="B74" s="547"/>
      <c r="C74" s="547"/>
      <c r="D74" s="547"/>
      <c r="E74" s="665"/>
      <c r="F74" s="547"/>
      <c r="G74" s="547"/>
      <c r="H74" s="547"/>
      <c r="I74" s="547"/>
      <c r="J74" s="547"/>
    </row>
    <row r="75" spans="1:12">
      <c r="A75" s="546"/>
      <c r="B75" s="547"/>
      <c r="C75" s="547"/>
      <c r="D75" s="547"/>
      <c r="E75" s="547"/>
      <c r="F75" s="547"/>
      <c r="G75" s="547"/>
      <c r="H75" s="547"/>
      <c r="I75" s="547"/>
      <c r="J75" s="547"/>
    </row>
    <row r="76" spans="1:12">
      <c r="B76" s="547" t="s">
        <v>971</v>
      </c>
    </row>
    <row r="77" spans="1:12">
      <c r="B77" s="547"/>
    </row>
    <row r="78" spans="1:12">
      <c r="B78" s="1177"/>
      <c r="C78" s="1178"/>
      <c r="D78" s="1178"/>
      <c r="E78" s="1178"/>
      <c r="F78" s="1178"/>
      <c r="G78" s="1179"/>
      <c r="H78" s="1180"/>
    </row>
    <row r="79" spans="1:12">
      <c r="B79" s="1181"/>
      <c r="C79" s="1182"/>
      <c r="D79" s="552"/>
      <c r="E79" s="553"/>
      <c r="F79" s="553"/>
      <c r="G79" s="553"/>
      <c r="H79" s="554"/>
    </row>
    <row r="80" spans="1:12">
      <c r="B80" s="1181"/>
      <c r="C80" s="1182"/>
      <c r="D80" s="552"/>
      <c r="E80" s="553"/>
      <c r="F80" s="553"/>
      <c r="G80" s="553"/>
      <c r="H80" s="554"/>
    </row>
    <row r="81" spans="2:8">
      <c r="B81" s="1181"/>
      <c r="C81" s="1182"/>
      <c r="D81" s="552"/>
      <c r="E81" s="553"/>
      <c r="F81" s="553"/>
      <c r="G81" s="553"/>
      <c r="H81" s="554"/>
    </row>
    <row r="82" spans="2:8">
      <c r="B82" s="1181"/>
      <c r="C82" s="1182"/>
      <c r="D82" s="552"/>
      <c r="E82" s="553"/>
      <c r="F82" s="553"/>
      <c r="G82" s="553"/>
      <c r="H82" s="554"/>
    </row>
    <row r="83" spans="2:8">
      <c r="B83" s="1183"/>
      <c r="C83" s="1184"/>
      <c r="D83" s="557"/>
      <c r="E83" s="558"/>
      <c r="F83" s="558"/>
      <c r="G83" s="558"/>
      <c r="H83" s="559"/>
    </row>
  </sheetData>
  <sheetProtection algorithmName="SHA-512" hashValue="LDb2ZunQEs0L0WMqzWdRTrh4JZbDBLI6qyseNYeVMtwe33Z6XhTFlFqfNngbXaY+bfjpfyrnjr711+vyLX8ikA==" saltValue="OLmIEJNh+xbPSdBPZCSHXg==" spinCount="100000" sheet="1" objects="1" scenarios="1" insertRows="0" sort="0" autoFilter="0" pivotTables="0"/>
  <mergeCells count="1">
    <mergeCell ref="D23:H23"/>
  </mergeCells>
  <phoneticPr fontId="260" type="noConversion"/>
  <conditionalFormatting sqref="D5:G6">
    <cfRule type="expression" dxfId="17" priority="35">
      <formula>AND(D$5="Actuals",E$5="N/A")</formula>
    </cfRule>
  </conditionalFormatting>
  <conditionalFormatting sqref="D5:H6 D27:H35 D44:H44 D50:H58 D65:H67 D68:K68 D69:D72 F69:K73 E69:E74">
    <cfRule type="expression" dxfId="16" priority="27">
      <formula>D$5="N/A"</formula>
    </cfRule>
  </conditionalFormatting>
  <conditionalFormatting sqref="D7:H7">
    <cfRule type="expression" dxfId="15" priority="10">
      <formula>AND(D$5="Actuals",E$5="Forecast")</formula>
    </cfRule>
  </conditionalFormatting>
  <conditionalFormatting sqref="D11:H11">
    <cfRule type="expression" dxfId="14" priority="5">
      <formula>D$5="Forecast"</formula>
    </cfRule>
  </conditionalFormatting>
  <conditionalFormatting sqref="D13:H16">
    <cfRule type="expression" dxfId="13" priority="1">
      <formula>D$5="Forecast"</formula>
    </cfRule>
  </conditionalFormatting>
  <conditionalFormatting sqref="D18:H18">
    <cfRule type="expression" dxfId="12" priority="2">
      <formula>D$5="Forecast"</formula>
    </cfRule>
  </conditionalFormatting>
  <conditionalFormatting sqref="D20:H20">
    <cfRule type="expression" priority="21">
      <formula>D$5="N/A"</formula>
    </cfRule>
  </conditionalFormatting>
  <conditionalFormatting sqref="D38:H42">
    <cfRule type="expression" dxfId="11" priority="11">
      <formula>D$5="N/A"</formula>
    </cfRule>
  </conditionalFormatting>
  <conditionalFormatting sqref="D60:H60 D62:H63">
    <cfRule type="expression" dxfId="10" priority="13">
      <formula>D$5="N/A"</formula>
    </cfRule>
  </conditionalFormatting>
  <conditionalFormatting sqref="H5:H6">
    <cfRule type="expression" dxfId="9" priority="274">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85" zoomScaleNormal="85" workbookViewId="0">
      <selection activeCell="D42" sqref="D42"/>
    </sheetView>
  </sheetViews>
  <sheetFormatPr defaultColWidth="9" defaultRowHeight="12.35"/>
  <cols>
    <col min="1" max="1" width="8.3671875" style="166" customWidth="1"/>
    <col min="2" max="2" width="77.26171875" style="166" bestFit="1" customWidth="1"/>
    <col min="3" max="3" width="14.1015625" style="166" customWidth="1"/>
    <col min="4" max="8" width="11.1015625" style="166" customWidth="1"/>
    <col min="9" max="9" width="6.62890625" style="166" bestFit="1" customWidth="1"/>
    <col min="10" max="16384" width="9" style="166"/>
  </cols>
  <sheetData>
    <row r="1" spans="1:10" ht="20.350000000000001">
      <c r="A1" s="449" t="s">
        <v>972</v>
      </c>
      <c r="B1" s="451"/>
      <c r="C1" s="452"/>
      <c r="D1" s="452"/>
      <c r="E1" s="452"/>
      <c r="F1" s="452"/>
      <c r="G1" s="452"/>
      <c r="H1" s="452"/>
      <c r="I1" s="574"/>
    </row>
    <row r="2" spans="1:10" ht="20.350000000000001">
      <c r="A2" s="454" t="str">
        <f>Licensee</f>
        <v>Cadent-WM</v>
      </c>
      <c r="B2" s="456"/>
      <c r="C2" s="457"/>
      <c r="D2" s="457"/>
      <c r="E2" s="457"/>
      <c r="F2" s="457"/>
      <c r="G2" s="457"/>
      <c r="H2" s="457"/>
      <c r="I2" s="459"/>
    </row>
    <row r="3" spans="1:10" ht="20.350000000000001">
      <c r="A3" s="456">
        <f>Reporting_Year</f>
        <v>2023</v>
      </c>
      <c r="B3" s="674"/>
      <c r="C3" s="460"/>
      <c r="D3" s="460"/>
      <c r="E3" s="460"/>
      <c r="F3" s="460"/>
      <c r="G3" s="460"/>
      <c r="H3" s="460"/>
      <c r="I3" s="462"/>
    </row>
    <row r="4" spans="1:10" s="464" customFormat="1" ht="12.75" customHeight="1">
      <c r="B4" s="598"/>
      <c r="C4" s="166"/>
      <c r="D4" s="910"/>
      <c r="E4" s="910"/>
    </row>
    <row r="5" spans="1:10" s="464" customFormat="1" ht="12.75" customHeight="1">
      <c r="B5" s="598"/>
      <c r="C5" s="166"/>
      <c r="D5" s="1188" t="str">
        <f t="shared" ref="D5:H5" si="0">IF(D6&lt;=Reporting_Year,"Actuals","Forecast")</f>
        <v>Actuals</v>
      </c>
      <c r="E5" s="1188" t="str">
        <f t="shared" si="0"/>
        <v>Actuals</v>
      </c>
      <c r="F5" s="1188" t="str">
        <f t="shared" si="0"/>
        <v>Forecast</v>
      </c>
      <c r="G5" s="1188" t="str">
        <f t="shared" si="0"/>
        <v>Forecast</v>
      </c>
      <c r="H5" s="1188" t="str">
        <f t="shared" si="0"/>
        <v>Forecast</v>
      </c>
      <c r="I5" s="585"/>
    </row>
    <row r="6" spans="1:10" s="464" customFormat="1">
      <c r="C6" s="166"/>
      <c r="D6" s="681">
        <f>'RFPR cover'!$C$6</f>
        <v>2022</v>
      </c>
      <c r="E6" s="681">
        <f>D6+1</f>
        <v>2023</v>
      </c>
      <c r="F6" s="681">
        <f t="shared" ref="F6:H6" si="1">E6+1</f>
        <v>2024</v>
      </c>
      <c r="G6" s="681">
        <f t="shared" si="1"/>
        <v>2025</v>
      </c>
      <c r="H6" s="681">
        <f t="shared" si="1"/>
        <v>2026</v>
      </c>
      <c r="I6" s="585"/>
    </row>
    <row r="7" spans="1:10" s="464" customFormat="1">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585"/>
    </row>
    <row r="8" spans="1:10" s="464" customFormat="1">
      <c r="I8" s="585"/>
    </row>
    <row r="9" spans="1:10" s="464" customFormat="1">
      <c r="B9" s="1189" t="s">
        <v>973</v>
      </c>
      <c r="C9" s="510"/>
      <c r="D9" s="511"/>
      <c r="E9" s="511"/>
      <c r="F9" s="511"/>
      <c r="G9" s="511"/>
      <c r="H9" s="511"/>
      <c r="I9" s="585"/>
    </row>
    <row r="10" spans="1:10" s="464" customFormat="1">
      <c r="B10" s="600"/>
      <c r="C10" s="30"/>
      <c r="I10" s="585"/>
    </row>
    <row r="11" spans="1:10" s="464" customFormat="1">
      <c r="B11" s="600"/>
      <c r="C11" s="30"/>
      <c r="I11" s="585"/>
    </row>
    <row r="12" spans="1:10">
      <c r="B12" s="547" t="s">
        <v>974</v>
      </c>
      <c r="C12" s="30" t="s">
        <v>425</v>
      </c>
      <c r="D12" s="1190">
        <v>4.0838824620899148</v>
      </c>
      <c r="E12" s="1190">
        <v>4.0629984550695024</v>
      </c>
      <c r="F12" s="1190"/>
      <c r="G12" s="1190"/>
      <c r="H12" s="1190"/>
      <c r="I12" s="585"/>
      <c r="J12" s="464"/>
    </row>
    <row r="13" spans="1:10">
      <c r="B13" s="683" t="s">
        <v>975</v>
      </c>
      <c r="D13" s="994"/>
      <c r="E13" s="994"/>
      <c r="F13" s="994"/>
      <c r="G13" s="994"/>
      <c r="H13" s="994"/>
      <c r="J13" s="464"/>
    </row>
    <row r="14" spans="1:10">
      <c r="B14" s="166" t="s">
        <v>976</v>
      </c>
      <c r="C14" s="30" t="s">
        <v>425</v>
      </c>
      <c r="D14" s="1190">
        <v>5.7517872397326855</v>
      </c>
      <c r="E14" s="1190">
        <v>5.7223739629771577</v>
      </c>
      <c r="F14" s="1190"/>
      <c r="G14" s="1190"/>
      <c r="H14" s="1190"/>
      <c r="I14" s="585"/>
      <c r="J14" s="464"/>
    </row>
    <row r="15" spans="1:10">
      <c r="B15" s="166" t="s">
        <v>977</v>
      </c>
      <c r="C15" s="30" t="s">
        <v>425</v>
      </c>
      <c r="D15" s="1190">
        <v>-1.6679047776427705</v>
      </c>
      <c r="E15" s="1190">
        <v>-1.6593755079076551</v>
      </c>
      <c r="F15" s="1190"/>
      <c r="G15" s="1190"/>
      <c r="H15" s="1190"/>
      <c r="I15" s="585"/>
      <c r="J15" s="464"/>
    </row>
    <row r="16" spans="1:10">
      <c r="D16" s="994"/>
      <c r="E16" s="994"/>
      <c r="F16" s="994"/>
      <c r="G16" s="994"/>
      <c r="H16" s="994"/>
      <c r="I16" s="585"/>
      <c r="J16" s="464"/>
    </row>
    <row r="17" spans="2:10">
      <c r="D17" s="994"/>
      <c r="E17" s="994"/>
      <c r="F17" s="994"/>
      <c r="G17" s="994"/>
      <c r="H17" s="994"/>
      <c r="I17" s="585"/>
      <c r="J17" s="464"/>
    </row>
    <row r="18" spans="2:10">
      <c r="B18" s="166" t="s">
        <v>976</v>
      </c>
      <c r="C18" s="974" t="str">
        <f>Data!$C$9</f>
        <v>£m 18/19</v>
      </c>
      <c r="D18" s="329">
        <f t="shared" ref="D18:H18" si="2">D$14/INDEX(real_to_nominal_CF,MATCH(D6,calendar_year,0))</f>
        <v>5.3022442537650347</v>
      </c>
      <c r="E18" s="329">
        <f t="shared" si="2"/>
        <v>4.8496181752233003</v>
      </c>
      <c r="F18" s="329">
        <f t="shared" si="2"/>
        <v>0</v>
      </c>
      <c r="G18" s="329">
        <f t="shared" si="2"/>
        <v>0</v>
      </c>
      <c r="H18" s="329">
        <f t="shared" si="2"/>
        <v>0</v>
      </c>
      <c r="I18" s="585"/>
      <c r="J18" s="464"/>
    </row>
    <row r="19" spans="2:10">
      <c r="D19" s="994"/>
      <c r="E19" s="994"/>
      <c r="F19" s="994"/>
      <c r="G19" s="994"/>
      <c r="H19" s="994"/>
      <c r="I19" s="585"/>
      <c r="J19" s="464"/>
    </row>
    <row r="20" spans="2:10">
      <c r="D20" s="994"/>
      <c r="E20" s="994"/>
      <c r="F20" s="994"/>
      <c r="G20" s="994"/>
      <c r="H20" s="994"/>
      <c r="I20" s="585"/>
      <c r="J20" s="464"/>
    </row>
    <row r="21" spans="2:10" s="464" customFormat="1">
      <c r="B21" s="547" t="s">
        <v>978</v>
      </c>
      <c r="C21" s="974" t="str">
        <f>Data!$C$9</f>
        <v>£m 18/19</v>
      </c>
      <c r="D21" s="984">
        <v>7.4</v>
      </c>
      <c r="E21" s="984">
        <v>5.0999999999999996</v>
      </c>
      <c r="F21" s="984">
        <v>0</v>
      </c>
      <c r="G21" s="984">
        <v>0</v>
      </c>
      <c r="H21" s="984">
        <v>0</v>
      </c>
      <c r="I21" s="585"/>
    </row>
    <row r="22" spans="2:10" s="464" customFormat="1">
      <c r="B22" s="166" t="s">
        <v>979</v>
      </c>
      <c r="C22" s="974" t="str">
        <f>Data!$C$9</f>
        <v>£m 18/19</v>
      </c>
      <c r="D22" s="909">
        <v>3.1</v>
      </c>
      <c r="E22" s="909">
        <v>3.1</v>
      </c>
      <c r="F22" s="909">
        <v>0</v>
      </c>
      <c r="G22" s="909">
        <v>0</v>
      </c>
      <c r="H22" s="909">
        <v>0</v>
      </c>
      <c r="I22" s="585"/>
    </row>
    <row r="23" spans="2:10" s="464" customFormat="1">
      <c r="B23" s="547" t="s">
        <v>980</v>
      </c>
      <c r="C23" s="974" t="str">
        <f>Data!$C$9</f>
        <v>£m 18/19</v>
      </c>
      <c r="D23" s="329">
        <f>D21-D22</f>
        <v>4.3000000000000007</v>
      </c>
      <c r="E23" s="329">
        <f t="shared" ref="E23:H23" si="3">E21-E22</f>
        <v>1.9999999999999996</v>
      </c>
      <c r="F23" s="329">
        <f t="shared" si="3"/>
        <v>0</v>
      </c>
      <c r="G23" s="329">
        <f t="shared" si="3"/>
        <v>0</v>
      </c>
      <c r="H23" s="329">
        <f t="shared" si="3"/>
        <v>0</v>
      </c>
      <c r="I23" s="585"/>
    </row>
    <row r="24" spans="2:10" s="464" customFormat="1">
      <c r="B24" s="547"/>
      <c r="C24" s="547"/>
      <c r="D24" s="547"/>
      <c r="E24" s="547"/>
      <c r="F24" s="547"/>
      <c r="G24" s="547"/>
      <c r="H24" s="547"/>
      <c r="I24" s="585"/>
    </row>
    <row r="25" spans="2:10" s="464" customFormat="1">
      <c r="B25" s="547"/>
      <c r="C25" s="547"/>
      <c r="D25" s="1336" t="s">
        <v>981</v>
      </c>
      <c r="E25" s="547"/>
      <c r="F25" s="547"/>
      <c r="G25" s="547"/>
      <c r="H25" s="547"/>
      <c r="I25" s="585"/>
    </row>
    <row r="26" spans="2:10" s="464" customFormat="1" ht="12.75" customHeight="1">
      <c r="B26" s="547"/>
      <c r="C26" s="547"/>
      <c r="D26" s="1337"/>
      <c r="E26" s="547"/>
      <c r="F26" s="547"/>
      <c r="G26" s="547"/>
      <c r="H26" s="547"/>
      <c r="I26" s="585"/>
    </row>
    <row r="27" spans="2:10">
      <c r="C27" s="547"/>
      <c r="D27" s="1338"/>
      <c r="E27" s="547"/>
      <c r="F27" s="547"/>
      <c r="I27" s="585"/>
    </row>
    <row r="28" spans="2:10">
      <c r="B28" s="547" t="s">
        <v>982</v>
      </c>
      <c r="C28" s="547"/>
      <c r="D28" s="1191">
        <v>44651</v>
      </c>
      <c r="E28" s="547"/>
      <c r="F28" s="547"/>
      <c r="I28" s="585"/>
    </row>
    <row r="29" spans="2:10">
      <c r="B29" s="547"/>
      <c r="C29" s="547"/>
      <c r="D29" s="1192"/>
      <c r="E29" s="547"/>
      <c r="F29" s="547"/>
      <c r="I29" s="585"/>
    </row>
    <row r="30" spans="2:10">
      <c r="B30" s="166" t="s">
        <v>849</v>
      </c>
      <c r="C30" s="547"/>
      <c r="D30" s="1193" t="s">
        <v>1022</v>
      </c>
      <c r="E30" s="547"/>
      <c r="F30" s="547"/>
      <c r="I30" s="585"/>
    </row>
    <row r="31" spans="2:10">
      <c r="C31" s="547"/>
      <c r="D31" s="547"/>
      <c r="E31" s="547"/>
      <c r="F31" s="547"/>
      <c r="H31"/>
      <c r="I31" s="585"/>
    </row>
    <row r="32" spans="2:10">
      <c r="B32" s="547"/>
      <c r="F32" s="547"/>
      <c r="I32" s="585"/>
    </row>
    <row r="33" spans="2:9">
      <c r="B33" s="166" t="s">
        <v>983</v>
      </c>
      <c r="C33" s="1194" t="str">
        <f>"£m "&amp;$D$30</f>
        <v>£m 21/22</v>
      </c>
      <c r="D33" s="909">
        <v>238.39195799999999</v>
      </c>
      <c r="E33" s="547"/>
      <c r="F33" s="547"/>
      <c r="I33" s="585"/>
    </row>
    <row r="34" spans="2:9">
      <c r="B34" s="166" t="s">
        <v>984</v>
      </c>
      <c r="C34" s="1194" t="str">
        <f>"£m "&amp;$D$30</f>
        <v>£m 21/22</v>
      </c>
      <c r="D34" s="909">
        <v>6196.6080419999998</v>
      </c>
      <c r="E34" s="547"/>
      <c r="F34" s="547"/>
      <c r="I34" s="585"/>
    </row>
    <row r="35" spans="2:9">
      <c r="C35" s="1195"/>
      <c r="D35" s="994"/>
      <c r="E35" s="547"/>
      <c r="F35" s="547"/>
      <c r="I35" s="585"/>
    </row>
    <row r="36" spans="2:9">
      <c r="B36" s="166" t="s">
        <v>985</v>
      </c>
      <c r="C36" s="1194" t="str">
        <f>"£m "&amp;$D$30</f>
        <v>£m 21/22</v>
      </c>
      <c r="D36" s="909">
        <v>286.61980701200832</v>
      </c>
      <c r="I36" s="585"/>
    </row>
    <row r="37" spans="2:9">
      <c r="B37" s="166" t="s">
        <v>986</v>
      </c>
      <c r="C37" s="1194" t="str">
        <f>"£m "&amp;$D$30</f>
        <v>£m 21/22</v>
      </c>
      <c r="D37" s="909">
        <v>6249.6801929879921</v>
      </c>
      <c r="I37" s="585"/>
    </row>
    <row r="38" spans="2:9">
      <c r="C38" s="1195"/>
      <c r="D38" s="994"/>
      <c r="I38" s="585"/>
    </row>
    <row r="39" spans="2:9">
      <c r="B39" s="694" t="s">
        <v>987</v>
      </c>
      <c r="C39" s="1194" t="str">
        <f>"£m "&amp;$D$30</f>
        <v>£m 21/22</v>
      </c>
      <c r="D39" s="329">
        <f>D33-D36</f>
        <v>-48.227849012008335</v>
      </c>
      <c r="I39" s="585"/>
    </row>
    <row r="40" spans="2:9">
      <c r="B40" s="694" t="s">
        <v>988</v>
      </c>
      <c r="C40" s="1194" t="str">
        <f>"£m "&amp;$D$30</f>
        <v>£m 21/22</v>
      </c>
      <c r="D40" s="329">
        <f>D34-D37</f>
        <v>-53.072150987992245</v>
      </c>
      <c r="I40" s="585"/>
    </row>
    <row r="41" spans="2:9">
      <c r="C41" s="1195"/>
      <c r="D41" s="994"/>
      <c r="I41" s="585"/>
    </row>
    <row r="42" spans="2:9">
      <c r="B42" s="166" t="s">
        <v>989</v>
      </c>
      <c r="C42" s="1194" t="str">
        <f>"£m "&amp;$D$30</f>
        <v>£m 21/22</v>
      </c>
      <c r="D42" s="909">
        <v>13.161893445022077</v>
      </c>
      <c r="I42" s="585"/>
    </row>
    <row r="43" spans="2:9">
      <c r="B43" s="166" t="s">
        <v>990</v>
      </c>
      <c r="C43" s="1194" t="str">
        <f>"£m "&amp;$D$30</f>
        <v>£m 21/22</v>
      </c>
      <c r="D43" s="909">
        <v>11.328437362485142</v>
      </c>
      <c r="I43" s="585"/>
    </row>
    <row r="44" spans="2:9">
      <c r="I44" s="585"/>
    </row>
    <row r="45" spans="2:9">
      <c r="I45" s="585"/>
    </row>
    <row r="46" spans="2:9">
      <c r="I46" s="585"/>
    </row>
    <row r="47" spans="2:9">
      <c r="B47" s="1189" t="s">
        <v>991</v>
      </c>
      <c r="C47" s="510"/>
      <c r="D47" s="511"/>
      <c r="E47" s="511"/>
      <c r="F47" s="511"/>
      <c r="G47" s="511"/>
      <c r="H47" s="511"/>
      <c r="I47" s="585"/>
    </row>
    <row r="48" spans="2:9">
      <c r="I48" s="585"/>
    </row>
    <row r="49" spans="1:9">
      <c r="I49" s="585"/>
    </row>
    <row r="50" spans="1:9">
      <c r="I50" s="585"/>
    </row>
    <row r="51" spans="1:9">
      <c r="A51" s="464"/>
      <c r="B51" s="598"/>
      <c r="C51" s="598"/>
      <c r="D51" s="1188" t="str">
        <f t="shared" ref="D51:H51" si="4">IF(D52&lt;=Reporting_Year,"Actuals","Forecast")</f>
        <v>Actuals</v>
      </c>
      <c r="E51" s="1188" t="str">
        <f t="shared" si="4"/>
        <v>Actuals</v>
      </c>
      <c r="F51" s="1188" t="str">
        <f t="shared" si="4"/>
        <v>Forecast</v>
      </c>
      <c r="G51" s="1188" t="str">
        <f t="shared" si="4"/>
        <v>Forecast</v>
      </c>
      <c r="H51" s="1188" t="str">
        <f t="shared" si="4"/>
        <v>Forecast</v>
      </c>
      <c r="I51" s="585"/>
    </row>
    <row r="52" spans="1:9">
      <c r="A52" s="464"/>
      <c r="B52" s="464"/>
      <c r="C52" s="547"/>
      <c r="D52" s="681">
        <f>'RFPR cover'!$C$6</f>
        <v>2022</v>
      </c>
      <c r="E52" s="681">
        <f t="shared" ref="E52:H52" si="5">D52+1</f>
        <v>2023</v>
      </c>
      <c r="F52" s="681">
        <f t="shared" si="5"/>
        <v>2024</v>
      </c>
      <c r="G52" s="681">
        <f t="shared" si="5"/>
        <v>2025</v>
      </c>
      <c r="H52" s="681">
        <f t="shared" si="5"/>
        <v>2026</v>
      </c>
      <c r="I52" s="585"/>
    </row>
    <row r="53" spans="1:9">
      <c r="D53" s="1196"/>
      <c r="E53" s="1196"/>
      <c r="F53" s="1196"/>
      <c r="G53" s="1196"/>
      <c r="H53" s="1196"/>
      <c r="I53" s="585"/>
    </row>
    <row r="54" spans="1:9">
      <c r="B54" s="600" t="s">
        <v>992</v>
      </c>
      <c r="C54" s="974" t="str">
        <f>Data!$C$9</f>
        <v>£m 18/19</v>
      </c>
      <c r="D54" s="335">
        <f>(D$62+D$67)/INDEX(real_to_nominal_CF,MATCH('R10 - Pensions &amp; Oth Activities'!D52,calendar_year,0))</f>
        <v>0.860900708183998</v>
      </c>
      <c r="E54" s="335">
        <f>(E$62+E$67)/INDEX(real_to_nominal_CF,MATCH('R10 - Pensions &amp; Oth Activities'!E52,calendar_year,0))</f>
        <v>0.86784356608690583</v>
      </c>
      <c r="F54" s="335">
        <f>(F$62+F$67)/INDEX(real_to_nominal_CF,MATCH('R10 - Pensions &amp; Oth Activities'!F52,calendar_year,0))</f>
        <v>0.31591586347614853</v>
      </c>
      <c r="G54" s="335">
        <f>(G$62+G$67)/INDEX(real_to_nominal_CF,MATCH('R10 - Pensions &amp; Oth Activities'!G52,calendar_year,0))</f>
        <v>0.31362497448212229</v>
      </c>
      <c r="H54" s="335">
        <f>(H$62+H$67)/INDEX(real_to_nominal_CF,MATCH('R10 - Pensions &amp; Oth Activities'!H52,calendar_year,0))</f>
        <v>0.31283997869527247</v>
      </c>
      <c r="I54" s="585"/>
    </row>
    <row r="55" spans="1:9">
      <c r="D55" s="1196"/>
      <c r="E55" s="1196"/>
      <c r="F55" s="1196"/>
      <c r="G55" s="1196"/>
      <c r="H55" s="1196"/>
    </row>
    <row r="56" spans="1:9">
      <c r="B56" s="547" t="s">
        <v>993</v>
      </c>
      <c r="D56" s="1196"/>
      <c r="E56" s="1196"/>
      <c r="F56" s="1196"/>
      <c r="G56" s="1196"/>
      <c r="H56" s="1196"/>
    </row>
    <row r="57" spans="1:9">
      <c r="B57" s="1197" t="s">
        <v>994</v>
      </c>
      <c r="C57" s="30" t="s">
        <v>425</v>
      </c>
      <c r="D57" s="614">
        <v>0</v>
      </c>
      <c r="E57" s="614">
        <v>0</v>
      </c>
      <c r="F57" s="614">
        <v>0</v>
      </c>
      <c r="G57" s="614">
        <v>0</v>
      </c>
      <c r="H57" s="614">
        <v>0</v>
      </c>
    </row>
    <row r="58" spans="1:9">
      <c r="B58" s="1197" t="s">
        <v>994</v>
      </c>
      <c r="C58" s="30" t="s">
        <v>425</v>
      </c>
      <c r="D58" s="614">
        <v>0</v>
      </c>
      <c r="E58" s="614">
        <v>0</v>
      </c>
      <c r="F58" s="614">
        <v>0</v>
      </c>
      <c r="G58" s="614">
        <v>0</v>
      </c>
      <c r="H58" s="614">
        <v>0</v>
      </c>
    </row>
    <row r="59" spans="1:9">
      <c r="B59" s="1197" t="s">
        <v>828</v>
      </c>
      <c r="C59" s="30" t="s">
        <v>425</v>
      </c>
      <c r="D59" s="614">
        <v>0</v>
      </c>
      <c r="E59" s="614">
        <v>0</v>
      </c>
      <c r="F59" s="614">
        <v>0</v>
      </c>
      <c r="G59" s="614">
        <v>0</v>
      </c>
      <c r="H59" s="614">
        <v>0</v>
      </c>
    </row>
    <row r="60" spans="1:9">
      <c r="B60" s="547" t="s">
        <v>995</v>
      </c>
      <c r="C60" s="30" t="s">
        <v>425</v>
      </c>
      <c r="D60" s="335">
        <f t="shared" ref="D60:H60" si="6">SUM(D57:D59)</f>
        <v>0</v>
      </c>
      <c r="E60" s="335">
        <f t="shared" si="6"/>
        <v>0</v>
      </c>
      <c r="F60" s="335">
        <f t="shared" si="6"/>
        <v>0</v>
      </c>
      <c r="G60" s="335">
        <f t="shared" si="6"/>
        <v>0</v>
      </c>
      <c r="H60" s="335">
        <f t="shared" si="6"/>
        <v>0</v>
      </c>
    </row>
    <row r="61" spans="1:9">
      <c r="B61" s="464" t="s">
        <v>996</v>
      </c>
      <c r="C61" s="30" t="s">
        <v>425</v>
      </c>
      <c r="D61" s="614">
        <v>0</v>
      </c>
      <c r="E61" s="614">
        <v>0</v>
      </c>
      <c r="F61" s="614">
        <v>0</v>
      </c>
      <c r="G61" s="614">
        <v>0</v>
      </c>
      <c r="H61" s="614">
        <v>0</v>
      </c>
    </row>
    <row r="62" spans="1:9">
      <c r="B62" s="600" t="s">
        <v>997</v>
      </c>
      <c r="C62" s="30" t="s">
        <v>425</v>
      </c>
      <c r="D62" s="335">
        <f t="shared" ref="D62:H62" si="7">D60-D61</f>
        <v>0</v>
      </c>
      <c r="E62" s="335">
        <f t="shared" si="7"/>
        <v>0</v>
      </c>
      <c r="F62" s="335">
        <f t="shared" si="7"/>
        <v>0</v>
      </c>
      <c r="G62" s="335">
        <f t="shared" si="7"/>
        <v>0</v>
      </c>
      <c r="H62" s="335">
        <f t="shared" si="7"/>
        <v>0</v>
      </c>
    </row>
    <row r="64" spans="1:9">
      <c r="B64" s="547" t="s">
        <v>998</v>
      </c>
      <c r="D64" s="1196"/>
      <c r="E64" s="1196"/>
      <c r="F64" s="1196"/>
      <c r="G64" s="1196"/>
      <c r="H64" s="1196"/>
    </row>
    <row r="65" spans="2:8">
      <c r="B65" s="1197" t="s">
        <v>999</v>
      </c>
      <c r="C65" s="30" t="s">
        <v>425</v>
      </c>
      <c r="D65" s="614">
        <v>1.15295174</v>
      </c>
      <c r="E65" s="614">
        <v>1.3653653400000001</v>
      </c>
      <c r="F65" s="614">
        <v>0.52063080743698964</v>
      </c>
      <c r="G65" s="614">
        <v>0.52063080743698964</v>
      </c>
      <c r="H65" s="614">
        <v>0.52063080743698964</v>
      </c>
    </row>
    <row r="66" spans="2:8">
      <c r="B66" s="464" t="s">
        <v>996</v>
      </c>
      <c r="C66" s="30" t="s">
        <v>425</v>
      </c>
      <c r="D66" s="614">
        <v>0.21906083060000001</v>
      </c>
      <c r="E66" s="614">
        <v>0.34134133500000002</v>
      </c>
      <c r="F66" s="614">
        <v>0.13015770185924741</v>
      </c>
      <c r="G66" s="614">
        <v>0.13015770185924741</v>
      </c>
      <c r="H66" s="614">
        <v>0.13015770185924741</v>
      </c>
    </row>
    <row r="67" spans="2:8">
      <c r="B67" s="600" t="s">
        <v>1000</v>
      </c>
      <c r="C67" s="30" t="s">
        <v>425</v>
      </c>
      <c r="D67" s="335">
        <f t="shared" ref="D67:H67" si="8">D65-D66</f>
        <v>0.93389090939999997</v>
      </c>
      <c r="E67" s="335">
        <f t="shared" si="8"/>
        <v>1.024024005</v>
      </c>
      <c r="F67" s="335">
        <f t="shared" si="8"/>
        <v>0.39047310557774223</v>
      </c>
      <c r="G67" s="335">
        <f t="shared" si="8"/>
        <v>0.39047310557774223</v>
      </c>
      <c r="H67" s="335">
        <f t="shared" si="8"/>
        <v>0.39047310557774223</v>
      </c>
    </row>
  </sheetData>
  <sheetProtection algorithmName="SHA-512" hashValue="YnuWAMF57dKqUXHoredDFj8jhwkrNaSWg4NSV/mpDG8j8WyN2pNbg4JxhQ+gokQpuKUh966Cemsux3wphXqjdQ==" saltValue="bnY+V2z5MJHtozkbPCv7Qw==" spinCount="100000" sheet="1" objects="1" scenarios="1"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D12:H12 D14:H15">
    <cfRule type="expression" dxfId="4" priority="14">
      <formula>D$5="Forecast"</formula>
    </cfRule>
    <cfRule type="expression" dxfId="3" priority="15">
      <formula>D$5="Actuals"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codeName="Sheet20">
    <tabColor theme="1"/>
  </sheetPr>
  <dimension ref="A1:E9"/>
  <sheetViews>
    <sheetView workbookViewId="0">
      <selection activeCell="F23" sqref="F23"/>
    </sheetView>
  </sheetViews>
  <sheetFormatPr defaultRowHeight="12.35"/>
  <cols>
    <col min="1" max="1" width="1.62890625" customWidth="1"/>
  </cols>
  <sheetData>
    <row r="1" spans="1:5">
      <c r="A1" s="1" t="s">
        <v>1001</v>
      </c>
    </row>
    <row r="4" spans="1:5">
      <c r="B4" s="49" t="s">
        <v>263</v>
      </c>
    </row>
    <row r="5" spans="1:5">
      <c r="B5" s="49" t="s">
        <v>264</v>
      </c>
      <c r="E5" s="49"/>
    </row>
    <row r="6" spans="1:5">
      <c r="B6" s="49" t="s">
        <v>265</v>
      </c>
    </row>
    <row r="7" spans="1:5">
      <c r="B7" s="49" t="s">
        <v>266</v>
      </c>
    </row>
    <row r="8" spans="1:5">
      <c r="B8" s="49" t="s">
        <v>267</v>
      </c>
    </row>
    <row r="9" spans="1:5">
      <c r="B9" s="49" t="s">
        <v>268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V429"/>
  <sheetViews>
    <sheetView workbookViewId="0"/>
  </sheetViews>
  <sheetFormatPr defaultColWidth="9" defaultRowHeight="12.35" zeroHeight="1"/>
  <cols>
    <col min="1" max="1" width="12" style="1225" customWidth="1"/>
    <col min="2" max="2" width="8.3671875" style="1221" customWidth="1"/>
    <col min="3" max="4" width="9.3671875" style="530" customWidth="1"/>
    <col min="5" max="5" width="9.3671875" style="1222" customWidth="1"/>
    <col min="6" max="6" width="9.3671875" style="530" customWidth="1"/>
    <col min="7" max="8" width="9.3671875" style="1223" customWidth="1"/>
    <col min="9" max="9" width="9.3671875" style="1224" customWidth="1"/>
    <col min="10" max="10" width="10" style="530" customWidth="1"/>
    <col min="11" max="20" width="13.47265625" style="530" customWidth="1"/>
    <col min="21" max="21" width="11" style="166" customWidth="1"/>
    <col min="22" max="22" width="8.47265625" style="529" customWidth="1"/>
    <col min="23" max="49" width="9" style="166" customWidth="1"/>
    <col min="50" max="16384" width="9" style="166"/>
  </cols>
  <sheetData>
    <row r="1" spans="1:22" s="1201" customFormat="1" ht="20.350000000000001">
      <c r="A1" s="1198" t="str">
        <f ca="1">MID(CELL("filename",A1),FIND("]",CELL("filename",A1))+1,256)</f>
        <v>I2 - Monthly Inflation</v>
      </c>
      <c r="B1" s="1199"/>
      <c r="C1" s="1199"/>
      <c r="D1" s="1199"/>
      <c r="E1" s="1199"/>
      <c r="F1" s="1199"/>
      <c r="G1" s="1199"/>
      <c r="H1" s="1199"/>
      <c r="I1" s="1199"/>
      <c r="J1" s="1200"/>
      <c r="K1" s="1207"/>
      <c r="L1" s="1207"/>
      <c r="M1" s="1207"/>
      <c r="N1" s="1207"/>
      <c r="O1" s="1207"/>
      <c r="P1" s="1207"/>
      <c r="Q1" s="1207"/>
      <c r="R1" s="1207"/>
    </row>
    <row r="2" spans="1:22" s="1201" customFormat="1" ht="20.350000000000001">
      <c r="A2" s="1198" t="str">
        <f>Licensee</f>
        <v>Cadent-WM</v>
      </c>
      <c r="B2" s="1199"/>
      <c r="C2" s="1199"/>
      <c r="D2" s="1199"/>
      <c r="E2" s="1199"/>
      <c r="F2" s="1199"/>
      <c r="G2" s="1199"/>
      <c r="H2" s="1199"/>
      <c r="I2" s="1199"/>
      <c r="J2" s="1200"/>
      <c r="K2" s="1207"/>
      <c r="L2" s="1207"/>
      <c r="M2" s="1207"/>
      <c r="N2" s="1207"/>
      <c r="O2" s="1207"/>
      <c r="P2" s="1207"/>
      <c r="Q2" s="1207"/>
      <c r="R2" s="1207"/>
    </row>
    <row r="3" spans="1:22" s="1201" customFormat="1" ht="20.350000000000001">
      <c r="A3" s="1202" t="str">
        <f>Sector</f>
        <v>GD2</v>
      </c>
      <c r="B3" s="1203"/>
      <c r="C3" s="1203"/>
      <c r="D3" s="1203"/>
      <c r="E3" s="1203"/>
      <c r="F3" s="1203"/>
      <c r="G3" s="1203"/>
      <c r="H3" s="1203"/>
      <c r="I3" s="1203"/>
      <c r="J3" s="1204"/>
      <c r="K3" s="1207"/>
      <c r="L3" s="1207"/>
      <c r="M3" s="1207"/>
      <c r="N3" s="1207"/>
      <c r="O3" s="1207"/>
      <c r="P3" s="1207"/>
      <c r="Q3" s="1207"/>
      <c r="R3" s="1207"/>
    </row>
    <row r="4" spans="1:22" s="1206" customFormat="1" ht="14.35">
      <c r="A4" s="509" t="s">
        <v>1002</v>
      </c>
      <c r="B4" s="509"/>
      <c r="C4" s="510"/>
      <c r="D4" s="511"/>
      <c r="E4" s="511"/>
      <c r="F4" s="511"/>
      <c r="G4" s="511"/>
      <c r="H4" s="511"/>
      <c r="I4" s="512"/>
      <c r="J4" s="512"/>
      <c r="K4" s="1205"/>
      <c r="L4" s="1205"/>
      <c r="M4" s="1205"/>
      <c r="N4" s="1205"/>
      <c r="O4" s="1205"/>
      <c r="P4" s="1205"/>
      <c r="Q4" s="1205"/>
      <c r="S4" s="1201"/>
      <c r="T4" s="1201"/>
    </row>
    <row r="5" spans="1:22" ht="32.25" customHeight="1">
      <c r="A5" s="1208" t="s">
        <v>1003</v>
      </c>
      <c r="B5" s="1208" t="s">
        <v>1004</v>
      </c>
      <c r="C5" s="1209" t="s">
        <v>1005</v>
      </c>
      <c r="D5" s="1209" t="s">
        <v>1006</v>
      </c>
      <c r="E5" s="1210" t="s">
        <v>1007</v>
      </c>
      <c r="F5" s="1211" t="s">
        <v>1008</v>
      </c>
      <c r="G5" s="1212" t="s">
        <v>193</v>
      </c>
      <c r="H5" s="1212" t="s">
        <v>174</v>
      </c>
      <c r="I5" s="1209" t="s">
        <v>1009</v>
      </c>
      <c r="J5" s="1213"/>
      <c r="K5" s="1213"/>
      <c r="L5" s="1213"/>
      <c r="M5" s="1213"/>
      <c r="N5" s="1213"/>
      <c r="O5" s="1213"/>
      <c r="P5" s="1213"/>
      <c r="Q5" s="1213"/>
      <c r="R5" s="1213"/>
      <c r="S5" s="1213"/>
      <c r="T5" s="1213"/>
      <c r="V5" s="166"/>
    </row>
    <row r="6" spans="1:22">
      <c r="A6" s="1226">
        <f>EOMONTH(DATE(1999, 4, 1), 0)</f>
        <v>36280</v>
      </c>
      <c r="B6" s="1227">
        <f t="shared" ref="B6:B69" si="0">IF(MONTH(A6)&gt;=4,YEAR(A6)+1,YEAR(A6))</f>
        <v>2000</v>
      </c>
      <c r="C6" s="1215">
        <v>72.599999999999994</v>
      </c>
      <c r="D6" s="1215">
        <v>165.2</v>
      </c>
      <c r="E6" s="1228" t="str">
        <f>IF($A6&lt;DATE(2018,7,1),"-",INDEX(#REF!, MATCH(YEAR(EOMONTH($A6,6)),#REF!, 0)))</f>
        <v>-</v>
      </c>
      <c r="F6" s="1228" t="str">
        <f>IF($A6&lt;DATE(2018,7,1),"-",INDEX(#REF!, MATCH(YEAR(EOMONTH($A6,6)),#REF!, 0)))</f>
        <v>-</v>
      </c>
      <c r="G6" s="1229">
        <f t="shared" ref="G6:H21" si="1">IF(ISBLANK(C6),G5*((1+E6)^(1/12)),C6)</f>
        <v>72.599999999999994</v>
      </c>
      <c r="H6" s="1229">
        <f t="shared" si="1"/>
        <v>165.2</v>
      </c>
      <c r="I6" s="1230">
        <f>IF($A6 &lt; DATE(2021, 4, 1), H6, IF($A6 = DATE(2021, 4, 30), I5 * ((0.5*G6/G5) + (0.5*H6/H5)),I5*(G6/G5)))</f>
        <v>165.2</v>
      </c>
      <c r="V6" s="166"/>
    </row>
    <row r="7" spans="1:22">
      <c r="A7" s="1226">
        <f t="shared" ref="A7:A70" si="2">IF(MONTH(A6) = 12, EOMONTH(DATE(YEAR(A6) + 1, 1, 1), 0), EOMONTH(DATE(YEAR(A6), MONTH(A6) + 1, 1), 0))</f>
        <v>36311</v>
      </c>
      <c r="B7" s="1227">
        <f t="shared" si="0"/>
        <v>2000</v>
      </c>
      <c r="C7" s="1215">
        <v>72.8</v>
      </c>
      <c r="D7" s="1215">
        <v>165.6</v>
      </c>
      <c r="E7" s="1228" t="str">
        <f>IF($A7&lt;DATE(2018,7,1),"-",INDEX(#REF!, MATCH(YEAR(EOMONTH($A7,6)),#REF!, 0)))</f>
        <v>-</v>
      </c>
      <c r="F7" s="1228" t="str">
        <f>IF($A7&lt;DATE(2018,7,1),"-",INDEX(#REF!, MATCH(YEAR(EOMONTH($A7,6)),#REF!, 0)))</f>
        <v>-</v>
      </c>
      <c r="G7" s="1229">
        <f t="shared" si="1"/>
        <v>72.8</v>
      </c>
      <c r="H7" s="1229">
        <f t="shared" si="1"/>
        <v>165.6</v>
      </c>
      <c r="I7" s="1230">
        <f t="shared" ref="I7:I70" si="3">IF($A7 &lt; DATE(2021, 4, 1), H7, IF($A7 = DATE(2021, 4, 30), I6 * ((0.5*G7/G6) + (0.5*H7/H6)),I6*(G7/G6)))</f>
        <v>165.6</v>
      </c>
      <c r="V7" s="166"/>
    </row>
    <row r="8" spans="1:22">
      <c r="A8" s="1226">
        <f t="shared" si="2"/>
        <v>36341</v>
      </c>
      <c r="B8" s="1227">
        <f t="shared" si="0"/>
        <v>2000</v>
      </c>
      <c r="C8" s="1215">
        <v>72.7</v>
      </c>
      <c r="D8" s="1215">
        <v>165.6</v>
      </c>
      <c r="E8" s="1228" t="str">
        <f>IF($A8&lt;DATE(2018,7,1),"-",INDEX(#REF!, MATCH(YEAR(EOMONTH($A8,6)),#REF!, 0)))</f>
        <v>-</v>
      </c>
      <c r="F8" s="1228" t="str">
        <f>IF($A8&lt;DATE(2018,7,1),"-",INDEX(#REF!, MATCH(YEAR(EOMONTH($A8,6)),#REF!, 0)))</f>
        <v>-</v>
      </c>
      <c r="G8" s="1229">
        <f t="shared" si="1"/>
        <v>72.7</v>
      </c>
      <c r="H8" s="1229">
        <f t="shared" si="1"/>
        <v>165.6</v>
      </c>
      <c r="I8" s="1230">
        <f t="shared" si="3"/>
        <v>165.6</v>
      </c>
      <c r="V8" s="166"/>
    </row>
    <row r="9" spans="1:22">
      <c r="A9" s="1226">
        <f t="shared" si="2"/>
        <v>36372</v>
      </c>
      <c r="B9" s="1227">
        <f t="shared" si="0"/>
        <v>2000</v>
      </c>
      <c r="C9" s="1215">
        <v>72.400000000000006</v>
      </c>
      <c r="D9" s="1215">
        <v>165.1</v>
      </c>
      <c r="E9" s="1228" t="str">
        <f>IF($A9&lt;DATE(2018,7,1),"-",INDEX(#REF!, MATCH(YEAR(EOMONTH($A9,6)),#REF!, 0)))</f>
        <v>-</v>
      </c>
      <c r="F9" s="1228" t="str">
        <f>IF($A9&lt;DATE(2018,7,1),"-",INDEX(#REF!, MATCH(YEAR(EOMONTH($A9,6)),#REF!, 0)))</f>
        <v>-</v>
      </c>
      <c r="G9" s="1229">
        <f t="shared" si="1"/>
        <v>72.400000000000006</v>
      </c>
      <c r="H9" s="1229">
        <f t="shared" si="1"/>
        <v>165.1</v>
      </c>
      <c r="I9" s="1230">
        <f t="shared" si="3"/>
        <v>165.1</v>
      </c>
      <c r="V9" s="166"/>
    </row>
    <row r="10" spans="1:22">
      <c r="A10" s="1226">
        <f t="shared" si="2"/>
        <v>36403</v>
      </c>
      <c r="B10" s="1227">
        <f t="shared" si="0"/>
        <v>2000</v>
      </c>
      <c r="C10" s="1215">
        <v>72.599999999999994</v>
      </c>
      <c r="D10" s="1215">
        <v>165.5</v>
      </c>
      <c r="E10" s="1228" t="str">
        <f>IF($A10&lt;DATE(2018,7,1),"-",INDEX(#REF!, MATCH(YEAR(EOMONTH($A10,6)),#REF!, 0)))</f>
        <v>-</v>
      </c>
      <c r="F10" s="1228" t="str">
        <f>IF($A10&lt;DATE(2018,7,1),"-",INDEX(#REF!, MATCH(YEAR(EOMONTH($A10,6)),#REF!, 0)))</f>
        <v>-</v>
      </c>
      <c r="G10" s="1229">
        <f t="shared" si="1"/>
        <v>72.599999999999994</v>
      </c>
      <c r="H10" s="1229">
        <f t="shared" si="1"/>
        <v>165.5</v>
      </c>
      <c r="I10" s="1230">
        <f t="shared" si="3"/>
        <v>165.5</v>
      </c>
      <c r="V10" s="166"/>
    </row>
    <row r="11" spans="1:22">
      <c r="A11" s="1226">
        <f t="shared" si="2"/>
        <v>36433</v>
      </c>
      <c r="B11" s="1227">
        <f t="shared" si="0"/>
        <v>2000</v>
      </c>
      <c r="C11" s="1215">
        <v>72.8</v>
      </c>
      <c r="D11" s="1215">
        <v>166.2</v>
      </c>
      <c r="E11" s="1228" t="str">
        <f>IF($A11&lt;DATE(2018,7,1),"-",INDEX(#REF!, MATCH(YEAR(EOMONTH($A11,6)),#REF!, 0)))</f>
        <v>-</v>
      </c>
      <c r="F11" s="1228" t="str">
        <f>IF($A11&lt;DATE(2018,7,1),"-",INDEX(#REF!, MATCH(YEAR(EOMONTH($A11,6)),#REF!, 0)))</f>
        <v>-</v>
      </c>
      <c r="G11" s="1229">
        <f t="shared" si="1"/>
        <v>72.8</v>
      </c>
      <c r="H11" s="1229">
        <f t="shared" si="1"/>
        <v>166.2</v>
      </c>
      <c r="I11" s="1230">
        <f t="shared" si="3"/>
        <v>166.2</v>
      </c>
      <c r="V11" s="166"/>
    </row>
    <row r="12" spans="1:22">
      <c r="A12" s="1226">
        <f t="shared" si="2"/>
        <v>36464</v>
      </c>
      <c r="B12" s="1227">
        <f t="shared" si="0"/>
        <v>2000</v>
      </c>
      <c r="C12" s="1215">
        <v>72.8</v>
      </c>
      <c r="D12" s="1215">
        <v>166.5</v>
      </c>
      <c r="E12" s="1228" t="str">
        <f>IF($A12&lt;DATE(2018,7,1),"-",INDEX(#REF!, MATCH(YEAR(EOMONTH($A12,6)),#REF!, 0)))</f>
        <v>-</v>
      </c>
      <c r="F12" s="1228" t="str">
        <f>IF($A12&lt;DATE(2018,7,1),"-",INDEX(#REF!, MATCH(YEAR(EOMONTH($A12,6)),#REF!, 0)))</f>
        <v>-</v>
      </c>
      <c r="G12" s="1229">
        <f t="shared" si="1"/>
        <v>72.8</v>
      </c>
      <c r="H12" s="1229">
        <f t="shared" si="1"/>
        <v>166.5</v>
      </c>
      <c r="I12" s="1230">
        <f t="shared" si="3"/>
        <v>166.5</v>
      </c>
      <c r="V12" s="166"/>
    </row>
    <row r="13" spans="1:22">
      <c r="A13" s="1226">
        <f t="shared" si="2"/>
        <v>36494</v>
      </c>
      <c r="B13" s="1227">
        <f t="shared" si="0"/>
        <v>2000</v>
      </c>
      <c r="C13" s="1215">
        <v>72.900000000000006</v>
      </c>
      <c r="D13" s="1215">
        <v>166.7</v>
      </c>
      <c r="E13" s="1228" t="str">
        <f>IF($A13&lt;DATE(2018,7,1),"-",INDEX(#REF!, MATCH(YEAR(EOMONTH($A13,6)),#REF!, 0)))</f>
        <v>-</v>
      </c>
      <c r="F13" s="1228" t="str">
        <f>IF($A13&lt;DATE(2018,7,1),"-",INDEX(#REF!, MATCH(YEAR(EOMONTH($A13,6)),#REF!, 0)))</f>
        <v>-</v>
      </c>
      <c r="G13" s="1229">
        <f t="shared" si="1"/>
        <v>72.900000000000006</v>
      </c>
      <c r="H13" s="1229">
        <f t="shared" si="1"/>
        <v>166.7</v>
      </c>
      <c r="I13" s="1230">
        <f t="shared" si="3"/>
        <v>166.7</v>
      </c>
      <c r="V13" s="166"/>
    </row>
    <row r="14" spans="1:22">
      <c r="A14" s="1226">
        <f t="shared" si="2"/>
        <v>36525</v>
      </c>
      <c r="B14" s="1227">
        <f t="shared" si="0"/>
        <v>2000</v>
      </c>
      <c r="C14" s="1215">
        <v>73.099999999999994</v>
      </c>
      <c r="D14" s="1215">
        <v>167.3</v>
      </c>
      <c r="E14" s="1228" t="str">
        <f>IF($A14&lt;DATE(2018,7,1),"-",INDEX(#REF!, MATCH(YEAR(EOMONTH($A14,6)),#REF!, 0)))</f>
        <v>-</v>
      </c>
      <c r="F14" s="1228" t="str">
        <f>IF($A14&lt;DATE(2018,7,1),"-",INDEX(#REF!, MATCH(YEAR(EOMONTH($A14,6)),#REF!, 0)))</f>
        <v>-</v>
      </c>
      <c r="G14" s="1229">
        <f t="shared" si="1"/>
        <v>73.099999999999994</v>
      </c>
      <c r="H14" s="1229">
        <f t="shared" si="1"/>
        <v>167.3</v>
      </c>
      <c r="I14" s="1230">
        <f t="shared" si="3"/>
        <v>167.3</v>
      </c>
      <c r="V14" s="166"/>
    </row>
    <row r="15" spans="1:22">
      <c r="A15" s="1226">
        <f t="shared" si="2"/>
        <v>36556</v>
      </c>
      <c r="B15" s="1227">
        <f t="shared" si="0"/>
        <v>2000</v>
      </c>
      <c r="C15" s="1215">
        <v>72.599999999999994</v>
      </c>
      <c r="D15" s="1215">
        <v>166.6</v>
      </c>
      <c r="E15" s="1228" t="str">
        <f>IF($A15&lt;DATE(2018,7,1),"-",INDEX(#REF!, MATCH(YEAR(EOMONTH($A15,6)),#REF!, 0)))</f>
        <v>-</v>
      </c>
      <c r="F15" s="1228" t="str">
        <f>IF($A15&lt;DATE(2018,7,1),"-",INDEX(#REF!, MATCH(YEAR(EOMONTH($A15,6)),#REF!, 0)))</f>
        <v>-</v>
      </c>
      <c r="G15" s="1229">
        <f t="shared" si="1"/>
        <v>72.599999999999994</v>
      </c>
      <c r="H15" s="1229">
        <f t="shared" si="1"/>
        <v>166.6</v>
      </c>
      <c r="I15" s="1230">
        <f t="shared" si="3"/>
        <v>166.6</v>
      </c>
      <c r="V15" s="166"/>
    </row>
    <row r="16" spans="1:22">
      <c r="A16" s="1226">
        <f t="shared" si="2"/>
        <v>36585</v>
      </c>
      <c r="B16" s="1227">
        <f t="shared" si="0"/>
        <v>2000</v>
      </c>
      <c r="C16" s="1215">
        <v>72.8</v>
      </c>
      <c r="D16" s="1215">
        <v>167.5</v>
      </c>
      <c r="E16" s="1228" t="str">
        <f>IF($A16&lt;DATE(2018,7,1),"-",INDEX(#REF!, MATCH(YEAR(EOMONTH($A16,6)),#REF!, 0)))</f>
        <v>-</v>
      </c>
      <c r="F16" s="1228" t="str">
        <f>IF($A16&lt;DATE(2018,7,1),"-",INDEX(#REF!, MATCH(YEAR(EOMONTH($A16,6)),#REF!, 0)))</f>
        <v>-</v>
      </c>
      <c r="G16" s="1229">
        <f t="shared" si="1"/>
        <v>72.8</v>
      </c>
      <c r="H16" s="1229">
        <f t="shared" si="1"/>
        <v>167.5</v>
      </c>
      <c r="I16" s="1230">
        <f>IF($A16 &lt; DATE(2021, 4, 1), H16, IF($A16 = DATE(2021, 4, 30), I15 * ((0.5*G16/G15) + (0.5*H16/H15)),I15*(G16/G15)))</f>
        <v>167.5</v>
      </c>
      <c r="V16" s="166"/>
    </row>
    <row r="17" spans="1:22">
      <c r="A17" s="1226">
        <f t="shared" si="2"/>
        <v>36616</v>
      </c>
      <c r="B17" s="1227">
        <f t="shared" si="0"/>
        <v>2000</v>
      </c>
      <c r="C17" s="1215">
        <v>73</v>
      </c>
      <c r="D17" s="1215">
        <v>168.4</v>
      </c>
      <c r="E17" s="1228" t="str">
        <f>IF($A17&lt;DATE(2018,7,1),"-",INDEX(#REF!, MATCH(YEAR(EOMONTH($A17,6)),#REF!, 0)))</f>
        <v>-</v>
      </c>
      <c r="F17" s="1228" t="str">
        <f>IF($A17&lt;DATE(2018,7,1),"-",INDEX(#REF!, MATCH(YEAR(EOMONTH($A17,6)),#REF!, 0)))</f>
        <v>-</v>
      </c>
      <c r="G17" s="1229">
        <f t="shared" si="1"/>
        <v>73</v>
      </c>
      <c r="H17" s="1229">
        <f t="shared" si="1"/>
        <v>168.4</v>
      </c>
      <c r="I17" s="1230">
        <f t="shared" si="3"/>
        <v>168.4</v>
      </c>
      <c r="V17" s="166"/>
    </row>
    <row r="18" spans="1:22">
      <c r="A18" s="1226">
        <f t="shared" si="2"/>
        <v>36646</v>
      </c>
      <c r="B18" s="1227">
        <f t="shared" si="0"/>
        <v>2001</v>
      </c>
      <c r="C18" s="1215">
        <v>73.3</v>
      </c>
      <c r="D18" s="1215">
        <v>170.1</v>
      </c>
      <c r="E18" s="1228" t="str">
        <f>IF($A18&lt;DATE(2018,7,1),"-",INDEX(#REF!, MATCH(YEAR(EOMONTH($A18,6)),#REF!, 0)))</f>
        <v>-</v>
      </c>
      <c r="F18" s="1228" t="str">
        <f>IF($A18&lt;DATE(2018,7,1),"-",INDEX(#REF!, MATCH(YEAR(EOMONTH($A18,6)),#REF!, 0)))</f>
        <v>-</v>
      </c>
      <c r="G18" s="1229">
        <f t="shared" si="1"/>
        <v>73.3</v>
      </c>
      <c r="H18" s="1229">
        <f t="shared" si="1"/>
        <v>170.1</v>
      </c>
      <c r="I18" s="1230">
        <f t="shared" si="3"/>
        <v>170.1</v>
      </c>
      <c r="V18" s="166"/>
    </row>
    <row r="19" spans="1:22">
      <c r="A19" s="1226">
        <f t="shared" si="2"/>
        <v>36677</v>
      </c>
      <c r="B19" s="1227">
        <f t="shared" si="0"/>
        <v>2001</v>
      </c>
      <c r="C19" s="1215">
        <v>73.5</v>
      </c>
      <c r="D19" s="1215">
        <v>170.7</v>
      </c>
      <c r="E19" s="1228" t="str">
        <f>IF($A19&lt;DATE(2018,7,1),"-",INDEX(#REF!, MATCH(YEAR(EOMONTH($A19,6)),#REF!, 0)))</f>
        <v>-</v>
      </c>
      <c r="F19" s="1228" t="str">
        <f>IF($A19&lt;DATE(2018,7,1),"-",INDEX(#REF!, MATCH(YEAR(EOMONTH($A19,6)),#REF!, 0)))</f>
        <v>-</v>
      </c>
      <c r="G19" s="1229">
        <f t="shared" si="1"/>
        <v>73.5</v>
      </c>
      <c r="H19" s="1229">
        <f t="shared" si="1"/>
        <v>170.7</v>
      </c>
      <c r="I19" s="1230">
        <f t="shared" si="3"/>
        <v>170.7</v>
      </c>
      <c r="V19" s="166"/>
    </row>
    <row r="20" spans="1:22">
      <c r="A20" s="1226">
        <f t="shared" si="2"/>
        <v>36707</v>
      </c>
      <c r="B20" s="1227">
        <f t="shared" si="0"/>
        <v>2001</v>
      </c>
      <c r="C20" s="1215">
        <v>73.599999999999994</v>
      </c>
      <c r="D20" s="1215">
        <v>171.1</v>
      </c>
      <c r="E20" s="1228" t="str">
        <f>IF($A20&lt;DATE(2018,7,1),"-",INDEX(#REF!, MATCH(YEAR(EOMONTH($A20,6)),#REF!, 0)))</f>
        <v>-</v>
      </c>
      <c r="F20" s="1228" t="str">
        <f>IF($A20&lt;DATE(2018,7,1),"-",INDEX(#REF!, MATCH(YEAR(EOMONTH($A20,6)),#REF!, 0)))</f>
        <v>-</v>
      </c>
      <c r="G20" s="1229">
        <f t="shared" si="1"/>
        <v>73.599999999999994</v>
      </c>
      <c r="H20" s="1229">
        <f t="shared" si="1"/>
        <v>171.1</v>
      </c>
      <c r="I20" s="1230">
        <f t="shared" si="3"/>
        <v>171.1</v>
      </c>
      <c r="V20" s="166"/>
    </row>
    <row r="21" spans="1:22">
      <c r="A21" s="1226">
        <f t="shared" si="2"/>
        <v>36738</v>
      </c>
      <c r="B21" s="1227">
        <f t="shared" si="0"/>
        <v>2001</v>
      </c>
      <c r="C21" s="1215">
        <v>73.3</v>
      </c>
      <c r="D21" s="1215">
        <v>170.5</v>
      </c>
      <c r="E21" s="1228" t="str">
        <f>IF($A21&lt;DATE(2018,7,1),"-",INDEX(#REF!, MATCH(YEAR(EOMONTH($A21,6)),#REF!, 0)))</f>
        <v>-</v>
      </c>
      <c r="F21" s="1228" t="str">
        <f>IF($A21&lt;DATE(2018,7,1),"-",INDEX(#REF!, MATCH(YEAR(EOMONTH($A21,6)),#REF!, 0)))</f>
        <v>-</v>
      </c>
      <c r="G21" s="1229">
        <f t="shared" si="1"/>
        <v>73.3</v>
      </c>
      <c r="H21" s="1229">
        <f t="shared" si="1"/>
        <v>170.5</v>
      </c>
      <c r="I21" s="1230">
        <f t="shared" si="3"/>
        <v>170.5</v>
      </c>
      <c r="V21" s="166"/>
    </row>
    <row r="22" spans="1:22">
      <c r="A22" s="1226">
        <f t="shared" si="2"/>
        <v>36769</v>
      </c>
      <c r="B22" s="1227">
        <f t="shared" si="0"/>
        <v>2001</v>
      </c>
      <c r="C22" s="1215">
        <v>73.3</v>
      </c>
      <c r="D22" s="1215">
        <v>170.5</v>
      </c>
      <c r="E22" s="1228" t="str">
        <f>IF($A22&lt;DATE(2018,7,1),"-",INDEX(#REF!, MATCH(YEAR(EOMONTH($A22,6)),#REF!, 0)))</f>
        <v>-</v>
      </c>
      <c r="F22" s="1228" t="str">
        <f>IF($A22&lt;DATE(2018,7,1),"-",INDEX(#REF!, MATCH(YEAR(EOMONTH($A22,6)),#REF!, 0)))</f>
        <v>-</v>
      </c>
      <c r="G22" s="1229">
        <f t="shared" ref="G22:H37" si="4">IF(ISBLANK(C22),G21*((1+E22)^(1/12)),C22)</f>
        <v>73.3</v>
      </c>
      <c r="H22" s="1229">
        <f t="shared" si="4"/>
        <v>170.5</v>
      </c>
      <c r="I22" s="1230">
        <f t="shared" si="3"/>
        <v>170.5</v>
      </c>
      <c r="V22" s="166"/>
    </row>
    <row r="23" spans="1:22">
      <c r="A23" s="1226">
        <f t="shared" si="2"/>
        <v>36799</v>
      </c>
      <c r="B23" s="1227">
        <f t="shared" si="0"/>
        <v>2001</v>
      </c>
      <c r="C23" s="1215">
        <v>73.8</v>
      </c>
      <c r="D23" s="1215">
        <v>171.7</v>
      </c>
      <c r="E23" s="1228" t="str">
        <f>IF($A23&lt;DATE(2018,7,1),"-",INDEX(#REF!, MATCH(YEAR(EOMONTH($A23,6)),#REF!, 0)))</f>
        <v>-</v>
      </c>
      <c r="F23" s="1228" t="str">
        <f>IF($A23&lt;DATE(2018,7,1),"-",INDEX(#REF!, MATCH(YEAR(EOMONTH($A23,6)),#REF!, 0)))</f>
        <v>-</v>
      </c>
      <c r="G23" s="1229">
        <f t="shared" si="4"/>
        <v>73.8</v>
      </c>
      <c r="H23" s="1229">
        <f t="shared" si="4"/>
        <v>171.7</v>
      </c>
      <c r="I23" s="1230">
        <f t="shared" si="3"/>
        <v>171.7</v>
      </c>
      <c r="V23" s="166"/>
    </row>
    <row r="24" spans="1:22">
      <c r="A24" s="1226">
        <f t="shared" si="2"/>
        <v>36830</v>
      </c>
      <c r="B24" s="1227">
        <f t="shared" si="0"/>
        <v>2001</v>
      </c>
      <c r="C24" s="1215">
        <v>73.8</v>
      </c>
      <c r="D24" s="1215">
        <v>171.6</v>
      </c>
      <c r="E24" s="1228" t="str">
        <f>IF($A24&lt;DATE(2018,7,1),"-",INDEX(#REF!, MATCH(YEAR(EOMONTH($A24,6)),#REF!, 0)))</f>
        <v>-</v>
      </c>
      <c r="F24" s="1228" t="str">
        <f>IF($A24&lt;DATE(2018,7,1),"-",INDEX(#REF!, MATCH(YEAR(EOMONTH($A24,6)),#REF!, 0)))</f>
        <v>-</v>
      </c>
      <c r="G24" s="1229">
        <f t="shared" si="4"/>
        <v>73.8</v>
      </c>
      <c r="H24" s="1229">
        <f t="shared" si="4"/>
        <v>171.6</v>
      </c>
      <c r="I24" s="1230">
        <f t="shared" si="3"/>
        <v>171.6</v>
      </c>
      <c r="V24" s="166"/>
    </row>
    <row r="25" spans="1:22">
      <c r="A25" s="1226">
        <f t="shared" si="2"/>
        <v>36860</v>
      </c>
      <c r="B25" s="1227">
        <f t="shared" si="0"/>
        <v>2001</v>
      </c>
      <c r="C25" s="1215">
        <v>74</v>
      </c>
      <c r="D25" s="1215">
        <v>172.1</v>
      </c>
      <c r="E25" s="1228" t="str">
        <f>IF($A25&lt;DATE(2018,7,1),"-",INDEX(#REF!, MATCH(YEAR(EOMONTH($A25,6)),#REF!, 0)))</f>
        <v>-</v>
      </c>
      <c r="F25" s="1228" t="str">
        <f>IF($A25&lt;DATE(2018,7,1),"-",INDEX(#REF!, MATCH(YEAR(EOMONTH($A25,6)),#REF!, 0)))</f>
        <v>-</v>
      </c>
      <c r="G25" s="1229">
        <f t="shared" si="4"/>
        <v>74</v>
      </c>
      <c r="H25" s="1229">
        <f t="shared" si="4"/>
        <v>172.1</v>
      </c>
      <c r="I25" s="1230">
        <f t="shared" si="3"/>
        <v>172.1</v>
      </c>
      <c r="V25" s="166"/>
    </row>
    <row r="26" spans="1:22">
      <c r="A26" s="1226">
        <f t="shared" si="2"/>
        <v>36891</v>
      </c>
      <c r="B26" s="1227">
        <f t="shared" si="0"/>
        <v>2001</v>
      </c>
      <c r="C26" s="1215">
        <v>74</v>
      </c>
      <c r="D26" s="1215">
        <v>172.2</v>
      </c>
      <c r="E26" s="1228" t="str">
        <f>IF($A26&lt;DATE(2018,7,1),"-",INDEX(#REF!, MATCH(YEAR(EOMONTH($A26,6)),#REF!, 0)))</f>
        <v>-</v>
      </c>
      <c r="F26" s="1228" t="str">
        <f>IF($A26&lt;DATE(2018,7,1),"-",INDEX(#REF!, MATCH(YEAR(EOMONTH($A26,6)),#REF!, 0)))</f>
        <v>-</v>
      </c>
      <c r="G26" s="1229">
        <f t="shared" si="4"/>
        <v>74</v>
      </c>
      <c r="H26" s="1229">
        <f t="shared" si="4"/>
        <v>172.2</v>
      </c>
      <c r="I26" s="1230">
        <f t="shared" si="3"/>
        <v>172.2</v>
      </c>
      <c r="V26" s="166"/>
    </row>
    <row r="27" spans="1:22">
      <c r="A27" s="1226">
        <f t="shared" si="2"/>
        <v>36922</v>
      </c>
      <c r="B27" s="1227">
        <f t="shared" si="0"/>
        <v>2001</v>
      </c>
      <c r="C27" s="1215">
        <v>73.5</v>
      </c>
      <c r="D27" s="1215">
        <v>171.1</v>
      </c>
      <c r="E27" s="1228" t="str">
        <f>IF($A27&lt;DATE(2018,7,1),"-",INDEX(#REF!, MATCH(YEAR(EOMONTH($A27,6)),#REF!, 0)))</f>
        <v>-</v>
      </c>
      <c r="F27" s="1228" t="str">
        <f>IF($A27&lt;DATE(2018,7,1),"-",INDEX(#REF!, MATCH(YEAR(EOMONTH($A27,6)),#REF!, 0)))</f>
        <v>-</v>
      </c>
      <c r="G27" s="1229">
        <f t="shared" si="4"/>
        <v>73.5</v>
      </c>
      <c r="H27" s="1229">
        <f t="shared" si="4"/>
        <v>171.1</v>
      </c>
      <c r="I27" s="1230">
        <f t="shared" si="3"/>
        <v>171.1</v>
      </c>
      <c r="V27" s="1216"/>
    </row>
    <row r="28" spans="1:22">
      <c r="A28" s="1226">
        <f t="shared" si="2"/>
        <v>36950</v>
      </c>
      <c r="B28" s="1227">
        <f t="shared" si="0"/>
        <v>2001</v>
      </c>
      <c r="C28" s="1215">
        <v>73.7</v>
      </c>
      <c r="D28" s="1215">
        <v>172</v>
      </c>
      <c r="E28" s="1228" t="str">
        <f>IF($A28&lt;DATE(2018,7,1),"-",INDEX(#REF!, MATCH(YEAR(EOMONTH($A28,6)),#REF!, 0)))</f>
        <v>-</v>
      </c>
      <c r="F28" s="1228" t="str">
        <f>IF($A28&lt;DATE(2018,7,1),"-",INDEX(#REF!, MATCH(YEAR(EOMONTH($A28,6)),#REF!, 0)))</f>
        <v>-</v>
      </c>
      <c r="G28" s="1229">
        <f t="shared" si="4"/>
        <v>73.7</v>
      </c>
      <c r="H28" s="1229">
        <f t="shared" si="4"/>
        <v>172</v>
      </c>
      <c r="I28" s="1230">
        <f t="shared" si="3"/>
        <v>172</v>
      </c>
      <c r="V28" s="1216"/>
    </row>
    <row r="29" spans="1:22">
      <c r="A29" s="1226">
        <f t="shared" si="2"/>
        <v>36981</v>
      </c>
      <c r="B29" s="1227">
        <f t="shared" si="0"/>
        <v>2001</v>
      </c>
      <c r="C29" s="1215">
        <v>73.900000000000006</v>
      </c>
      <c r="D29" s="1215">
        <v>172.2</v>
      </c>
      <c r="E29" s="1228" t="str">
        <f>IF($A29&lt;DATE(2018,7,1),"-",INDEX(#REF!, MATCH(YEAR(EOMONTH($A29,6)),#REF!, 0)))</f>
        <v>-</v>
      </c>
      <c r="F29" s="1228" t="str">
        <f>IF($A29&lt;DATE(2018,7,1),"-",INDEX(#REF!, MATCH(YEAR(EOMONTH($A29,6)),#REF!, 0)))</f>
        <v>-</v>
      </c>
      <c r="G29" s="1229">
        <f t="shared" si="4"/>
        <v>73.900000000000006</v>
      </c>
      <c r="H29" s="1229">
        <f t="shared" si="4"/>
        <v>172.2</v>
      </c>
      <c r="I29" s="1230">
        <f t="shared" si="3"/>
        <v>172.2</v>
      </c>
      <c r="V29" s="1216"/>
    </row>
    <row r="30" spans="1:22">
      <c r="A30" s="1226">
        <f t="shared" si="2"/>
        <v>37011</v>
      </c>
      <c r="B30" s="1227">
        <f t="shared" si="0"/>
        <v>2002</v>
      </c>
      <c r="C30" s="1215">
        <v>74.400000000000006</v>
      </c>
      <c r="D30" s="1215">
        <v>173.1</v>
      </c>
      <c r="E30" s="1228" t="str">
        <f>IF($A30&lt;DATE(2018,7,1),"-",INDEX(#REF!, MATCH(YEAR(EOMONTH($A30,6)),#REF!, 0)))</f>
        <v>-</v>
      </c>
      <c r="F30" s="1228" t="str">
        <f>IF($A30&lt;DATE(2018,7,1),"-",INDEX(#REF!, MATCH(YEAR(EOMONTH($A30,6)),#REF!, 0)))</f>
        <v>-</v>
      </c>
      <c r="G30" s="1229">
        <f t="shared" si="4"/>
        <v>74.400000000000006</v>
      </c>
      <c r="H30" s="1229">
        <f t="shared" si="4"/>
        <v>173.1</v>
      </c>
      <c r="I30" s="1230">
        <f t="shared" si="3"/>
        <v>173.1</v>
      </c>
      <c r="V30" s="1216"/>
    </row>
    <row r="31" spans="1:22">
      <c r="A31" s="1226">
        <f t="shared" si="2"/>
        <v>37042</v>
      </c>
      <c r="B31" s="1227">
        <f t="shared" si="0"/>
        <v>2002</v>
      </c>
      <c r="C31" s="1215">
        <v>74.900000000000006</v>
      </c>
      <c r="D31" s="1215">
        <v>174.2</v>
      </c>
      <c r="E31" s="1228" t="str">
        <f>IF($A31&lt;DATE(2018,7,1),"-",INDEX(#REF!, MATCH(YEAR(EOMONTH($A31,6)),#REF!, 0)))</f>
        <v>-</v>
      </c>
      <c r="F31" s="1228" t="str">
        <f>IF($A31&lt;DATE(2018,7,1),"-",INDEX(#REF!, MATCH(YEAR(EOMONTH($A31,6)),#REF!, 0)))</f>
        <v>-</v>
      </c>
      <c r="G31" s="1229">
        <f t="shared" si="4"/>
        <v>74.900000000000006</v>
      </c>
      <c r="H31" s="1229">
        <f t="shared" si="4"/>
        <v>174.2</v>
      </c>
      <c r="I31" s="1230">
        <f t="shared" si="3"/>
        <v>174.2</v>
      </c>
      <c r="V31" s="1216"/>
    </row>
    <row r="32" spans="1:22">
      <c r="A32" s="1226">
        <f t="shared" si="2"/>
        <v>37072</v>
      </c>
      <c r="B32" s="1227">
        <f t="shared" si="0"/>
        <v>2002</v>
      </c>
      <c r="C32" s="1215">
        <v>75</v>
      </c>
      <c r="D32" s="1215">
        <v>174.4</v>
      </c>
      <c r="E32" s="1228" t="str">
        <f>IF($A32&lt;DATE(2018,7,1),"-",INDEX(#REF!, MATCH(YEAR(EOMONTH($A32,6)),#REF!, 0)))</f>
        <v>-</v>
      </c>
      <c r="F32" s="1228" t="str">
        <f>IF($A32&lt;DATE(2018,7,1),"-",INDEX(#REF!, MATCH(YEAR(EOMONTH($A32,6)),#REF!, 0)))</f>
        <v>-</v>
      </c>
      <c r="G32" s="1229">
        <f t="shared" si="4"/>
        <v>75</v>
      </c>
      <c r="H32" s="1229">
        <f t="shared" si="4"/>
        <v>174.4</v>
      </c>
      <c r="I32" s="1230">
        <f t="shared" si="3"/>
        <v>174.4</v>
      </c>
      <c r="V32" s="1216"/>
    </row>
    <row r="33" spans="1:22">
      <c r="A33" s="1226">
        <f t="shared" si="2"/>
        <v>37103</v>
      </c>
      <c r="B33" s="1227">
        <f t="shared" si="0"/>
        <v>2002</v>
      </c>
      <c r="C33" s="1215">
        <v>74.5</v>
      </c>
      <c r="D33" s="1215">
        <v>173.3</v>
      </c>
      <c r="E33" s="1228" t="str">
        <f>IF($A33&lt;DATE(2018,7,1),"-",INDEX(#REF!, MATCH(YEAR(EOMONTH($A33,6)),#REF!, 0)))</f>
        <v>-</v>
      </c>
      <c r="F33" s="1228" t="str">
        <f>IF($A33&lt;DATE(2018,7,1),"-",INDEX(#REF!, MATCH(YEAR(EOMONTH($A33,6)),#REF!, 0)))</f>
        <v>-</v>
      </c>
      <c r="G33" s="1229">
        <f t="shared" si="4"/>
        <v>74.5</v>
      </c>
      <c r="H33" s="1229">
        <f t="shared" si="4"/>
        <v>173.3</v>
      </c>
      <c r="I33" s="1230">
        <f t="shared" si="3"/>
        <v>173.3</v>
      </c>
      <c r="V33" s="1216"/>
    </row>
    <row r="34" spans="1:22">
      <c r="A34" s="1226">
        <f t="shared" si="2"/>
        <v>37134</v>
      </c>
      <c r="B34" s="1227">
        <f t="shared" si="0"/>
        <v>2002</v>
      </c>
      <c r="C34" s="1215">
        <v>74.8</v>
      </c>
      <c r="D34" s="1215">
        <v>174</v>
      </c>
      <c r="E34" s="1228" t="str">
        <f>IF($A34&lt;DATE(2018,7,1),"-",INDEX(#REF!, MATCH(YEAR(EOMONTH($A34,6)),#REF!, 0)))</f>
        <v>-</v>
      </c>
      <c r="F34" s="1228" t="str">
        <f>IF($A34&lt;DATE(2018,7,1),"-",INDEX(#REF!, MATCH(YEAR(EOMONTH($A34,6)),#REF!, 0)))</f>
        <v>-</v>
      </c>
      <c r="G34" s="1229">
        <f t="shared" si="4"/>
        <v>74.8</v>
      </c>
      <c r="H34" s="1229">
        <f t="shared" si="4"/>
        <v>174</v>
      </c>
      <c r="I34" s="1230">
        <f t="shared" si="3"/>
        <v>174</v>
      </c>
      <c r="V34" s="1216"/>
    </row>
    <row r="35" spans="1:22">
      <c r="A35" s="1226">
        <f t="shared" si="2"/>
        <v>37164</v>
      </c>
      <c r="B35" s="1227">
        <f t="shared" si="0"/>
        <v>2002</v>
      </c>
      <c r="C35" s="1215">
        <v>75</v>
      </c>
      <c r="D35" s="1215">
        <v>174.6</v>
      </c>
      <c r="E35" s="1228" t="str">
        <f>IF($A35&lt;DATE(2018,7,1),"-",INDEX(#REF!, MATCH(YEAR(EOMONTH($A35,6)),#REF!, 0)))</f>
        <v>-</v>
      </c>
      <c r="F35" s="1228" t="str">
        <f>IF($A35&lt;DATE(2018,7,1),"-",INDEX(#REF!, MATCH(YEAR(EOMONTH($A35,6)),#REF!, 0)))</f>
        <v>-</v>
      </c>
      <c r="G35" s="1229">
        <f t="shared" si="4"/>
        <v>75</v>
      </c>
      <c r="H35" s="1229">
        <f t="shared" si="4"/>
        <v>174.6</v>
      </c>
      <c r="I35" s="1230">
        <f t="shared" si="3"/>
        <v>174.6</v>
      </c>
      <c r="V35" s="1216"/>
    </row>
    <row r="36" spans="1:22">
      <c r="A36" s="1226">
        <f t="shared" si="2"/>
        <v>37195</v>
      </c>
      <c r="B36" s="1227">
        <f t="shared" si="0"/>
        <v>2002</v>
      </c>
      <c r="C36" s="1215">
        <v>74.900000000000006</v>
      </c>
      <c r="D36" s="1215">
        <v>174.3</v>
      </c>
      <c r="E36" s="1228" t="str">
        <f>IF($A36&lt;DATE(2018,7,1),"-",INDEX(#REF!, MATCH(YEAR(EOMONTH($A36,6)),#REF!, 0)))</f>
        <v>-</v>
      </c>
      <c r="F36" s="1228" t="str">
        <f>IF($A36&lt;DATE(2018,7,1),"-",INDEX(#REF!, MATCH(YEAR(EOMONTH($A36,6)),#REF!, 0)))</f>
        <v>-</v>
      </c>
      <c r="G36" s="1229">
        <f t="shared" si="4"/>
        <v>74.900000000000006</v>
      </c>
      <c r="H36" s="1229">
        <f t="shared" si="4"/>
        <v>174.3</v>
      </c>
      <c r="I36" s="1230">
        <f t="shared" si="3"/>
        <v>174.3</v>
      </c>
      <c r="V36" s="1216"/>
    </row>
    <row r="37" spans="1:22">
      <c r="A37" s="1226">
        <f t="shared" si="2"/>
        <v>37225</v>
      </c>
      <c r="B37" s="1227">
        <f t="shared" si="0"/>
        <v>2002</v>
      </c>
      <c r="C37" s="1215">
        <v>74.900000000000006</v>
      </c>
      <c r="D37" s="1215">
        <v>173.6</v>
      </c>
      <c r="E37" s="1228" t="str">
        <f>IF($A37&lt;DATE(2018,7,1),"-",INDEX(#REF!, MATCH(YEAR(EOMONTH($A37,6)),#REF!, 0)))</f>
        <v>-</v>
      </c>
      <c r="F37" s="1228" t="str">
        <f>IF($A37&lt;DATE(2018,7,1),"-",INDEX(#REF!, MATCH(YEAR(EOMONTH($A37,6)),#REF!, 0)))</f>
        <v>-</v>
      </c>
      <c r="G37" s="1229">
        <f t="shared" si="4"/>
        <v>74.900000000000006</v>
      </c>
      <c r="H37" s="1229">
        <f t="shared" si="4"/>
        <v>173.6</v>
      </c>
      <c r="I37" s="1230">
        <f t="shared" si="3"/>
        <v>173.6</v>
      </c>
      <c r="V37" s="1216"/>
    </row>
    <row r="38" spans="1:22">
      <c r="A38" s="1226">
        <f t="shared" si="2"/>
        <v>37256</v>
      </c>
      <c r="B38" s="1227">
        <f t="shared" si="0"/>
        <v>2002</v>
      </c>
      <c r="C38" s="1215">
        <v>75</v>
      </c>
      <c r="D38" s="1215">
        <v>173.4</v>
      </c>
      <c r="E38" s="1228" t="str">
        <f>IF($A38&lt;DATE(2018,7,1),"-",INDEX(#REF!, MATCH(YEAR(EOMONTH($A38,6)),#REF!, 0)))</f>
        <v>-</v>
      </c>
      <c r="F38" s="1228" t="str">
        <f>IF($A38&lt;DATE(2018,7,1),"-",INDEX(#REF!, MATCH(YEAR(EOMONTH($A38,6)),#REF!, 0)))</f>
        <v>-</v>
      </c>
      <c r="G38" s="1229">
        <f t="shared" ref="G38:H53" si="5">IF(ISBLANK(C38),G37*((1+E38)^(1/12)),C38)</f>
        <v>75</v>
      </c>
      <c r="H38" s="1229">
        <f t="shared" si="5"/>
        <v>173.4</v>
      </c>
      <c r="I38" s="1230">
        <f t="shared" si="3"/>
        <v>173.4</v>
      </c>
      <c r="V38" s="1216"/>
    </row>
    <row r="39" spans="1:22">
      <c r="A39" s="1226">
        <f t="shared" si="2"/>
        <v>37287</v>
      </c>
      <c r="B39" s="1227">
        <f t="shared" si="0"/>
        <v>2002</v>
      </c>
      <c r="C39" s="1215">
        <v>74.8</v>
      </c>
      <c r="D39" s="1215">
        <v>173.3</v>
      </c>
      <c r="E39" s="1228" t="str">
        <f>IF($A39&lt;DATE(2018,7,1),"-",INDEX(#REF!, MATCH(YEAR(EOMONTH($A39,6)),#REF!, 0)))</f>
        <v>-</v>
      </c>
      <c r="F39" s="1228" t="str">
        <f>IF($A39&lt;DATE(2018,7,1),"-",INDEX(#REF!, MATCH(YEAR(EOMONTH($A39,6)),#REF!, 0)))</f>
        <v>-</v>
      </c>
      <c r="G39" s="1229">
        <f t="shared" si="5"/>
        <v>74.8</v>
      </c>
      <c r="H39" s="1229">
        <f t="shared" si="5"/>
        <v>173.3</v>
      </c>
      <c r="I39" s="1230">
        <f t="shared" si="3"/>
        <v>173.3</v>
      </c>
      <c r="V39" s="1216"/>
    </row>
    <row r="40" spans="1:22">
      <c r="A40" s="1226">
        <f t="shared" si="2"/>
        <v>37315</v>
      </c>
      <c r="B40" s="1227">
        <f t="shared" si="0"/>
        <v>2002</v>
      </c>
      <c r="C40" s="1215">
        <v>75</v>
      </c>
      <c r="D40" s="1215">
        <v>173.8</v>
      </c>
      <c r="E40" s="1228" t="str">
        <f>IF($A40&lt;DATE(2018,7,1),"-",INDEX(#REF!, MATCH(YEAR(EOMONTH($A40,6)),#REF!, 0)))</f>
        <v>-</v>
      </c>
      <c r="F40" s="1228" t="str">
        <f>IF($A40&lt;DATE(2018,7,1),"-",INDEX(#REF!, MATCH(YEAR(EOMONTH($A40,6)),#REF!, 0)))</f>
        <v>-</v>
      </c>
      <c r="G40" s="1229">
        <f t="shared" si="5"/>
        <v>75</v>
      </c>
      <c r="H40" s="1229">
        <f t="shared" si="5"/>
        <v>173.8</v>
      </c>
      <c r="I40" s="1230">
        <f t="shared" si="3"/>
        <v>173.8</v>
      </c>
      <c r="V40" s="1216"/>
    </row>
    <row r="41" spans="1:22">
      <c r="A41" s="1226">
        <f t="shared" si="2"/>
        <v>37346</v>
      </c>
      <c r="B41" s="1227">
        <f t="shared" si="0"/>
        <v>2002</v>
      </c>
      <c r="C41" s="1215">
        <v>75.2</v>
      </c>
      <c r="D41" s="1215">
        <v>174.5</v>
      </c>
      <c r="E41" s="1228" t="str">
        <f>IF($A41&lt;DATE(2018,7,1),"-",INDEX(#REF!, MATCH(YEAR(EOMONTH($A41,6)),#REF!, 0)))</f>
        <v>-</v>
      </c>
      <c r="F41" s="1228" t="str">
        <f>IF($A41&lt;DATE(2018,7,1),"-",INDEX(#REF!, MATCH(YEAR(EOMONTH($A41,6)),#REF!, 0)))</f>
        <v>-</v>
      </c>
      <c r="G41" s="1229">
        <f t="shared" si="5"/>
        <v>75.2</v>
      </c>
      <c r="H41" s="1229">
        <f t="shared" si="5"/>
        <v>174.5</v>
      </c>
      <c r="I41" s="1230">
        <f t="shared" si="3"/>
        <v>174.5</v>
      </c>
      <c r="V41" s="1216"/>
    </row>
    <row r="42" spans="1:22">
      <c r="A42" s="1226">
        <f t="shared" si="2"/>
        <v>37376</v>
      </c>
      <c r="B42" s="1227">
        <f t="shared" si="0"/>
        <v>2003</v>
      </c>
      <c r="C42" s="1215">
        <v>75.599999999999994</v>
      </c>
      <c r="D42" s="1215">
        <v>175.7</v>
      </c>
      <c r="E42" s="1228" t="str">
        <f>IF($A42&lt;DATE(2018,7,1),"-",INDEX(#REF!, MATCH(YEAR(EOMONTH($A42,6)),#REF!, 0)))</f>
        <v>-</v>
      </c>
      <c r="F42" s="1228" t="str">
        <f>IF($A42&lt;DATE(2018,7,1),"-",INDEX(#REF!, MATCH(YEAR(EOMONTH($A42,6)),#REF!, 0)))</f>
        <v>-</v>
      </c>
      <c r="G42" s="1229">
        <f t="shared" si="5"/>
        <v>75.599999999999994</v>
      </c>
      <c r="H42" s="1229">
        <f t="shared" si="5"/>
        <v>175.7</v>
      </c>
      <c r="I42" s="1230">
        <f t="shared" si="3"/>
        <v>175.7</v>
      </c>
      <c r="V42" s="1216"/>
    </row>
    <row r="43" spans="1:22">
      <c r="A43" s="1226">
        <f t="shared" si="2"/>
        <v>37407</v>
      </c>
      <c r="B43" s="1227">
        <f t="shared" si="0"/>
        <v>2003</v>
      </c>
      <c r="C43" s="1215">
        <v>75.8</v>
      </c>
      <c r="D43" s="1215">
        <v>176.2</v>
      </c>
      <c r="E43" s="1228" t="str">
        <f>IF($A43&lt;DATE(2018,7,1),"-",INDEX(#REF!, MATCH(YEAR(EOMONTH($A43,6)),#REF!, 0)))</f>
        <v>-</v>
      </c>
      <c r="F43" s="1228" t="str">
        <f>IF($A43&lt;DATE(2018,7,1),"-",INDEX(#REF!, MATCH(YEAR(EOMONTH($A43,6)),#REF!, 0)))</f>
        <v>-</v>
      </c>
      <c r="G43" s="1229">
        <f t="shared" si="5"/>
        <v>75.8</v>
      </c>
      <c r="H43" s="1229">
        <f t="shared" si="5"/>
        <v>176.2</v>
      </c>
      <c r="I43" s="1230">
        <f t="shared" si="3"/>
        <v>176.2</v>
      </c>
      <c r="V43" s="1216"/>
    </row>
    <row r="44" spans="1:22">
      <c r="A44" s="1226">
        <f t="shared" si="2"/>
        <v>37437</v>
      </c>
      <c r="B44" s="1227">
        <f t="shared" si="0"/>
        <v>2003</v>
      </c>
      <c r="C44" s="1215">
        <v>75.8</v>
      </c>
      <c r="D44" s="1215">
        <v>176.2</v>
      </c>
      <c r="E44" s="1228" t="str">
        <f>IF($A44&lt;DATE(2018,7,1),"-",INDEX(#REF!, MATCH(YEAR(EOMONTH($A44,6)),#REF!, 0)))</f>
        <v>-</v>
      </c>
      <c r="F44" s="1228" t="str">
        <f>IF($A44&lt;DATE(2018,7,1),"-",INDEX(#REF!, MATCH(YEAR(EOMONTH($A44,6)),#REF!, 0)))</f>
        <v>-</v>
      </c>
      <c r="G44" s="1229">
        <f t="shared" si="5"/>
        <v>75.8</v>
      </c>
      <c r="H44" s="1229">
        <f t="shared" si="5"/>
        <v>176.2</v>
      </c>
      <c r="I44" s="1230">
        <f t="shared" si="3"/>
        <v>176.2</v>
      </c>
      <c r="V44" s="1216"/>
    </row>
    <row r="45" spans="1:22">
      <c r="A45" s="1226">
        <f t="shared" si="2"/>
        <v>37468</v>
      </c>
      <c r="B45" s="1227">
        <f t="shared" si="0"/>
        <v>2003</v>
      </c>
      <c r="C45" s="1215">
        <v>75.599999999999994</v>
      </c>
      <c r="D45" s="1215">
        <v>175.9</v>
      </c>
      <c r="E45" s="1228" t="str">
        <f>IF($A45&lt;DATE(2018,7,1),"-",INDEX(#REF!, MATCH(YEAR(EOMONTH($A45,6)),#REF!, 0)))</f>
        <v>-</v>
      </c>
      <c r="F45" s="1228" t="str">
        <f>IF($A45&lt;DATE(2018,7,1),"-",INDEX(#REF!, MATCH(YEAR(EOMONTH($A45,6)),#REF!, 0)))</f>
        <v>-</v>
      </c>
      <c r="G45" s="1229">
        <f t="shared" si="5"/>
        <v>75.599999999999994</v>
      </c>
      <c r="H45" s="1229">
        <f t="shared" si="5"/>
        <v>175.9</v>
      </c>
      <c r="I45" s="1230">
        <f t="shared" si="3"/>
        <v>175.9</v>
      </c>
      <c r="V45" s="1216"/>
    </row>
    <row r="46" spans="1:22">
      <c r="A46" s="1226">
        <f t="shared" si="2"/>
        <v>37499</v>
      </c>
      <c r="B46" s="1227">
        <f t="shared" si="0"/>
        <v>2003</v>
      </c>
      <c r="C46" s="1215">
        <v>75.8</v>
      </c>
      <c r="D46" s="1215">
        <v>176.4</v>
      </c>
      <c r="E46" s="1228" t="str">
        <f>IF($A46&lt;DATE(2018,7,1),"-",INDEX(#REF!, MATCH(YEAR(EOMONTH($A46,6)),#REF!, 0)))</f>
        <v>-</v>
      </c>
      <c r="F46" s="1228" t="str">
        <f>IF($A46&lt;DATE(2018,7,1),"-",INDEX(#REF!, MATCH(YEAR(EOMONTH($A46,6)),#REF!, 0)))</f>
        <v>-</v>
      </c>
      <c r="G46" s="1229">
        <f t="shared" si="5"/>
        <v>75.8</v>
      </c>
      <c r="H46" s="1229">
        <f t="shared" si="5"/>
        <v>176.4</v>
      </c>
      <c r="I46" s="1230">
        <f t="shared" si="3"/>
        <v>176.4</v>
      </c>
      <c r="V46" s="1216"/>
    </row>
    <row r="47" spans="1:22">
      <c r="A47" s="1226">
        <f t="shared" si="2"/>
        <v>37529</v>
      </c>
      <c r="B47" s="1227">
        <f t="shared" si="0"/>
        <v>2003</v>
      </c>
      <c r="C47" s="1215">
        <v>76</v>
      </c>
      <c r="D47" s="1215">
        <v>177.6</v>
      </c>
      <c r="E47" s="1228" t="str">
        <f>IF($A47&lt;DATE(2018,7,1),"-",INDEX(#REF!, MATCH(YEAR(EOMONTH($A47,6)),#REF!, 0)))</f>
        <v>-</v>
      </c>
      <c r="F47" s="1228" t="str">
        <f>IF($A47&lt;DATE(2018,7,1),"-",INDEX(#REF!, MATCH(YEAR(EOMONTH($A47,6)),#REF!, 0)))</f>
        <v>-</v>
      </c>
      <c r="G47" s="1229">
        <f t="shared" si="5"/>
        <v>76</v>
      </c>
      <c r="H47" s="1229">
        <f t="shared" si="5"/>
        <v>177.6</v>
      </c>
      <c r="I47" s="1230">
        <f t="shared" si="3"/>
        <v>177.6</v>
      </c>
      <c r="V47" s="1216"/>
    </row>
    <row r="48" spans="1:22">
      <c r="A48" s="1226">
        <f t="shared" si="2"/>
        <v>37560</v>
      </c>
      <c r="B48" s="1227">
        <f t="shared" si="0"/>
        <v>2003</v>
      </c>
      <c r="C48" s="1215">
        <v>76.099999999999994</v>
      </c>
      <c r="D48" s="1215">
        <v>177.9</v>
      </c>
      <c r="E48" s="1228" t="str">
        <f>IF($A48&lt;DATE(2018,7,1),"-",INDEX(#REF!, MATCH(YEAR(EOMONTH($A48,6)),#REF!, 0)))</f>
        <v>-</v>
      </c>
      <c r="F48" s="1228" t="str">
        <f>IF($A48&lt;DATE(2018,7,1),"-",INDEX(#REF!, MATCH(YEAR(EOMONTH($A48,6)),#REF!, 0)))</f>
        <v>-</v>
      </c>
      <c r="G48" s="1229">
        <f t="shared" si="5"/>
        <v>76.099999999999994</v>
      </c>
      <c r="H48" s="1229">
        <f t="shared" si="5"/>
        <v>177.9</v>
      </c>
      <c r="I48" s="1230">
        <f t="shared" si="3"/>
        <v>177.9</v>
      </c>
      <c r="V48" s="1216"/>
    </row>
    <row r="49" spans="1:22">
      <c r="A49" s="1226">
        <f t="shared" si="2"/>
        <v>37590</v>
      </c>
      <c r="B49" s="1227">
        <f t="shared" si="0"/>
        <v>2003</v>
      </c>
      <c r="C49" s="1215">
        <v>76.099999999999994</v>
      </c>
      <c r="D49" s="1215">
        <v>178.2</v>
      </c>
      <c r="E49" s="1228" t="str">
        <f>IF($A49&lt;DATE(2018,7,1),"-",INDEX(#REF!, MATCH(YEAR(EOMONTH($A49,6)),#REF!, 0)))</f>
        <v>-</v>
      </c>
      <c r="F49" s="1228" t="str">
        <f>IF($A49&lt;DATE(2018,7,1),"-",INDEX(#REF!, MATCH(YEAR(EOMONTH($A49,6)),#REF!, 0)))</f>
        <v>-</v>
      </c>
      <c r="G49" s="1229">
        <f t="shared" si="5"/>
        <v>76.099999999999994</v>
      </c>
      <c r="H49" s="1229">
        <f t="shared" si="5"/>
        <v>178.2</v>
      </c>
      <c r="I49" s="1230">
        <f t="shared" si="3"/>
        <v>178.2</v>
      </c>
      <c r="V49" s="1216"/>
    </row>
    <row r="50" spans="1:22">
      <c r="A50" s="1226">
        <f t="shared" si="2"/>
        <v>37621</v>
      </c>
      <c r="B50" s="1227">
        <f t="shared" si="0"/>
        <v>2003</v>
      </c>
      <c r="C50" s="1215">
        <v>76.3</v>
      </c>
      <c r="D50" s="1215">
        <v>178.5</v>
      </c>
      <c r="E50" s="1228" t="str">
        <f>IF($A50&lt;DATE(2018,7,1),"-",INDEX(#REF!, MATCH(YEAR(EOMONTH($A50,6)),#REF!, 0)))</f>
        <v>-</v>
      </c>
      <c r="F50" s="1228" t="str">
        <f>IF($A50&lt;DATE(2018,7,1),"-",INDEX(#REF!, MATCH(YEAR(EOMONTH($A50,6)),#REF!, 0)))</f>
        <v>-</v>
      </c>
      <c r="G50" s="1229">
        <f t="shared" si="5"/>
        <v>76.3</v>
      </c>
      <c r="H50" s="1229">
        <f t="shared" si="5"/>
        <v>178.5</v>
      </c>
      <c r="I50" s="1230">
        <f t="shared" si="3"/>
        <v>178.5</v>
      </c>
      <c r="V50" s="1216"/>
    </row>
    <row r="51" spans="1:22">
      <c r="A51" s="1226">
        <f t="shared" si="2"/>
        <v>37652</v>
      </c>
      <c r="B51" s="1227">
        <f t="shared" si="0"/>
        <v>2003</v>
      </c>
      <c r="C51" s="1215">
        <v>75.900000000000006</v>
      </c>
      <c r="D51" s="1215">
        <v>178.4</v>
      </c>
      <c r="E51" s="1228" t="str">
        <f>IF($A51&lt;DATE(2018,7,1),"-",INDEX(#REF!, MATCH(YEAR(EOMONTH($A51,6)),#REF!, 0)))</f>
        <v>-</v>
      </c>
      <c r="F51" s="1228" t="str">
        <f>IF($A51&lt;DATE(2018,7,1),"-",INDEX(#REF!, MATCH(YEAR(EOMONTH($A51,6)),#REF!, 0)))</f>
        <v>-</v>
      </c>
      <c r="G51" s="1229">
        <f t="shared" si="5"/>
        <v>75.900000000000006</v>
      </c>
      <c r="H51" s="1229">
        <f t="shared" si="5"/>
        <v>178.4</v>
      </c>
      <c r="I51" s="1230">
        <f t="shared" si="3"/>
        <v>178.4</v>
      </c>
      <c r="V51" s="1216"/>
    </row>
    <row r="52" spans="1:22">
      <c r="A52" s="1226">
        <f t="shared" si="2"/>
        <v>37680</v>
      </c>
      <c r="B52" s="1227">
        <f t="shared" si="0"/>
        <v>2003</v>
      </c>
      <c r="C52" s="1215">
        <v>76.099999999999994</v>
      </c>
      <c r="D52" s="1215">
        <v>179.3</v>
      </c>
      <c r="E52" s="1228" t="str">
        <f>IF($A52&lt;DATE(2018,7,1),"-",INDEX(#REF!, MATCH(YEAR(EOMONTH($A52,6)),#REF!, 0)))</f>
        <v>-</v>
      </c>
      <c r="F52" s="1228" t="str">
        <f>IF($A52&lt;DATE(2018,7,1),"-",INDEX(#REF!, MATCH(YEAR(EOMONTH($A52,6)),#REF!, 0)))</f>
        <v>-</v>
      </c>
      <c r="G52" s="1229">
        <f t="shared" si="5"/>
        <v>76.099999999999994</v>
      </c>
      <c r="H52" s="1229">
        <f t="shared" si="5"/>
        <v>179.3</v>
      </c>
      <c r="I52" s="1230">
        <f t="shared" si="3"/>
        <v>179.3</v>
      </c>
      <c r="V52" s="1216"/>
    </row>
    <row r="53" spans="1:22">
      <c r="A53" s="1226">
        <f t="shared" si="2"/>
        <v>37711</v>
      </c>
      <c r="B53" s="1227">
        <f t="shared" si="0"/>
        <v>2003</v>
      </c>
      <c r="C53" s="1215">
        <v>76.400000000000006</v>
      </c>
      <c r="D53" s="1215">
        <v>179.9</v>
      </c>
      <c r="E53" s="1228" t="str">
        <f>IF($A53&lt;DATE(2018,7,1),"-",INDEX(#REF!, MATCH(YEAR(EOMONTH($A53,6)),#REF!, 0)))</f>
        <v>-</v>
      </c>
      <c r="F53" s="1228" t="str">
        <f>IF($A53&lt;DATE(2018,7,1),"-",INDEX(#REF!, MATCH(YEAR(EOMONTH($A53,6)),#REF!, 0)))</f>
        <v>-</v>
      </c>
      <c r="G53" s="1229">
        <f t="shared" si="5"/>
        <v>76.400000000000006</v>
      </c>
      <c r="H53" s="1229">
        <f t="shared" si="5"/>
        <v>179.9</v>
      </c>
      <c r="I53" s="1230">
        <f t="shared" si="3"/>
        <v>179.9</v>
      </c>
      <c r="V53" s="1216"/>
    </row>
    <row r="54" spans="1:22">
      <c r="A54" s="1226">
        <f t="shared" si="2"/>
        <v>37741</v>
      </c>
      <c r="B54" s="1227">
        <f t="shared" si="0"/>
        <v>2004</v>
      </c>
      <c r="C54" s="1215">
        <v>76.8</v>
      </c>
      <c r="D54" s="1215">
        <v>181.2</v>
      </c>
      <c r="E54" s="1228" t="str">
        <f>IF($A54&lt;DATE(2018,7,1),"-",INDEX(#REF!, MATCH(YEAR(EOMONTH($A54,6)),#REF!, 0)))</f>
        <v>-</v>
      </c>
      <c r="F54" s="1228" t="str">
        <f>IF($A54&lt;DATE(2018,7,1),"-",INDEX(#REF!, MATCH(YEAR(EOMONTH($A54,6)),#REF!, 0)))</f>
        <v>-</v>
      </c>
      <c r="G54" s="1229">
        <f t="shared" ref="G54:H69" si="6">IF(ISBLANK(C54),G53*((1+E54)^(1/12)),C54)</f>
        <v>76.8</v>
      </c>
      <c r="H54" s="1229">
        <f t="shared" si="6"/>
        <v>181.2</v>
      </c>
      <c r="I54" s="1230">
        <f t="shared" si="3"/>
        <v>181.2</v>
      </c>
      <c r="V54" s="1216"/>
    </row>
    <row r="55" spans="1:22">
      <c r="A55" s="1226">
        <f t="shared" si="2"/>
        <v>37772</v>
      </c>
      <c r="B55" s="1227">
        <f t="shared" si="0"/>
        <v>2004</v>
      </c>
      <c r="C55" s="1215">
        <v>76.8</v>
      </c>
      <c r="D55" s="1215">
        <v>181.5</v>
      </c>
      <c r="E55" s="1228" t="str">
        <f>IF($A55&lt;DATE(2018,7,1),"-",INDEX(#REF!, MATCH(YEAR(EOMONTH($A55,6)),#REF!, 0)))</f>
        <v>-</v>
      </c>
      <c r="F55" s="1228" t="str">
        <f>IF($A55&lt;DATE(2018,7,1),"-",INDEX(#REF!, MATCH(YEAR(EOMONTH($A55,6)),#REF!, 0)))</f>
        <v>-</v>
      </c>
      <c r="G55" s="1229">
        <f t="shared" si="6"/>
        <v>76.8</v>
      </c>
      <c r="H55" s="1229">
        <f t="shared" si="6"/>
        <v>181.5</v>
      </c>
      <c r="I55" s="1230">
        <f t="shared" si="3"/>
        <v>181.5</v>
      </c>
      <c r="V55" s="1216"/>
    </row>
    <row r="56" spans="1:22">
      <c r="A56" s="1226">
        <f t="shared" si="2"/>
        <v>37802</v>
      </c>
      <c r="B56" s="1227">
        <f t="shared" si="0"/>
        <v>2004</v>
      </c>
      <c r="C56" s="1215">
        <v>76.7</v>
      </c>
      <c r="D56" s="1215">
        <v>181.3</v>
      </c>
      <c r="E56" s="1228" t="str">
        <f>IF($A56&lt;DATE(2018,7,1),"-",INDEX(#REF!, MATCH(YEAR(EOMONTH($A56,6)),#REF!, 0)))</f>
        <v>-</v>
      </c>
      <c r="F56" s="1228" t="str">
        <f>IF($A56&lt;DATE(2018,7,1),"-",INDEX(#REF!, MATCH(YEAR(EOMONTH($A56,6)),#REF!, 0)))</f>
        <v>-</v>
      </c>
      <c r="G56" s="1229">
        <f t="shared" si="6"/>
        <v>76.7</v>
      </c>
      <c r="H56" s="1229">
        <f t="shared" si="6"/>
        <v>181.3</v>
      </c>
      <c r="I56" s="1230">
        <f t="shared" si="3"/>
        <v>181.3</v>
      </c>
      <c r="V56" s="1216"/>
    </row>
    <row r="57" spans="1:22">
      <c r="A57" s="1226">
        <f t="shared" si="2"/>
        <v>37833</v>
      </c>
      <c r="B57" s="1227">
        <f t="shared" si="0"/>
        <v>2004</v>
      </c>
      <c r="C57" s="1215">
        <v>76.599999999999994</v>
      </c>
      <c r="D57" s="1215">
        <v>181.3</v>
      </c>
      <c r="E57" s="1228" t="str">
        <f>IF($A57&lt;DATE(2018,7,1),"-",INDEX(#REF!, MATCH(YEAR(EOMONTH($A57,6)),#REF!, 0)))</f>
        <v>-</v>
      </c>
      <c r="F57" s="1228" t="str">
        <f>IF($A57&lt;DATE(2018,7,1),"-",INDEX(#REF!, MATCH(YEAR(EOMONTH($A57,6)),#REF!, 0)))</f>
        <v>-</v>
      </c>
      <c r="G57" s="1229">
        <f t="shared" si="6"/>
        <v>76.599999999999994</v>
      </c>
      <c r="H57" s="1229">
        <f t="shared" si="6"/>
        <v>181.3</v>
      </c>
      <c r="I57" s="1230">
        <f t="shared" si="3"/>
        <v>181.3</v>
      </c>
      <c r="V57" s="1216"/>
    </row>
    <row r="58" spans="1:22">
      <c r="A58" s="1226">
        <f t="shared" si="2"/>
        <v>37864</v>
      </c>
      <c r="B58" s="1227">
        <f t="shared" si="0"/>
        <v>2004</v>
      </c>
      <c r="C58" s="1215">
        <v>76.8</v>
      </c>
      <c r="D58" s="1215">
        <v>181.6</v>
      </c>
      <c r="E58" s="1228" t="str">
        <f>IF($A58&lt;DATE(2018,7,1),"-",INDEX(#REF!, MATCH(YEAR(EOMONTH($A58,6)),#REF!, 0)))</f>
        <v>-</v>
      </c>
      <c r="F58" s="1228" t="str">
        <f>IF($A58&lt;DATE(2018,7,1),"-",INDEX(#REF!, MATCH(YEAR(EOMONTH($A58,6)),#REF!, 0)))</f>
        <v>-</v>
      </c>
      <c r="G58" s="1229">
        <f t="shared" si="6"/>
        <v>76.8</v>
      </c>
      <c r="H58" s="1229">
        <f t="shared" si="6"/>
        <v>181.6</v>
      </c>
      <c r="I58" s="1230">
        <f t="shared" si="3"/>
        <v>181.6</v>
      </c>
      <c r="V58" s="1216"/>
    </row>
    <row r="59" spans="1:22">
      <c r="A59" s="1226">
        <f t="shared" si="2"/>
        <v>37894</v>
      </c>
      <c r="B59" s="1227">
        <f t="shared" si="0"/>
        <v>2004</v>
      </c>
      <c r="C59" s="1215">
        <v>77</v>
      </c>
      <c r="D59" s="1215">
        <v>182.5</v>
      </c>
      <c r="E59" s="1228" t="str">
        <f>IF($A59&lt;DATE(2018,7,1),"-",INDEX(#REF!, MATCH(YEAR(EOMONTH($A59,6)),#REF!, 0)))</f>
        <v>-</v>
      </c>
      <c r="F59" s="1228" t="str">
        <f>IF($A59&lt;DATE(2018,7,1),"-",INDEX(#REF!, MATCH(YEAR(EOMONTH($A59,6)),#REF!, 0)))</f>
        <v>-</v>
      </c>
      <c r="G59" s="1229">
        <f t="shared" si="6"/>
        <v>77</v>
      </c>
      <c r="H59" s="1229">
        <f t="shared" si="6"/>
        <v>182.5</v>
      </c>
      <c r="I59" s="1230">
        <f t="shared" si="3"/>
        <v>182.5</v>
      </c>
      <c r="V59" s="1216"/>
    </row>
    <row r="60" spans="1:22">
      <c r="A60" s="1226">
        <f t="shared" si="2"/>
        <v>37925</v>
      </c>
      <c r="B60" s="1227">
        <f t="shared" si="0"/>
        <v>2004</v>
      </c>
      <c r="C60" s="1215">
        <v>77.099999999999994</v>
      </c>
      <c r="D60" s="1215">
        <v>182.6</v>
      </c>
      <c r="E60" s="1228" t="str">
        <f>IF($A60&lt;DATE(2018,7,1),"-",INDEX(#REF!, MATCH(YEAR(EOMONTH($A60,6)),#REF!, 0)))</f>
        <v>-</v>
      </c>
      <c r="F60" s="1228" t="str">
        <f>IF($A60&lt;DATE(2018,7,1),"-",INDEX(#REF!, MATCH(YEAR(EOMONTH($A60,6)),#REF!, 0)))</f>
        <v>-</v>
      </c>
      <c r="G60" s="1229">
        <f t="shared" si="6"/>
        <v>77.099999999999994</v>
      </c>
      <c r="H60" s="1229">
        <f t="shared" si="6"/>
        <v>182.6</v>
      </c>
      <c r="I60" s="1230">
        <f t="shared" si="3"/>
        <v>182.6</v>
      </c>
      <c r="V60" s="1216"/>
    </row>
    <row r="61" spans="1:22">
      <c r="A61" s="1226">
        <f t="shared" si="2"/>
        <v>37955</v>
      </c>
      <c r="B61" s="1227">
        <f t="shared" si="0"/>
        <v>2004</v>
      </c>
      <c r="C61" s="1215">
        <v>77.099999999999994</v>
      </c>
      <c r="D61" s="1215">
        <v>182.7</v>
      </c>
      <c r="E61" s="1228" t="str">
        <f>IF($A61&lt;DATE(2018,7,1),"-",INDEX(#REF!, MATCH(YEAR(EOMONTH($A61,6)),#REF!, 0)))</f>
        <v>-</v>
      </c>
      <c r="F61" s="1228" t="str">
        <f>IF($A61&lt;DATE(2018,7,1),"-",INDEX(#REF!, MATCH(YEAR(EOMONTH($A61,6)),#REF!, 0)))</f>
        <v>-</v>
      </c>
      <c r="G61" s="1229">
        <f t="shared" si="6"/>
        <v>77.099999999999994</v>
      </c>
      <c r="H61" s="1229">
        <f t="shared" si="6"/>
        <v>182.7</v>
      </c>
      <c r="I61" s="1230">
        <f t="shared" si="3"/>
        <v>182.7</v>
      </c>
      <c r="V61" s="1216"/>
    </row>
    <row r="62" spans="1:22">
      <c r="A62" s="1226">
        <f t="shared" si="2"/>
        <v>37986</v>
      </c>
      <c r="B62" s="1227">
        <f t="shared" si="0"/>
        <v>2004</v>
      </c>
      <c r="C62" s="1215">
        <v>77.3</v>
      </c>
      <c r="D62" s="1215">
        <v>183.5</v>
      </c>
      <c r="E62" s="1228" t="str">
        <f>IF($A62&lt;DATE(2018,7,1),"-",INDEX(#REF!, MATCH(YEAR(EOMONTH($A62,6)),#REF!, 0)))</f>
        <v>-</v>
      </c>
      <c r="F62" s="1228" t="str">
        <f>IF($A62&lt;DATE(2018,7,1),"-",INDEX(#REF!, MATCH(YEAR(EOMONTH($A62,6)),#REF!, 0)))</f>
        <v>-</v>
      </c>
      <c r="G62" s="1229">
        <f t="shared" si="6"/>
        <v>77.3</v>
      </c>
      <c r="H62" s="1229">
        <f t="shared" si="6"/>
        <v>183.5</v>
      </c>
      <c r="I62" s="1230">
        <f t="shared" si="3"/>
        <v>183.5</v>
      </c>
      <c r="V62" s="1216"/>
    </row>
    <row r="63" spans="1:22">
      <c r="A63" s="1226">
        <f t="shared" si="2"/>
        <v>38017</v>
      </c>
      <c r="B63" s="1227">
        <f t="shared" si="0"/>
        <v>2004</v>
      </c>
      <c r="C63" s="1215">
        <v>77</v>
      </c>
      <c r="D63" s="1215">
        <v>183.1</v>
      </c>
      <c r="E63" s="1228" t="str">
        <f>IF($A63&lt;DATE(2018,7,1),"-",INDEX(#REF!, MATCH(YEAR(EOMONTH($A63,6)),#REF!, 0)))</f>
        <v>-</v>
      </c>
      <c r="F63" s="1228" t="str">
        <f>IF($A63&lt;DATE(2018,7,1),"-",INDEX(#REF!, MATCH(YEAR(EOMONTH($A63,6)),#REF!, 0)))</f>
        <v>-</v>
      </c>
      <c r="G63" s="1229">
        <f t="shared" si="6"/>
        <v>77</v>
      </c>
      <c r="H63" s="1229">
        <f t="shared" si="6"/>
        <v>183.1</v>
      </c>
      <c r="I63" s="1230">
        <f t="shared" si="3"/>
        <v>183.1</v>
      </c>
      <c r="V63" s="1216"/>
    </row>
    <row r="64" spans="1:22">
      <c r="A64" s="1226">
        <f t="shared" si="2"/>
        <v>38046</v>
      </c>
      <c r="B64" s="1227">
        <f t="shared" si="0"/>
        <v>2004</v>
      </c>
      <c r="C64" s="1215">
        <v>77.2</v>
      </c>
      <c r="D64" s="1215">
        <v>183.8</v>
      </c>
      <c r="E64" s="1228" t="str">
        <f>IF($A64&lt;DATE(2018,7,1),"-",INDEX(#REF!, MATCH(YEAR(EOMONTH($A64,6)),#REF!, 0)))</f>
        <v>-</v>
      </c>
      <c r="F64" s="1228" t="str">
        <f>IF($A64&lt;DATE(2018,7,1),"-",INDEX(#REF!, MATCH(YEAR(EOMONTH($A64,6)),#REF!, 0)))</f>
        <v>-</v>
      </c>
      <c r="G64" s="1229">
        <f t="shared" si="6"/>
        <v>77.2</v>
      </c>
      <c r="H64" s="1229">
        <f t="shared" si="6"/>
        <v>183.8</v>
      </c>
      <c r="I64" s="1230">
        <f t="shared" si="3"/>
        <v>183.8</v>
      </c>
      <c r="V64" s="1216"/>
    </row>
    <row r="65" spans="1:22">
      <c r="A65" s="1226">
        <f t="shared" si="2"/>
        <v>38077</v>
      </c>
      <c r="B65" s="1227">
        <f t="shared" si="0"/>
        <v>2004</v>
      </c>
      <c r="C65" s="1215">
        <v>77.3</v>
      </c>
      <c r="D65" s="1215">
        <v>184.6</v>
      </c>
      <c r="E65" s="1228" t="str">
        <f>IF($A65&lt;DATE(2018,7,1),"-",INDEX(#REF!, MATCH(YEAR(EOMONTH($A65,6)),#REF!, 0)))</f>
        <v>-</v>
      </c>
      <c r="F65" s="1228" t="str">
        <f>IF($A65&lt;DATE(2018,7,1),"-",INDEX(#REF!, MATCH(YEAR(EOMONTH($A65,6)),#REF!, 0)))</f>
        <v>-</v>
      </c>
      <c r="G65" s="1229">
        <f t="shared" si="6"/>
        <v>77.3</v>
      </c>
      <c r="H65" s="1229">
        <f t="shared" si="6"/>
        <v>184.6</v>
      </c>
      <c r="I65" s="1230">
        <f t="shared" si="3"/>
        <v>184.6</v>
      </c>
      <c r="V65" s="1216"/>
    </row>
    <row r="66" spans="1:22">
      <c r="A66" s="1226">
        <f t="shared" si="2"/>
        <v>38107</v>
      </c>
      <c r="B66" s="1227">
        <f t="shared" si="0"/>
        <v>2005</v>
      </c>
      <c r="C66" s="1215">
        <v>77.599999999999994</v>
      </c>
      <c r="D66" s="1215">
        <v>185.7</v>
      </c>
      <c r="E66" s="1228" t="str">
        <f>IF($A66&lt;DATE(2018,7,1),"-",INDEX(#REF!, MATCH(YEAR(EOMONTH($A66,6)),#REF!, 0)))</f>
        <v>-</v>
      </c>
      <c r="F66" s="1228" t="str">
        <f>IF($A66&lt;DATE(2018,7,1),"-",INDEX(#REF!, MATCH(YEAR(EOMONTH($A66,6)),#REF!, 0)))</f>
        <v>-</v>
      </c>
      <c r="G66" s="1229">
        <f t="shared" si="6"/>
        <v>77.599999999999994</v>
      </c>
      <c r="H66" s="1229">
        <f t="shared" si="6"/>
        <v>185.7</v>
      </c>
      <c r="I66" s="1230">
        <f t="shared" si="3"/>
        <v>185.7</v>
      </c>
      <c r="V66" s="1216"/>
    </row>
    <row r="67" spans="1:22">
      <c r="A67" s="1226">
        <f t="shared" si="2"/>
        <v>38138</v>
      </c>
      <c r="B67" s="1227">
        <f t="shared" si="0"/>
        <v>2005</v>
      </c>
      <c r="C67" s="1215">
        <v>77.900000000000006</v>
      </c>
      <c r="D67" s="1215">
        <v>186.5</v>
      </c>
      <c r="E67" s="1228" t="str">
        <f>IF($A67&lt;DATE(2018,7,1),"-",INDEX(#REF!, MATCH(YEAR(EOMONTH($A67,6)),#REF!, 0)))</f>
        <v>-</v>
      </c>
      <c r="F67" s="1228" t="str">
        <f>IF($A67&lt;DATE(2018,7,1),"-",INDEX(#REF!, MATCH(YEAR(EOMONTH($A67,6)),#REF!, 0)))</f>
        <v>-</v>
      </c>
      <c r="G67" s="1229">
        <f t="shared" si="6"/>
        <v>77.900000000000006</v>
      </c>
      <c r="H67" s="1229">
        <f t="shared" si="6"/>
        <v>186.5</v>
      </c>
      <c r="I67" s="1230">
        <f t="shared" si="3"/>
        <v>186.5</v>
      </c>
      <c r="V67" s="1216"/>
    </row>
    <row r="68" spans="1:22">
      <c r="A68" s="1226">
        <f t="shared" si="2"/>
        <v>38168</v>
      </c>
      <c r="B68" s="1227">
        <f t="shared" si="0"/>
        <v>2005</v>
      </c>
      <c r="C68" s="1215">
        <v>77.900000000000006</v>
      </c>
      <c r="D68" s="1215">
        <v>186.8</v>
      </c>
      <c r="E68" s="1228" t="str">
        <f>IF($A68&lt;DATE(2018,7,1),"-",INDEX(#REF!, MATCH(YEAR(EOMONTH($A68,6)),#REF!, 0)))</f>
        <v>-</v>
      </c>
      <c r="F68" s="1228" t="str">
        <f>IF($A68&lt;DATE(2018,7,1),"-",INDEX(#REF!, MATCH(YEAR(EOMONTH($A68,6)),#REF!, 0)))</f>
        <v>-</v>
      </c>
      <c r="G68" s="1229">
        <f t="shared" si="6"/>
        <v>77.900000000000006</v>
      </c>
      <c r="H68" s="1229">
        <f t="shared" si="6"/>
        <v>186.8</v>
      </c>
      <c r="I68" s="1230">
        <f t="shared" si="3"/>
        <v>186.8</v>
      </c>
      <c r="V68" s="1216"/>
    </row>
    <row r="69" spans="1:22">
      <c r="A69" s="1226">
        <f t="shared" si="2"/>
        <v>38199</v>
      </c>
      <c r="B69" s="1227">
        <f t="shared" si="0"/>
        <v>2005</v>
      </c>
      <c r="C69" s="1215">
        <v>77.7</v>
      </c>
      <c r="D69" s="1215">
        <v>186.8</v>
      </c>
      <c r="E69" s="1228" t="str">
        <f>IF($A69&lt;DATE(2018,7,1),"-",INDEX(#REF!, MATCH(YEAR(EOMONTH($A69,6)),#REF!, 0)))</f>
        <v>-</v>
      </c>
      <c r="F69" s="1228" t="str">
        <f>IF($A69&lt;DATE(2018,7,1),"-",INDEX(#REF!, MATCH(YEAR(EOMONTH($A69,6)),#REF!, 0)))</f>
        <v>-</v>
      </c>
      <c r="G69" s="1229">
        <f t="shared" si="6"/>
        <v>77.7</v>
      </c>
      <c r="H69" s="1229">
        <f t="shared" si="6"/>
        <v>186.8</v>
      </c>
      <c r="I69" s="1230">
        <f t="shared" si="3"/>
        <v>186.8</v>
      </c>
      <c r="V69" s="1216"/>
    </row>
    <row r="70" spans="1:22">
      <c r="A70" s="1226">
        <f t="shared" si="2"/>
        <v>38230</v>
      </c>
      <c r="B70" s="1227">
        <f t="shared" ref="B70:B133" si="7">IF(MONTH(A70)&gt;=4,YEAR(A70)+1,YEAR(A70))</f>
        <v>2005</v>
      </c>
      <c r="C70" s="1215">
        <v>77.900000000000006</v>
      </c>
      <c r="D70" s="1215">
        <v>187.4</v>
      </c>
      <c r="E70" s="1228" t="str">
        <f>IF($A70&lt;DATE(2018,7,1),"-",INDEX(#REF!, MATCH(YEAR(EOMONTH($A70,6)),#REF!, 0)))</f>
        <v>-</v>
      </c>
      <c r="F70" s="1228" t="str">
        <f>IF($A70&lt;DATE(2018,7,1),"-",INDEX(#REF!, MATCH(YEAR(EOMONTH($A70,6)),#REF!, 0)))</f>
        <v>-</v>
      </c>
      <c r="G70" s="1229">
        <f t="shared" ref="G70:H85" si="8">IF(ISBLANK(C70),G69*((1+E70)^(1/12)),C70)</f>
        <v>77.900000000000006</v>
      </c>
      <c r="H70" s="1229">
        <f t="shared" si="8"/>
        <v>187.4</v>
      </c>
      <c r="I70" s="1230">
        <f t="shared" si="3"/>
        <v>187.4</v>
      </c>
      <c r="V70" s="1216"/>
    </row>
    <row r="71" spans="1:22">
      <c r="A71" s="1226">
        <f t="shared" ref="A71:A134" si="9">IF(MONTH(A70) = 12, EOMONTH(DATE(YEAR(A70) + 1, 1, 1), 0), EOMONTH(DATE(YEAR(A70), MONTH(A70) + 1, 1), 0))</f>
        <v>38260</v>
      </c>
      <c r="B71" s="1227">
        <f t="shared" si="7"/>
        <v>2005</v>
      </c>
      <c r="C71" s="1215">
        <v>77.900000000000006</v>
      </c>
      <c r="D71" s="1215">
        <v>188.1</v>
      </c>
      <c r="E71" s="1228" t="str">
        <f>IF($A71&lt;DATE(2018,7,1),"-",INDEX(#REF!, MATCH(YEAR(EOMONTH($A71,6)),#REF!, 0)))</f>
        <v>-</v>
      </c>
      <c r="F71" s="1228" t="str">
        <f>IF($A71&lt;DATE(2018,7,1),"-",INDEX(#REF!, MATCH(YEAR(EOMONTH($A71,6)),#REF!, 0)))</f>
        <v>-</v>
      </c>
      <c r="G71" s="1229">
        <f t="shared" si="8"/>
        <v>77.900000000000006</v>
      </c>
      <c r="H71" s="1229">
        <f t="shared" si="8"/>
        <v>188.1</v>
      </c>
      <c r="I71" s="1230">
        <f t="shared" ref="I71:I134" si="10">IF($A71 &lt; DATE(2021, 4, 1), H71, IF($A71 = DATE(2021, 4, 30), I70 * ((0.5*G71/G70) + (0.5*H71/H70)),I70*(G71/G70)))</f>
        <v>188.1</v>
      </c>
      <c r="V71" s="1216"/>
    </row>
    <row r="72" spans="1:22">
      <c r="A72" s="1226">
        <f t="shared" si="9"/>
        <v>38291</v>
      </c>
      <c r="B72" s="1227">
        <f t="shared" si="7"/>
        <v>2005</v>
      </c>
      <c r="C72" s="1215">
        <v>78.099999999999994</v>
      </c>
      <c r="D72" s="1215">
        <v>188.6</v>
      </c>
      <c r="E72" s="1228" t="str">
        <f>IF($A72&lt;DATE(2018,7,1),"-",INDEX(#REF!, MATCH(YEAR(EOMONTH($A72,6)),#REF!, 0)))</f>
        <v>-</v>
      </c>
      <c r="F72" s="1228" t="str">
        <f>IF($A72&lt;DATE(2018,7,1),"-",INDEX(#REF!, MATCH(YEAR(EOMONTH($A72,6)),#REF!, 0)))</f>
        <v>-</v>
      </c>
      <c r="G72" s="1229">
        <f t="shared" si="8"/>
        <v>78.099999999999994</v>
      </c>
      <c r="H72" s="1229">
        <f t="shared" si="8"/>
        <v>188.6</v>
      </c>
      <c r="I72" s="1230">
        <f t="shared" si="10"/>
        <v>188.6</v>
      </c>
      <c r="V72" s="1216"/>
    </row>
    <row r="73" spans="1:22">
      <c r="A73" s="1226">
        <f t="shared" si="9"/>
        <v>38321</v>
      </c>
      <c r="B73" s="1227">
        <f t="shared" si="7"/>
        <v>2005</v>
      </c>
      <c r="C73" s="1215">
        <v>78.3</v>
      </c>
      <c r="D73" s="1215">
        <v>189</v>
      </c>
      <c r="E73" s="1228" t="str">
        <f>IF($A73&lt;DATE(2018,7,1),"-",INDEX(#REF!, MATCH(YEAR(EOMONTH($A73,6)),#REF!, 0)))</f>
        <v>-</v>
      </c>
      <c r="F73" s="1228" t="str">
        <f>IF($A73&lt;DATE(2018,7,1),"-",INDEX(#REF!, MATCH(YEAR(EOMONTH($A73,6)),#REF!, 0)))</f>
        <v>-</v>
      </c>
      <c r="G73" s="1229">
        <f t="shared" si="8"/>
        <v>78.3</v>
      </c>
      <c r="H73" s="1229">
        <f t="shared" si="8"/>
        <v>189</v>
      </c>
      <c r="I73" s="1230">
        <f t="shared" si="10"/>
        <v>189</v>
      </c>
      <c r="V73" s="1216"/>
    </row>
    <row r="74" spans="1:22">
      <c r="A74" s="1226">
        <f t="shared" si="9"/>
        <v>38352</v>
      </c>
      <c r="B74" s="1227">
        <f t="shared" si="7"/>
        <v>2005</v>
      </c>
      <c r="C74" s="1215">
        <v>78.599999999999994</v>
      </c>
      <c r="D74" s="1215">
        <v>189.9</v>
      </c>
      <c r="E74" s="1228" t="str">
        <f>IF($A74&lt;DATE(2018,7,1),"-",INDEX(#REF!, MATCH(YEAR(EOMONTH($A74,6)),#REF!, 0)))</f>
        <v>-</v>
      </c>
      <c r="F74" s="1228" t="str">
        <f>IF($A74&lt;DATE(2018,7,1),"-",INDEX(#REF!, MATCH(YEAR(EOMONTH($A74,6)),#REF!, 0)))</f>
        <v>-</v>
      </c>
      <c r="G74" s="1229">
        <f t="shared" si="8"/>
        <v>78.599999999999994</v>
      </c>
      <c r="H74" s="1229">
        <f t="shared" si="8"/>
        <v>189.9</v>
      </c>
      <c r="I74" s="1230">
        <f t="shared" si="10"/>
        <v>189.9</v>
      </c>
      <c r="V74" s="1216"/>
    </row>
    <row r="75" spans="1:22">
      <c r="A75" s="1226">
        <f t="shared" si="9"/>
        <v>38383</v>
      </c>
      <c r="B75" s="1227">
        <f t="shared" si="7"/>
        <v>2005</v>
      </c>
      <c r="C75" s="1215">
        <v>78.3</v>
      </c>
      <c r="D75" s="1215">
        <v>188.9</v>
      </c>
      <c r="E75" s="1228" t="str">
        <f>IF($A75&lt;DATE(2018,7,1),"-",INDEX(#REF!, MATCH(YEAR(EOMONTH($A75,6)),#REF!, 0)))</f>
        <v>-</v>
      </c>
      <c r="F75" s="1228" t="str">
        <f>IF($A75&lt;DATE(2018,7,1),"-",INDEX(#REF!, MATCH(YEAR(EOMONTH($A75,6)),#REF!, 0)))</f>
        <v>-</v>
      </c>
      <c r="G75" s="1229">
        <f t="shared" si="8"/>
        <v>78.3</v>
      </c>
      <c r="H75" s="1229">
        <f t="shared" si="8"/>
        <v>188.9</v>
      </c>
      <c r="I75" s="1230">
        <f t="shared" si="10"/>
        <v>188.9</v>
      </c>
      <c r="V75" s="1216"/>
    </row>
    <row r="76" spans="1:22">
      <c r="A76" s="1226">
        <f t="shared" si="9"/>
        <v>38411</v>
      </c>
      <c r="B76" s="1227">
        <f t="shared" si="7"/>
        <v>2005</v>
      </c>
      <c r="C76" s="1215">
        <v>78.5</v>
      </c>
      <c r="D76" s="1215">
        <v>189.6</v>
      </c>
      <c r="E76" s="1228" t="str">
        <f>IF($A76&lt;DATE(2018,7,1),"-",INDEX(#REF!, MATCH(YEAR(EOMONTH($A76,6)),#REF!, 0)))</f>
        <v>-</v>
      </c>
      <c r="F76" s="1228" t="str">
        <f>IF($A76&lt;DATE(2018,7,1),"-",INDEX(#REF!, MATCH(YEAR(EOMONTH($A76,6)),#REF!, 0)))</f>
        <v>-</v>
      </c>
      <c r="G76" s="1229">
        <f t="shared" si="8"/>
        <v>78.5</v>
      </c>
      <c r="H76" s="1229">
        <f t="shared" si="8"/>
        <v>189.6</v>
      </c>
      <c r="I76" s="1230">
        <f t="shared" si="10"/>
        <v>189.6</v>
      </c>
      <c r="V76" s="1216"/>
    </row>
    <row r="77" spans="1:22">
      <c r="A77" s="1226">
        <f t="shared" si="9"/>
        <v>38442</v>
      </c>
      <c r="B77" s="1227">
        <f t="shared" si="7"/>
        <v>2005</v>
      </c>
      <c r="C77" s="1215">
        <v>78.8</v>
      </c>
      <c r="D77" s="1215">
        <v>190.5</v>
      </c>
      <c r="E77" s="1228" t="str">
        <f>IF($A77&lt;DATE(2018,7,1),"-",INDEX(#REF!, MATCH(YEAR(EOMONTH($A77,6)),#REF!, 0)))</f>
        <v>-</v>
      </c>
      <c r="F77" s="1228" t="str">
        <f>IF($A77&lt;DATE(2018,7,1),"-",INDEX(#REF!, MATCH(YEAR(EOMONTH($A77,6)),#REF!, 0)))</f>
        <v>-</v>
      </c>
      <c r="G77" s="1229">
        <f t="shared" si="8"/>
        <v>78.8</v>
      </c>
      <c r="H77" s="1229">
        <f t="shared" si="8"/>
        <v>190.5</v>
      </c>
      <c r="I77" s="1230">
        <f t="shared" si="10"/>
        <v>190.5</v>
      </c>
      <c r="V77" s="1216"/>
    </row>
    <row r="78" spans="1:22">
      <c r="A78" s="1226">
        <f t="shared" si="9"/>
        <v>38472</v>
      </c>
      <c r="B78" s="1227">
        <f t="shared" si="7"/>
        <v>2006</v>
      </c>
      <c r="C78" s="1215">
        <v>79.099999999999994</v>
      </c>
      <c r="D78" s="1215">
        <v>191.6</v>
      </c>
      <c r="E78" s="1228" t="str">
        <f>IF($A78&lt;DATE(2018,7,1),"-",INDEX(#REF!, MATCH(YEAR(EOMONTH($A78,6)),#REF!, 0)))</f>
        <v>-</v>
      </c>
      <c r="F78" s="1228" t="str">
        <f>IF($A78&lt;DATE(2018,7,1),"-",INDEX(#REF!, MATCH(YEAR(EOMONTH($A78,6)),#REF!, 0)))</f>
        <v>-</v>
      </c>
      <c r="G78" s="1229">
        <f t="shared" si="8"/>
        <v>79.099999999999994</v>
      </c>
      <c r="H78" s="1229">
        <f t="shared" si="8"/>
        <v>191.6</v>
      </c>
      <c r="I78" s="1230">
        <f t="shared" si="10"/>
        <v>191.6</v>
      </c>
      <c r="V78" s="1216"/>
    </row>
    <row r="79" spans="1:22">
      <c r="A79" s="1226">
        <f t="shared" si="9"/>
        <v>38503</v>
      </c>
      <c r="B79" s="1227">
        <f t="shared" si="7"/>
        <v>2006</v>
      </c>
      <c r="C79" s="1215">
        <v>79.400000000000006</v>
      </c>
      <c r="D79" s="1215">
        <v>192</v>
      </c>
      <c r="E79" s="1228" t="str">
        <f>IF($A79&lt;DATE(2018,7,1),"-",INDEX(#REF!, MATCH(YEAR(EOMONTH($A79,6)),#REF!, 0)))</f>
        <v>-</v>
      </c>
      <c r="F79" s="1228" t="str">
        <f>IF($A79&lt;DATE(2018,7,1),"-",INDEX(#REF!, MATCH(YEAR(EOMONTH($A79,6)),#REF!, 0)))</f>
        <v>-</v>
      </c>
      <c r="G79" s="1229">
        <f t="shared" si="8"/>
        <v>79.400000000000006</v>
      </c>
      <c r="H79" s="1229">
        <f t="shared" si="8"/>
        <v>192</v>
      </c>
      <c r="I79" s="1230">
        <f t="shared" si="10"/>
        <v>192</v>
      </c>
      <c r="V79" s="1216"/>
    </row>
    <row r="80" spans="1:22">
      <c r="A80" s="1226">
        <f t="shared" si="9"/>
        <v>38533</v>
      </c>
      <c r="B80" s="1227">
        <f t="shared" si="7"/>
        <v>2006</v>
      </c>
      <c r="C80" s="1215">
        <v>79.400000000000006</v>
      </c>
      <c r="D80" s="1215">
        <v>192.2</v>
      </c>
      <c r="E80" s="1228" t="str">
        <f>IF($A80&lt;DATE(2018,7,1),"-",INDEX(#REF!, MATCH(YEAR(EOMONTH($A80,6)),#REF!, 0)))</f>
        <v>-</v>
      </c>
      <c r="F80" s="1228" t="str">
        <f>IF($A80&lt;DATE(2018,7,1),"-",INDEX(#REF!, MATCH(YEAR(EOMONTH($A80,6)),#REF!, 0)))</f>
        <v>-</v>
      </c>
      <c r="G80" s="1229">
        <f t="shared" si="8"/>
        <v>79.400000000000006</v>
      </c>
      <c r="H80" s="1229">
        <f t="shared" si="8"/>
        <v>192.2</v>
      </c>
      <c r="I80" s="1230">
        <f t="shared" si="10"/>
        <v>192.2</v>
      </c>
      <c r="V80" s="1216"/>
    </row>
    <row r="81" spans="1:22">
      <c r="A81" s="1226">
        <f t="shared" si="9"/>
        <v>38564</v>
      </c>
      <c r="B81" s="1227">
        <f t="shared" si="7"/>
        <v>2006</v>
      </c>
      <c r="C81" s="1215">
        <v>79.5</v>
      </c>
      <c r="D81" s="1215">
        <v>192.2</v>
      </c>
      <c r="E81" s="1228" t="str">
        <f>IF($A81&lt;DATE(2018,7,1),"-",INDEX(#REF!, MATCH(YEAR(EOMONTH($A81,6)),#REF!, 0)))</f>
        <v>-</v>
      </c>
      <c r="F81" s="1228" t="str">
        <f>IF($A81&lt;DATE(2018,7,1),"-",INDEX(#REF!, MATCH(YEAR(EOMONTH($A81,6)),#REF!, 0)))</f>
        <v>-</v>
      </c>
      <c r="G81" s="1229">
        <f t="shared" si="8"/>
        <v>79.5</v>
      </c>
      <c r="H81" s="1229">
        <f t="shared" si="8"/>
        <v>192.2</v>
      </c>
      <c r="I81" s="1230">
        <f t="shared" si="10"/>
        <v>192.2</v>
      </c>
      <c r="V81" s="1216"/>
    </row>
    <row r="82" spans="1:22">
      <c r="A82" s="1226">
        <f t="shared" si="9"/>
        <v>38595</v>
      </c>
      <c r="B82" s="1227">
        <f t="shared" si="7"/>
        <v>2006</v>
      </c>
      <c r="C82" s="1215">
        <v>79.7</v>
      </c>
      <c r="D82" s="1215">
        <v>192.6</v>
      </c>
      <c r="E82" s="1228" t="str">
        <f>IF($A82&lt;DATE(2018,7,1),"-",INDEX(#REF!, MATCH(YEAR(EOMONTH($A82,6)),#REF!, 0)))</f>
        <v>-</v>
      </c>
      <c r="F82" s="1228" t="str">
        <f>IF($A82&lt;DATE(2018,7,1),"-",INDEX(#REF!, MATCH(YEAR(EOMONTH($A82,6)),#REF!, 0)))</f>
        <v>-</v>
      </c>
      <c r="G82" s="1229">
        <f t="shared" si="8"/>
        <v>79.7</v>
      </c>
      <c r="H82" s="1229">
        <f t="shared" si="8"/>
        <v>192.6</v>
      </c>
      <c r="I82" s="1230">
        <f t="shared" si="10"/>
        <v>192.6</v>
      </c>
      <c r="V82" s="1216"/>
    </row>
    <row r="83" spans="1:22">
      <c r="A83" s="1226">
        <f t="shared" si="9"/>
        <v>38625</v>
      </c>
      <c r="B83" s="1227">
        <f t="shared" si="7"/>
        <v>2006</v>
      </c>
      <c r="C83" s="1215">
        <v>79.900000000000006</v>
      </c>
      <c r="D83" s="1215">
        <v>193.1</v>
      </c>
      <c r="E83" s="1228" t="str">
        <f>IF($A83&lt;DATE(2018,7,1),"-",INDEX(#REF!, MATCH(YEAR(EOMONTH($A83,6)),#REF!, 0)))</f>
        <v>-</v>
      </c>
      <c r="F83" s="1228" t="str">
        <f>IF($A83&lt;DATE(2018,7,1),"-",INDEX(#REF!, MATCH(YEAR(EOMONTH($A83,6)),#REF!, 0)))</f>
        <v>-</v>
      </c>
      <c r="G83" s="1229">
        <f t="shared" si="8"/>
        <v>79.900000000000006</v>
      </c>
      <c r="H83" s="1229">
        <f t="shared" si="8"/>
        <v>193.1</v>
      </c>
      <c r="I83" s="1230">
        <f t="shared" si="10"/>
        <v>193.1</v>
      </c>
      <c r="V83" s="1216"/>
    </row>
    <row r="84" spans="1:22">
      <c r="A84" s="1226">
        <f t="shared" si="9"/>
        <v>38656</v>
      </c>
      <c r="B84" s="1227">
        <f t="shared" si="7"/>
        <v>2006</v>
      </c>
      <c r="C84" s="1215">
        <v>80</v>
      </c>
      <c r="D84" s="1215">
        <v>193.3</v>
      </c>
      <c r="E84" s="1228" t="str">
        <f>IF($A84&lt;DATE(2018,7,1),"-",INDEX(#REF!, MATCH(YEAR(EOMONTH($A84,6)),#REF!, 0)))</f>
        <v>-</v>
      </c>
      <c r="F84" s="1228" t="str">
        <f>IF($A84&lt;DATE(2018,7,1),"-",INDEX(#REF!, MATCH(YEAR(EOMONTH($A84,6)),#REF!, 0)))</f>
        <v>-</v>
      </c>
      <c r="G84" s="1229">
        <f t="shared" si="8"/>
        <v>80</v>
      </c>
      <c r="H84" s="1229">
        <f t="shared" si="8"/>
        <v>193.3</v>
      </c>
      <c r="I84" s="1230">
        <f t="shared" si="10"/>
        <v>193.3</v>
      </c>
      <c r="V84" s="1216"/>
    </row>
    <row r="85" spans="1:22">
      <c r="A85" s="1226">
        <f t="shared" si="9"/>
        <v>38686</v>
      </c>
      <c r="B85" s="1227">
        <f t="shared" si="7"/>
        <v>2006</v>
      </c>
      <c r="C85" s="1215">
        <v>80</v>
      </c>
      <c r="D85" s="1215">
        <v>193.6</v>
      </c>
      <c r="E85" s="1228" t="str">
        <f>IF($A85&lt;DATE(2018,7,1),"-",INDEX(#REF!, MATCH(YEAR(EOMONTH($A85,6)),#REF!, 0)))</f>
        <v>-</v>
      </c>
      <c r="F85" s="1228" t="str">
        <f>IF($A85&lt;DATE(2018,7,1),"-",INDEX(#REF!, MATCH(YEAR(EOMONTH($A85,6)),#REF!, 0)))</f>
        <v>-</v>
      </c>
      <c r="G85" s="1229">
        <f t="shared" si="8"/>
        <v>80</v>
      </c>
      <c r="H85" s="1229">
        <f t="shared" si="8"/>
        <v>193.6</v>
      </c>
      <c r="I85" s="1230">
        <f t="shared" si="10"/>
        <v>193.6</v>
      </c>
      <c r="V85" s="1216"/>
    </row>
    <row r="86" spans="1:22">
      <c r="A86" s="1226">
        <f t="shared" si="9"/>
        <v>38717</v>
      </c>
      <c r="B86" s="1227">
        <f t="shared" si="7"/>
        <v>2006</v>
      </c>
      <c r="C86" s="1215">
        <v>80.3</v>
      </c>
      <c r="D86" s="1215">
        <v>194.1</v>
      </c>
      <c r="E86" s="1228" t="str">
        <f>IF($A86&lt;DATE(2018,7,1),"-",INDEX(#REF!, MATCH(YEAR(EOMONTH($A86,6)),#REF!, 0)))</f>
        <v>-</v>
      </c>
      <c r="F86" s="1228" t="str">
        <f>IF($A86&lt;DATE(2018,7,1),"-",INDEX(#REF!, MATCH(YEAR(EOMONTH($A86,6)),#REF!, 0)))</f>
        <v>-</v>
      </c>
      <c r="G86" s="1229">
        <f t="shared" ref="G86:H101" si="11">IF(ISBLANK(C86),G85*((1+E86)^(1/12)),C86)</f>
        <v>80.3</v>
      </c>
      <c r="H86" s="1229">
        <f t="shared" si="11"/>
        <v>194.1</v>
      </c>
      <c r="I86" s="1230">
        <f t="shared" si="10"/>
        <v>194.1</v>
      </c>
      <c r="V86" s="1216"/>
    </row>
    <row r="87" spans="1:22">
      <c r="A87" s="1226">
        <f t="shared" si="9"/>
        <v>38748</v>
      </c>
      <c r="B87" s="1227">
        <f t="shared" si="7"/>
        <v>2006</v>
      </c>
      <c r="C87" s="1215">
        <v>80</v>
      </c>
      <c r="D87" s="1215">
        <v>193.4</v>
      </c>
      <c r="E87" s="1228" t="str">
        <f>IF($A87&lt;DATE(2018,7,1),"-",INDEX(#REF!, MATCH(YEAR(EOMONTH($A87,6)),#REF!, 0)))</f>
        <v>-</v>
      </c>
      <c r="F87" s="1228" t="str">
        <f>IF($A87&lt;DATE(2018,7,1),"-",INDEX(#REF!, MATCH(YEAR(EOMONTH($A87,6)),#REF!, 0)))</f>
        <v>-</v>
      </c>
      <c r="G87" s="1229">
        <f t="shared" si="11"/>
        <v>80</v>
      </c>
      <c r="H87" s="1229">
        <f t="shared" si="11"/>
        <v>193.4</v>
      </c>
      <c r="I87" s="1230">
        <f t="shared" si="10"/>
        <v>193.4</v>
      </c>
      <c r="V87" s="1216"/>
    </row>
    <row r="88" spans="1:22">
      <c r="A88" s="1226">
        <f t="shared" si="9"/>
        <v>38776</v>
      </c>
      <c r="B88" s="1227">
        <f t="shared" si="7"/>
        <v>2006</v>
      </c>
      <c r="C88" s="1215">
        <v>80.2</v>
      </c>
      <c r="D88" s="1215">
        <v>194.2</v>
      </c>
      <c r="E88" s="1228" t="str">
        <f>IF($A88&lt;DATE(2018,7,1),"-",INDEX(#REF!, MATCH(YEAR(EOMONTH($A88,6)),#REF!, 0)))</f>
        <v>-</v>
      </c>
      <c r="F88" s="1228" t="str">
        <f>IF($A88&lt;DATE(2018,7,1),"-",INDEX(#REF!, MATCH(YEAR(EOMONTH($A88,6)),#REF!, 0)))</f>
        <v>-</v>
      </c>
      <c r="G88" s="1229">
        <f t="shared" si="11"/>
        <v>80.2</v>
      </c>
      <c r="H88" s="1229">
        <f t="shared" si="11"/>
        <v>194.2</v>
      </c>
      <c r="I88" s="1230">
        <f t="shared" si="10"/>
        <v>194.2</v>
      </c>
      <c r="V88" s="1216"/>
    </row>
    <row r="89" spans="1:22">
      <c r="A89" s="1226">
        <f t="shared" si="9"/>
        <v>38807</v>
      </c>
      <c r="B89" s="1227">
        <f t="shared" si="7"/>
        <v>2006</v>
      </c>
      <c r="C89" s="1215">
        <v>80.400000000000006</v>
      </c>
      <c r="D89" s="1215">
        <v>195</v>
      </c>
      <c r="E89" s="1228" t="str">
        <f>IF($A89&lt;DATE(2018,7,1),"-",INDEX(#REF!, MATCH(YEAR(EOMONTH($A89,6)),#REF!, 0)))</f>
        <v>-</v>
      </c>
      <c r="F89" s="1228" t="str">
        <f>IF($A89&lt;DATE(2018,7,1),"-",INDEX(#REF!, MATCH(YEAR(EOMONTH($A89,6)),#REF!, 0)))</f>
        <v>-</v>
      </c>
      <c r="G89" s="1229">
        <f t="shared" si="11"/>
        <v>80.400000000000006</v>
      </c>
      <c r="H89" s="1229">
        <f t="shared" si="11"/>
        <v>195</v>
      </c>
      <c r="I89" s="1230">
        <f t="shared" si="10"/>
        <v>195</v>
      </c>
      <c r="V89" s="1216"/>
    </row>
    <row r="90" spans="1:22">
      <c r="A90" s="1226">
        <f t="shared" si="9"/>
        <v>38837</v>
      </c>
      <c r="B90" s="1227">
        <f t="shared" si="7"/>
        <v>2007</v>
      </c>
      <c r="C90" s="1215">
        <v>80.900000000000006</v>
      </c>
      <c r="D90" s="1215">
        <v>196.5</v>
      </c>
      <c r="E90" s="1228" t="str">
        <f>IF($A90&lt;DATE(2018,7,1),"-",INDEX(#REF!, MATCH(YEAR(EOMONTH($A90,6)),#REF!, 0)))</f>
        <v>-</v>
      </c>
      <c r="F90" s="1228" t="str">
        <f>IF($A90&lt;DATE(2018,7,1),"-",INDEX(#REF!, MATCH(YEAR(EOMONTH($A90,6)),#REF!, 0)))</f>
        <v>-</v>
      </c>
      <c r="G90" s="1229">
        <f t="shared" si="11"/>
        <v>80.900000000000006</v>
      </c>
      <c r="H90" s="1229">
        <f t="shared" si="11"/>
        <v>196.5</v>
      </c>
      <c r="I90" s="1230">
        <f t="shared" si="10"/>
        <v>196.5</v>
      </c>
      <c r="V90" s="1216"/>
    </row>
    <row r="91" spans="1:22">
      <c r="A91" s="1226">
        <f t="shared" si="9"/>
        <v>38868</v>
      </c>
      <c r="B91" s="1227">
        <f t="shared" si="7"/>
        <v>2007</v>
      </c>
      <c r="C91" s="1215">
        <v>81.3</v>
      </c>
      <c r="D91" s="1215">
        <v>197.7</v>
      </c>
      <c r="E91" s="1228" t="str">
        <f>IF($A91&lt;DATE(2018,7,1),"-",INDEX(#REF!, MATCH(YEAR(EOMONTH($A91,6)),#REF!, 0)))</f>
        <v>-</v>
      </c>
      <c r="F91" s="1228" t="str">
        <f>IF($A91&lt;DATE(2018,7,1),"-",INDEX(#REF!, MATCH(YEAR(EOMONTH($A91,6)),#REF!, 0)))</f>
        <v>-</v>
      </c>
      <c r="G91" s="1229">
        <f t="shared" si="11"/>
        <v>81.3</v>
      </c>
      <c r="H91" s="1229">
        <f t="shared" si="11"/>
        <v>197.7</v>
      </c>
      <c r="I91" s="1230">
        <f t="shared" si="10"/>
        <v>197.7</v>
      </c>
      <c r="V91" s="1216"/>
    </row>
    <row r="92" spans="1:22">
      <c r="A92" s="1226">
        <f t="shared" si="9"/>
        <v>38898</v>
      </c>
      <c r="B92" s="1227">
        <f t="shared" si="7"/>
        <v>2007</v>
      </c>
      <c r="C92" s="1215">
        <v>81.5</v>
      </c>
      <c r="D92" s="1215">
        <v>198.5</v>
      </c>
      <c r="E92" s="1228" t="str">
        <f>IF($A92&lt;DATE(2018,7,1),"-",INDEX(#REF!, MATCH(YEAR(EOMONTH($A92,6)),#REF!, 0)))</f>
        <v>-</v>
      </c>
      <c r="F92" s="1228" t="str">
        <f>IF($A92&lt;DATE(2018,7,1),"-",INDEX(#REF!, MATCH(YEAR(EOMONTH($A92,6)),#REF!, 0)))</f>
        <v>-</v>
      </c>
      <c r="G92" s="1229">
        <f t="shared" si="11"/>
        <v>81.5</v>
      </c>
      <c r="H92" s="1229">
        <f t="shared" si="11"/>
        <v>198.5</v>
      </c>
      <c r="I92" s="1230">
        <f t="shared" si="10"/>
        <v>198.5</v>
      </c>
      <c r="V92" s="1216"/>
    </row>
    <row r="93" spans="1:22">
      <c r="A93" s="1226">
        <f t="shared" si="9"/>
        <v>38929</v>
      </c>
      <c r="B93" s="1227">
        <f t="shared" si="7"/>
        <v>2007</v>
      </c>
      <c r="C93" s="1215">
        <v>81.5</v>
      </c>
      <c r="D93" s="1215">
        <v>198.5</v>
      </c>
      <c r="E93" s="1228" t="str">
        <f>IF($A93&lt;DATE(2018,7,1),"-",INDEX(#REF!, MATCH(YEAR(EOMONTH($A93,6)),#REF!, 0)))</f>
        <v>-</v>
      </c>
      <c r="F93" s="1228" t="str">
        <f>IF($A93&lt;DATE(2018,7,1),"-",INDEX(#REF!, MATCH(YEAR(EOMONTH($A93,6)),#REF!, 0)))</f>
        <v>-</v>
      </c>
      <c r="G93" s="1229">
        <f t="shared" si="11"/>
        <v>81.5</v>
      </c>
      <c r="H93" s="1229">
        <f t="shared" si="11"/>
        <v>198.5</v>
      </c>
      <c r="I93" s="1230">
        <f t="shared" si="10"/>
        <v>198.5</v>
      </c>
      <c r="V93" s="1216"/>
    </row>
    <row r="94" spans="1:22">
      <c r="A94" s="1226">
        <f t="shared" si="9"/>
        <v>38960</v>
      </c>
      <c r="B94" s="1227">
        <f t="shared" si="7"/>
        <v>2007</v>
      </c>
      <c r="C94" s="1215">
        <v>81.8</v>
      </c>
      <c r="D94" s="1215">
        <v>199.2</v>
      </c>
      <c r="E94" s="1228" t="str">
        <f>IF($A94&lt;DATE(2018,7,1),"-",INDEX(#REF!, MATCH(YEAR(EOMONTH($A94,6)),#REF!, 0)))</f>
        <v>-</v>
      </c>
      <c r="F94" s="1228" t="str">
        <f>IF($A94&lt;DATE(2018,7,1),"-",INDEX(#REF!, MATCH(YEAR(EOMONTH($A94,6)),#REF!, 0)))</f>
        <v>-</v>
      </c>
      <c r="G94" s="1229">
        <f t="shared" si="11"/>
        <v>81.8</v>
      </c>
      <c r="H94" s="1229">
        <f t="shared" si="11"/>
        <v>199.2</v>
      </c>
      <c r="I94" s="1230">
        <f t="shared" si="10"/>
        <v>199.2</v>
      </c>
      <c r="V94" s="1216"/>
    </row>
    <row r="95" spans="1:22">
      <c r="A95" s="1226">
        <f t="shared" si="9"/>
        <v>38990</v>
      </c>
      <c r="B95" s="1227">
        <f t="shared" si="7"/>
        <v>2007</v>
      </c>
      <c r="C95" s="1215">
        <v>81.900000000000006</v>
      </c>
      <c r="D95" s="1215">
        <v>200.1</v>
      </c>
      <c r="E95" s="1228" t="str">
        <f>IF($A95&lt;DATE(2018,7,1),"-",INDEX(#REF!, MATCH(YEAR(EOMONTH($A95,6)),#REF!, 0)))</f>
        <v>-</v>
      </c>
      <c r="F95" s="1228" t="str">
        <f>IF($A95&lt;DATE(2018,7,1),"-",INDEX(#REF!, MATCH(YEAR(EOMONTH($A95,6)),#REF!, 0)))</f>
        <v>-</v>
      </c>
      <c r="G95" s="1229">
        <f t="shared" si="11"/>
        <v>81.900000000000006</v>
      </c>
      <c r="H95" s="1229">
        <f t="shared" si="11"/>
        <v>200.1</v>
      </c>
      <c r="I95" s="1230">
        <f t="shared" si="10"/>
        <v>200.1</v>
      </c>
      <c r="V95" s="1216"/>
    </row>
    <row r="96" spans="1:22">
      <c r="A96" s="1226">
        <f t="shared" si="9"/>
        <v>39021</v>
      </c>
      <c r="B96" s="1227">
        <f t="shared" si="7"/>
        <v>2007</v>
      </c>
      <c r="C96" s="1215">
        <v>82</v>
      </c>
      <c r="D96" s="1215">
        <v>200.4</v>
      </c>
      <c r="E96" s="1228" t="str">
        <f>IF($A96&lt;DATE(2018,7,1),"-",INDEX(#REF!, MATCH(YEAR(EOMONTH($A96,6)),#REF!, 0)))</f>
        <v>-</v>
      </c>
      <c r="F96" s="1228" t="str">
        <f>IF($A96&lt;DATE(2018,7,1),"-",INDEX(#REF!, MATCH(YEAR(EOMONTH($A96,6)),#REF!, 0)))</f>
        <v>-</v>
      </c>
      <c r="G96" s="1229">
        <f t="shared" si="11"/>
        <v>82</v>
      </c>
      <c r="H96" s="1229">
        <f t="shared" si="11"/>
        <v>200.4</v>
      </c>
      <c r="I96" s="1230">
        <f t="shared" si="10"/>
        <v>200.4</v>
      </c>
      <c r="V96" s="1216"/>
    </row>
    <row r="97" spans="1:22">
      <c r="A97" s="1226">
        <f t="shared" si="9"/>
        <v>39051</v>
      </c>
      <c r="B97" s="1227">
        <f t="shared" si="7"/>
        <v>2007</v>
      </c>
      <c r="C97" s="1215">
        <v>82.2</v>
      </c>
      <c r="D97" s="1215">
        <v>201.1</v>
      </c>
      <c r="E97" s="1228" t="str">
        <f>IF($A97&lt;DATE(2018,7,1),"-",INDEX(#REF!, MATCH(YEAR(EOMONTH($A97,6)),#REF!, 0)))</f>
        <v>-</v>
      </c>
      <c r="F97" s="1228" t="str">
        <f>IF($A97&lt;DATE(2018,7,1),"-",INDEX(#REF!, MATCH(YEAR(EOMONTH($A97,6)),#REF!, 0)))</f>
        <v>-</v>
      </c>
      <c r="G97" s="1229">
        <f t="shared" si="11"/>
        <v>82.2</v>
      </c>
      <c r="H97" s="1229">
        <f t="shared" si="11"/>
        <v>201.1</v>
      </c>
      <c r="I97" s="1230">
        <f t="shared" si="10"/>
        <v>201.1</v>
      </c>
      <c r="V97" s="1216"/>
    </row>
    <row r="98" spans="1:22">
      <c r="A98" s="1226">
        <f t="shared" si="9"/>
        <v>39082</v>
      </c>
      <c r="B98" s="1227">
        <f t="shared" si="7"/>
        <v>2007</v>
      </c>
      <c r="C98" s="1215">
        <v>82.6</v>
      </c>
      <c r="D98" s="1215">
        <v>202.7</v>
      </c>
      <c r="E98" s="1228" t="str">
        <f>IF($A98&lt;DATE(2018,7,1),"-",INDEX(#REF!, MATCH(YEAR(EOMONTH($A98,6)),#REF!, 0)))</f>
        <v>-</v>
      </c>
      <c r="F98" s="1228" t="str">
        <f>IF($A98&lt;DATE(2018,7,1),"-",INDEX(#REF!, MATCH(YEAR(EOMONTH($A98,6)),#REF!, 0)))</f>
        <v>-</v>
      </c>
      <c r="G98" s="1229">
        <f t="shared" si="11"/>
        <v>82.6</v>
      </c>
      <c r="H98" s="1229">
        <f t="shared" si="11"/>
        <v>202.7</v>
      </c>
      <c r="I98" s="1230">
        <f t="shared" si="10"/>
        <v>202.7</v>
      </c>
      <c r="V98" s="1216"/>
    </row>
    <row r="99" spans="1:22">
      <c r="A99" s="1226">
        <f t="shared" si="9"/>
        <v>39113</v>
      </c>
      <c r="B99" s="1227">
        <f t="shared" si="7"/>
        <v>2007</v>
      </c>
      <c r="C99" s="1215">
        <v>82.1</v>
      </c>
      <c r="D99" s="1215">
        <v>201.6</v>
      </c>
      <c r="E99" s="1228" t="str">
        <f>IF($A99&lt;DATE(2018,7,1),"-",INDEX(#REF!, MATCH(YEAR(EOMONTH($A99,6)),#REF!, 0)))</f>
        <v>-</v>
      </c>
      <c r="F99" s="1228" t="str">
        <f>IF($A99&lt;DATE(2018,7,1),"-",INDEX(#REF!, MATCH(YEAR(EOMONTH($A99,6)),#REF!, 0)))</f>
        <v>-</v>
      </c>
      <c r="G99" s="1229">
        <f t="shared" si="11"/>
        <v>82.1</v>
      </c>
      <c r="H99" s="1229">
        <f t="shared" si="11"/>
        <v>201.6</v>
      </c>
      <c r="I99" s="1230">
        <f t="shared" si="10"/>
        <v>201.6</v>
      </c>
      <c r="V99" s="1216"/>
    </row>
    <row r="100" spans="1:22">
      <c r="A100" s="1226">
        <f t="shared" si="9"/>
        <v>39141</v>
      </c>
      <c r="B100" s="1227">
        <f t="shared" si="7"/>
        <v>2007</v>
      </c>
      <c r="C100" s="1215">
        <v>82.4</v>
      </c>
      <c r="D100" s="1215">
        <v>203.1</v>
      </c>
      <c r="E100" s="1228" t="str">
        <f>IF($A100&lt;DATE(2018,7,1),"-",INDEX(#REF!, MATCH(YEAR(EOMONTH($A100,6)),#REF!, 0)))</f>
        <v>-</v>
      </c>
      <c r="F100" s="1228" t="str">
        <f>IF($A100&lt;DATE(2018,7,1),"-",INDEX(#REF!, MATCH(YEAR(EOMONTH($A100,6)),#REF!, 0)))</f>
        <v>-</v>
      </c>
      <c r="G100" s="1229">
        <f t="shared" si="11"/>
        <v>82.4</v>
      </c>
      <c r="H100" s="1229">
        <f t="shared" si="11"/>
        <v>203.1</v>
      </c>
      <c r="I100" s="1230">
        <f t="shared" si="10"/>
        <v>203.1</v>
      </c>
      <c r="V100" s="1216"/>
    </row>
    <row r="101" spans="1:22">
      <c r="A101" s="1226">
        <f t="shared" si="9"/>
        <v>39172</v>
      </c>
      <c r="B101" s="1227">
        <f t="shared" si="7"/>
        <v>2007</v>
      </c>
      <c r="C101" s="1215">
        <v>82.8</v>
      </c>
      <c r="D101" s="1215">
        <v>204.4</v>
      </c>
      <c r="E101" s="1228" t="str">
        <f>IF($A101&lt;DATE(2018,7,1),"-",INDEX(#REF!, MATCH(YEAR(EOMONTH($A101,6)),#REF!, 0)))</f>
        <v>-</v>
      </c>
      <c r="F101" s="1228" t="str">
        <f>IF($A101&lt;DATE(2018,7,1),"-",INDEX(#REF!, MATCH(YEAR(EOMONTH($A101,6)),#REF!, 0)))</f>
        <v>-</v>
      </c>
      <c r="G101" s="1229">
        <f t="shared" si="11"/>
        <v>82.8</v>
      </c>
      <c r="H101" s="1229">
        <f t="shared" si="11"/>
        <v>204.4</v>
      </c>
      <c r="I101" s="1230">
        <f t="shared" si="10"/>
        <v>204.4</v>
      </c>
      <c r="V101" s="1216"/>
    </row>
    <row r="102" spans="1:22">
      <c r="A102" s="1226">
        <f t="shared" si="9"/>
        <v>39202</v>
      </c>
      <c r="B102" s="1227">
        <f t="shared" si="7"/>
        <v>2008</v>
      </c>
      <c r="C102" s="1215">
        <v>83.1</v>
      </c>
      <c r="D102" s="1215">
        <v>205.4</v>
      </c>
      <c r="E102" s="1228" t="str">
        <f>IF($A102&lt;DATE(2018,7,1),"-",INDEX(#REF!, MATCH(YEAR(EOMONTH($A102,6)),#REF!, 0)))</f>
        <v>-</v>
      </c>
      <c r="F102" s="1228" t="str">
        <f>IF($A102&lt;DATE(2018,7,1),"-",INDEX(#REF!, MATCH(YEAR(EOMONTH($A102,6)),#REF!, 0)))</f>
        <v>-</v>
      </c>
      <c r="G102" s="1229">
        <f t="shared" ref="G102:H117" si="12">IF(ISBLANK(C102),G101*((1+E102)^(1/12)),C102)</f>
        <v>83.1</v>
      </c>
      <c r="H102" s="1229">
        <f t="shared" si="12"/>
        <v>205.4</v>
      </c>
      <c r="I102" s="1230">
        <f t="shared" si="10"/>
        <v>205.4</v>
      </c>
      <c r="V102" s="1216"/>
    </row>
    <row r="103" spans="1:22">
      <c r="A103" s="1226">
        <f t="shared" si="9"/>
        <v>39233</v>
      </c>
      <c r="B103" s="1227">
        <f t="shared" si="7"/>
        <v>2008</v>
      </c>
      <c r="C103" s="1215">
        <v>83.3</v>
      </c>
      <c r="D103" s="1215">
        <v>206.2</v>
      </c>
      <c r="E103" s="1228" t="str">
        <f>IF($A103&lt;DATE(2018,7,1),"-",INDEX(#REF!, MATCH(YEAR(EOMONTH($A103,6)),#REF!, 0)))</f>
        <v>-</v>
      </c>
      <c r="F103" s="1228" t="str">
        <f>IF($A103&lt;DATE(2018,7,1),"-",INDEX(#REF!, MATCH(YEAR(EOMONTH($A103,6)),#REF!, 0)))</f>
        <v>-</v>
      </c>
      <c r="G103" s="1229">
        <f t="shared" si="12"/>
        <v>83.3</v>
      </c>
      <c r="H103" s="1229">
        <f t="shared" si="12"/>
        <v>206.2</v>
      </c>
      <c r="I103" s="1230">
        <f t="shared" si="10"/>
        <v>206.2</v>
      </c>
      <c r="V103" s="1216"/>
    </row>
    <row r="104" spans="1:22">
      <c r="A104" s="1226">
        <f t="shared" si="9"/>
        <v>39263</v>
      </c>
      <c r="B104" s="1227">
        <f t="shared" si="7"/>
        <v>2008</v>
      </c>
      <c r="C104" s="1215">
        <v>83.5</v>
      </c>
      <c r="D104" s="1215">
        <v>207.3</v>
      </c>
      <c r="E104" s="1228" t="str">
        <f>IF($A104&lt;DATE(2018,7,1),"-",INDEX(#REF!, MATCH(YEAR(EOMONTH($A104,6)),#REF!, 0)))</f>
        <v>-</v>
      </c>
      <c r="F104" s="1228" t="str">
        <f>IF($A104&lt;DATE(2018,7,1),"-",INDEX(#REF!, MATCH(YEAR(EOMONTH($A104,6)),#REF!, 0)))</f>
        <v>-</v>
      </c>
      <c r="G104" s="1229">
        <f t="shared" si="12"/>
        <v>83.5</v>
      </c>
      <c r="H104" s="1229">
        <f t="shared" si="12"/>
        <v>207.3</v>
      </c>
      <c r="I104" s="1230">
        <f t="shared" si="10"/>
        <v>207.3</v>
      </c>
      <c r="V104" s="1216"/>
    </row>
    <row r="105" spans="1:22">
      <c r="A105" s="1226">
        <f t="shared" si="9"/>
        <v>39294</v>
      </c>
      <c r="B105" s="1227">
        <f t="shared" si="7"/>
        <v>2008</v>
      </c>
      <c r="C105" s="1215">
        <v>83.1</v>
      </c>
      <c r="D105" s="1215">
        <v>206.1</v>
      </c>
      <c r="E105" s="1228" t="str">
        <f>IF($A105&lt;DATE(2018,7,1),"-",INDEX(#REF!, MATCH(YEAR(EOMONTH($A105,6)),#REF!, 0)))</f>
        <v>-</v>
      </c>
      <c r="F105" s="1228" t="str">
        <f>IF($A105&lt;DATE(2018,7,1),"-",INDEX(#REF!, MATCH(YEAR(EOMONTH($A105,6)),#REF!, 0)))</f>
        <v>-</v>
      </c>
      <c r="G105" s="1229">
        <f t="shared" si="12"/>
        <v>83.1</v>
      </c>
      <c r="H105" s="1229">
        <f t="shared" si="12"/>
        <v>206.1</v>
      </c>
      <c r="I105" s="1230">
        <f t="shared" si="10"/>
        <v>206.1</v>
      </c>
      <c r="V105" s="1216"/>
    </row>
    <row r="106" spans="1:22">
      <c r="A106" s="1226">
        <f t="shared" si="9"/>
        <v>39325</v>
      </c>
      <c r="B106" s="1227">
        <f t="shared" si="7"/>
        <v>2008</v>
      </c>
      <c r="C106" s="1215">
        <v>83.4</v>
      </c>
      <c r="D106" s="1215">
        <v>207.3</v>
      </c>
      <c r="E106" s="1228" t="str">
        <f>IF($A106&lt;DATE(2018,7,1),"-",INDEX(#REF!, MATCH(YEAR(EOMONTH($A106,6)),#REF!, 0)))</f>
        <v>-</v>
      </c>
      <c r="F106" s="1228" t="str">
        <f>IF($A106&lt;DATE(2018,7,1),"-",INDEX(#REF!, MATCH(YEAR(EOMONTH($A106,6)),#REF!, 0)))</f>
        <v>-</v>
      </c>
      <c r="G106" s="1229">
        <f t="shared" si="12"/>
        <v>83.4</v>
      </c>
      <c r="H106" s="1229">
        <f t="shared" si="12"/>
        <v>207.3</v>
      </c>
      <c r="I106" s="1230">
        <f t="shared" si="10"/>
        <v>207.3</v>
      </c>
      <c r="V106" s="1216"/>
    </row>
    <row r="107" spans="1:22">
      <c r="A107" s="1226">
        <f t="shared" si="9"/>
        <v>39355</v>
      </c>
      <c r="B107" s="1227">
        <f t="shared" si="7"/>
        <v>2008</v>
      </c>
      <c r="C107" s="1215">
        <v>83.5</v>
      </c>
      <c r="D107" s="1215">
        <v>208</v>
      </c>
      <c r="E107" s="1228" t="str">
        <f>IF($A107&lt;DATE(2018,7,1),"-",INDEX(#REF!, MATCH(YEAR(EOMONTH($A107,6)),#REF!, 0)))</f>
        <v>-</v>
      </c>
      <c r="F107" s="1228" t="str">
        <f>IF($A107&lt;DATE(2018,7,1),"-",INDEX(#REF!, MATCH(YEAR(EOMONTH($A107,6)),#REF!, 0)))</f>
        <v>-</v>
      </c>
      <c r="G107" s="1229">
        <f t="shared" si="12"/>
        <v>83.5</v>
      </c>
      <c r="H107" s="1229">
        <f t="shared" si="12"/>
        <v>208</v>
      </c>
      <c r="I107" s="1230">
        <f t="shared" si="10"/>
        <v>208</v>
      </c>
      <c r="V107" s="1216"/>
    </row>
    <row r="108" spans="1:22">
      <c r="A108" s="1226">
        <f t="shared" si="9"/>
        <v>39386</v>
      </c>
      <c r="B108" s="1227">
        <f t="shared" si="7"/>
        <v>2008</v>
      </c>
      <c r="C108" s="1215">
        <v>83.8</v>
      </c>
      <c r="D108" s="1215">
        <v>208.9</v>
      </c>
      <c r="E108" s="1228" t="str">
        <f>IF($A108&lt;DATE(2018,7,1),"-",INDEX(#REF!, MATCH(YEAR(EOMONTH($A108,6)),#REF!, 0)))</f>
        <v>-</v>
      </c>
      <c r="F108" s="1228" t="str">
        <f>IF($A108&lt;DATE(2018,7,1),"-",INDEX(#REF!, MATCH(YEAR(EOMONTH($A108,6)),#REF!, 0)))</f>
        <v>-</v>
      </c>
      <c r="G108" s="1229">
        <f t="shared" si="12"/>
        <v>83.8</v>
      </c>
      <c r="H108" s="1229">
        <f t="shared" si="12"/>
        <v>208.9</v>
      </c>
      <c r="I108" s="1230">
        <f t="shared" si="10"/>
        <v>208.9</v>
      </c>
      <c r="V108" s="1216"/>
    </row>
    <row r="109" spans="1:22">
      <c r="A109" s="1226">
        <f t="shared" si="9"/>
        <v>39416</v>
      </c>
      <c r="B109" s="1227">
        <f t="shared" si="7"/>
        <v>2008</v>
      </c>
      <c r="C109" s="1215">
        <v>84.1</v>
      </c>
      <c r="D109" s="1215">
        <v>209.7</v>
      </c>
      <c r="E109" s="1228" t="str">
        <f>IF($A109&lt;DATE(2018,7,1),"-",INDEX(#REF!, MATCH(YEAR(EOMONTH($A109,6)),#REF!, 0)))</f>
        <v>-</v>
      </c>
      <c r="F109" s="1228" t="str">
        <f>IF($A109&lt;DATE(2018,7,1),"-",INDEX(#REF!, MATCH(YEAR(EOMONTH($A109,6)),#REF!, 0)))</f>
        <v>-</v>
      </c>
      <c r="G109" s="1229">
        <f t="shared" si="12"/>
        <v>84.1</v>
      </c>
      <c r="H109" s="1229">
        <f t="shared" si="12"/>
        <v>209.7</v>
      </c>
      <c r="I109" s="1230">
        <f t="shared" si="10"/>
        <v>209.7</v>
      </c>
      <c r="V109" s="1216"/>
    </row>
    <row r="110" spans="1:22">
      <c r="A110" s="1226">
        <f t="shared" si="9"/>
        <v>39447</v>
      </c>
      <c r="B110" s="1227">
        <f t="shared" si="7"/>
        <v>2008</v>
      </c>
      <c r="C110" s="1215">
        <v>84.5</v>
      </c>
      <c r="D110" s="1215">
        <v>210.9</v>
      </c>
      <c r="E110" s="1228" t="str">
        <f>IF($A110&lt;DATE(2018,7,1),"-",INDEX(#REF!, MATCH(YEAR(EOMONTH($A110,6)),#REF!, 0)))</f>
        <v>-</v>
      </c>
      <c r="F110" s="1228" t="str">
        <f>IF($A110&lt;DATE(2018,7,1),"-",INDEX(#REF!, MATCH(YEAR(EOMONTH($A110,6)),#REF!, 0)))</f>
        <v>-</v>
      </c>
      <c r="G110" s="1229">
        <f t="shared" si="12"/>
        <v>84.5</v>
      </c>
      <c r="H110" s="1229">
        <f t="shared" si="12"/>
        <v>210.9</v>
      </c>
      <c r="I110" s="1230">
        <f t="shared" si="10"/>
        <v>210.9</v>
      </c>
      <c r="V110" s="1216"/>
    </row>
    <row r="111" spans="1:22">
      <c r="A111" s="1226">
        <f t="shared" si="9"/>
        <v>39478</v>
      </c>
      <c r="B111" s="1227">
        <f t="shared" si="7"/>
        <v>2008</v>
      </c>
      <c r="C111" s="1215">
        <v>84.1</v>
      </c>
      <c r="D111" s="1215">
        <v>209.8</v>
      </c>
      <c r="E111" s="1228" t="str">
        <f>IF($A111&lt;DATE(2018,7,1),"-",INDEX(#REF!, MATCH(YEAR(EOMONTH($A111,6)),#REF!, 0)))</f>
        <v>-</v>
      </c>
      <c r="F111" s="1228" t="str">
        <f>IF($A111&lt;DATE(2018,7,1),"-",INDEX(#REF!, MATCH(YEAR(EOMONTH($A111,6)),#REF!, 0)))</f>
        <v>-</v>
      </c>
      <c r="G111" s="1229">
        <f t="shared" si="12"/>
        <v>84.1</v>
      </c>
      <c r="H111" s="1229">
        <f t="shared" si="12"/>
        <v>209.8</v>
      </c>
      <c r="I111" s="1230">
        <f t="shared" si="10"/>
        <v>209.8</v>
      </c>
      <c r="V111" s="1216"/>
    </row>
    <row r="112" spans="1:22">
      <c r="A112" s="1226">
        <f t="shared" si="9"/>
        <v>39507</v>
      </c>
      <c r="B112" s="1227">
        <f t="shared" si="7"/>
        <v>2008</v>
      </c>
      <c r="C112" s="1215">
        <v>84.6</v>
      </c>
      <c r="D112" s="1215">
        <v>211.4</v>
      </c>
      <c r="E112" s="1228" t="str">
        <f>IF($A112&lt;DATE(2018,7,1),"-",INDEX(#REF!, MATCH(YEAR(EOMONTH($A112,6)),#REF!, 0)))</f>
        <v>-</v>
      </c>
      <c r="F112" s="1228" t="str">
        <f>IF($A112&lt;DATE(2018,7,1),"-",INDEX(#REF!, MATCH(YEAR(EOMONTH($A112,6)),#REF!, 0)))</f>
        <v>-</v>
      </c>
      <c r="G112" s="1229">
        <f t="shared" si="12"/>
        <v>84.6</v>
      </c>
      <c r="H112" s="1229">
        <f t="shared" si="12"/>
        <v>211.4</v>
      </c>
      <c r="I112" s="1230">
        <f t="shared" si="10"/>
        <v>211.4</v>
      </c>
      <c r="V112" s="1216"/>
    </row>
    <row r="113" spans="1:22">
      <c r="A113" s="1226">
        <f t="shared" si="9"/>
        <v>39538</v>
      </c>
      <c r="B113" s="1227">
        <f t="shared" si="7"/>
        <v>2008</v>
      </c>
      <c r="C113" s="1215">
        <v>84.9</v>
      </c>
      <c r="D113" s="1215">
        <v>212.1</v>
      </c>
      <c r="E113" s="1228" t="str">
        <f>IF($A113&lt;DATE(2018,7,1),"-",INDEX(#REF!, MATCH(YEAR(EOMONTH($A113,6)),#REF!, 0)))</f>
        <v>-</v>
      </c>
      <c r="F113" s="1228" t="str">
        <f>IF($A113&lt;DATE(2018,7,1),"-",INDEX(#REF!, MATCH(YEAR(EOMONTH($A113,6)),#REF!, 0)))</f>
        <v>-</v>
      </c>
      <c r="G113" s="1229">
        <f t="shared" si="12"/>
        <v>84.9</v>
      </c>
      <c r="H113" s="1229">
        <f t="shared" si="12"/>
        <v>212.1</v>
      </c>
      <c r="I113" s="1230">
        <f t="shared" si="10"/>
        <v>212.1</v>
      </c>
      <c r="V113" s="1216"/>
    </row>
    <row r="114" spans="1:22">
      <c r="A114" s="1226">
        <f t="shared" si="9"/>
        <v>39568</v>
      </c>
      <c r="B114" s="1227">
        <f t="shared" si="7"/>
        <v>2009</v>
      </c>
      <c r="C114" s="1215">
        <v>85.6</v>
      </c>
      <c r="D114" s="1215">
        <v>214</v>
      </c>
      <c r="E114" s="1228" t="str">
        <f>IF($A114&lt;DATE(2018,7,1),"-",INDEX(#REF!, MATCH(YEAR(EOMONTH($A114,6)),#REF!, 0)))</f>
        <v>-</v>
      </c>
      <c r="F114" s="1228" t="str">
        <f>IF($A114&lt;DATE(2018,7,1),"-",INDEX(#REF!, MATCH(YEAR(EOMONTH($A114,6)),#REF!, 0)))</f>
        <v>-</v>
      </c>
      <c r="G114" s="1229">
        <f t="shared" si="12"/>
        <v>85.6</v>
      </c>
      <c r="H114" s="1229">
        <f t="shared" si="12"/>
        <v>214</v>
      </c>
      <c r="I114" s="1230">
        <f t="shared" si="10"/>
        <v>214</v>
      </c>
      <c r="V114" s="1216"/>
    </row>
    <row r="115" spans="1:22">
      <c r="A115" s="1226">
        <f t="shared" si="9"/>
        <v>39599</v>
      </c>
      <c r="B115" s="1227">
        <f t="shared" si="7"/>
        <v>2009</v>
      </c>
      <c r="C115" s="1215">
        <v>86.1</v>
      </c>
      <c r="D115" s="1215">
        <v>215.1</v>
      </c>
      <c r="E115" s="1228" t="str">
        <f>IF($A115&lt;DATE(2018,7,1),"-",INDEX(#REF!, MATCH(YEAR(EOMONTH($A115,6)),#REF!, 0)))</f>
        <v>-</v>
      </c>
      <c r="F115" s="1228" t="str">
        <f>IF($A115&lt;DATE(2018,7,1),"-",INDEX(#REF!, MATCH(YEAR(EOMONTH($A115,6)),#REF!, 0)))</f>
        <v>-</v>
      </c>
      <c r="G115" s="1229">
        <f t="shared" si="12"/>
        <v>86.1</v>
      </c>
      <c r="H115" s="1229">
        <f t="shared" si="12"/>
        <v>215.1</v>
      </c>
      <c r="I115" s="1230">
        <f t="shared" si="10"/>
        <v>215.1</v>
      </c>
      <c r="V115" s="1216"/>
    </row>
    <row r="116" spans="1:22">
      <c r="A116" s="1226">
        <f t="shared" si="9"/>
        <v>39629</v>
      </c>
      <c r="B116" s="1227">
        <f t="shared" si="7"/>
        <v>2009</v>
      </c>
      <c r="C116" s="1215">
        <v>86.6</v>
      </c>
      <c r="D116" s="1215">
        <v>216.8</v>
      </c>
      <c r="E116" s="1228" t="str">
        <f>IF($A116&lt;DATE(2018,7,1),"-",INDEX(#REF!, MATCH(YEAR(EOMONTH($A116,6)),#REF!, 0)))</f>
        <v>-</v>
      </c>
      <c r="F116" s="1228" t="str">
        <f>IF($A116&lt;DATE(2018,7,1),"-",INDEX(#REF!, MATCH(YEAR(EOMONTH($A116,6)),#REF!, 0)))</f>
        <v>-</v>
      </c>
      <c r="G116" s="1229">
        <f t="shared" si="12"/>
        <v>86.6</v>
      </c>
      <c r="H116" s="1229">
        <f t="shared" si="12"/>
        <v>216.8</v>
      </c>
      <c r="I116" s="1230">
        <f t="shared" si="10"/>
        <v>216.8</v>
      </c>
      <c r="V116" s="1216"/>
    </row>
    <row r="117" spans="1:22">
      <c r="A117" s="1226">
        <f t="shared" si="9"/>
        <v>39660</v>
      </c>
      <c r="B117" s="1227">
        <f t="shared" si="7"/>
        <v>2009</v>
      </c>
      <c r="C117" s="1215">
        <v>86.6</v>
      </c>
      <c r="D117" s="1215">
        <v>216.5</v>
      </c>
      <c r="E117" s="1228" t="str">
        <f>IF($A117&lt;DATE(2018,7,1),"-",INDEX(#REF!, MATCH(YEAR(EOMONTH($A117,6)),#REF!, 0)))</f>
        <v>-</v>
      </c>
      <c r="F117" s="1228" t="str">
        <f>IF($A117&lt;DATE(2018,7,1),"-",INDEX(#REF!, MATCH(YEAR(EOMONTH($A117,6)),#REF!, 0)))</f>
        <v>-</v>
      </c>
      <c r="G117" s="1229">
        <f t="shared" si="12"/>
        <v>86.6</v>
      </c>
      <c r="H117" s="1229">
        <f t="shared" si="12"/>
        <v>216.5</v>
      </c>
      <c r="I117" s="1230">
        <f t="shared" si="10"/>
        <v>216.5</v>
      </c>
      <c r="V117" s="1216"/>
    </row>
    <row r="118" spans="1:22">
      <c r="A118" s="1226">
        <f t="shared" si="9"/>
        <v>39691</v>
      </c>
      <c r="B118" s="1227">
        <f t="shared" si="7"/>
        <v>2009</v>
      </c>
      <c r="C118" s="1215">
        <v>87.1</v>
      </c>
      <c r="D118" s="1215">
        <v>217.2</v>
      </c>
      <c r="E118" s="1228" t="str">
        <f>IF($A118&lt;DATE(2018,7,1),"-",INDEX(#REF!, MATCH(YEAR(EOMONTH($A118,6)),#REF!, 0)))</f>
        <v>-</v>
      </c>
      <c r="F118" s="1228" t="str">
        <f>IF($A118&lt;DATE(2018,7,1),"-",INDEX(#REF!, MATCH(YEAR(EOMONTH($A118,6)),#REF!, 0)))</f>
        <v>-</v>
      </c>
      <c r="G118" s="1229">
        <f t="shared" ref="G118:H133" si="13">IF(ISBLANK(C118),G117*((1+E118)^(1/12)),C118)</f>
        <v>87.1</v>
      </c>
      <c r="H118" s="1229">
        <f t="shared" si="13"/>
        <v>217.2</v>
      </c>
      <c r="I118" s="1230">
        <f t="shared" si="10"/>
        <v>217.2</v>
      </c>
      <c r="V118" s="1216"/>
    </row>
    <row r="119" spans="1:22">
      <c r="A119" s="1226">
        <f t="shared" si="9"/>
        <v>39721</v>
      </c>
      <c r="B119" s="1227">
        <f t="shared" si="7"/>
        <v>2009</v>
      </c>
      <c r="C119" s="1215">
        <v>87.5</v>
      </c>
      <c r="D119" s="1215">
        <v>218.4</v>
      </c>
      <c r="E119" s="1228" t="str">
        <f>IF($A119&lt;DATE(2018,7,1),"-",INDEX(#REF!, MATCH(YEAR(EOMONTH($A119,6)),#REF!, 0)))</f>
        <v>-</v>
      </c>
      <c r="F119" s="1228" t="str">
        <f>IF($A119&lt;DATE(2018,7,1),"-",INDEX(#REF!, MATCH(YEAR(EOMONTH($A119,6)),#REF!, 0)))</f>
        <v>-</v>
      </c>
      <c r="G119" s="1229">
        <f t="shared" si="13"/>
        <v>87.5</v>
      </c>
      <c r="H119" s="1229">
        <f t="shared" si="13"/>
        <v>218.4</v>
      </c>
      <c r="I119" s="1230">
        <f t="shared" si="10"/>
        <v>218.4</v>
      </c>
      <c r="V119" s="1216"/>
    </row>
    <row r="120" spans="1:22">
      <c r="A120" s="1226">
        <f t="shared" si="9"/>
        <v>39752</v>
      </c>
      <c r="B120" s="1227">
        <f t="shared" si="7"/>
        <v>2009</v>
      </c>
      <c r="C120" s="1215">
        <v>87.3</v>
      </c>
      <c r="D120" s="1215">
        <v>217.7</v>
      </c>
      <c r="E120" s="1228" t="str">
        <f>IF($A120&lt;DATE(2018,7,1),"-",INDEX(#REF!, MATCH(YEAR(EOMONTH($A120,6)),#REF!, 0)))</f>
        <v>-</v>
      </c>
      <c r="F120" s="1228" t="str">
        <f>IF($A120&lt;DATE(2018,7,1),"-",INDEX(#REF!, MATCH(YEAR(EOMONTH($A120,6)),#REF!, 0)))</f>
        <v>-</v>
      </c>
      <c r="G120" s="1229">
        <f t="shared" si="13"/>
        <v>87.3</v>
      </c>
      <c r="H120" s="1229">
        <f t="shared" si="13"/>
        <v>217.7</v>
      </c>
      <c r="I120" s="1230">
        <f t="shared" si="10"/>
        <v>217.7</v>
      </c>
      <c r="V120" s="1216"/>
    </row>
    <row r="121" spans="1:22">
      <c r="A121" s="1226">
        <f t="shared" si="9"/>
        <v>39782</v>
      </c>
      <c r="B121" s="1227">
        <f t="shared" si="7"/>
        <v>2009</v>
      </c>
      <c r="C121" s="1215">
        <v>87.3</v>
      </c>
      <c r="D121" s="1215">
        <v>216</v>
      </c>
      <c r="E121" s="1228" t="str">
        <f>IF($A121&lt;DATE(2018,7,1),"-",INDEX(#REF!, MATCH(YEAR(EOMONTH($A121,6)),#REF!, 0)))</f>
        <v>-</v>
      </c>
      <c r="F121" s="1228" t="str">
        <f>IF($A121&lt;DATE(2018,7,1),"-",INDEX(#REF!, MATCH(YEAR(EOMONTH($A121,6)),#REF!, 0)))</f>
        <v>-</v>
      </c>
      <c r="G121" s="1229">
        <f t="shared" si="13"/>
        <v>87.3</v>
      </c>
      <c r="H121" s="1229">
        <f t="shared" si="13"/>
        <v>216</v>
      </c>
      <c r="I121" s="1230">
        <f t="shared" si="10"/>
        <v>216</v>
      </c>
      <c r="V121" s="1216"/>
    </row>
    <row r="122" spans="1:22">
      <c r="A122" s="1226">
        <f t="shared" si="9"/>
        <v>39813</v>
      </c>
      <c r="B122" s="1227">
        <f t="shared" si="7"/>
        <v>2009</v>
      </c>
      <c r="C122" s="1215">
        <v>87.1</v>
      </c>
      <c r="D122" s="1215">
        <v>212.9</v>
      </c>
      <c r="E122" s="1228" t="str">
        <f>IF($A122&lt;DATE(2018,7,1),"-",INDEX(#REF!, MATCH(YEAR(EOMONTH($A122,6)),#REF!, 0)))</f>
        <v>-</v>
      </c>
      <c r="F122" s="1228" t="str">
        <f>IF($A122&lt;DATE(2018,7,1),"-",INDEX(#REF!, MATCH(YEAR(EOMONTH($A122,6)),#REF!, 0)))</f>
        <v>-</v>
      </c>
      <c r="G122" s="1229">
        <f t="shared" si="13"/>
        <v>87.1</v>
      </c>
      <c r="H122" s="1229">
        <f t="shared" si="13"/>
        <v>212.9</v>
      </c>
      <c r="I122" s="1230">
        <f t="shared" si="10"/>
        <v>212.9</v>
      </c>
      <c r="V122" s="1216"/>
    </row>
    <row r="123" spans="1:22">
      <c r="A123" s="1226">
        <f t="shared" si="9"/>
        <v>39844</v>
      </c>
      <c r="B123" s="1227">
        <f t="shared" si="7"/>
        <v>2009</v>
      </c>
      <c r="C123" s="1215">
        <v>86.6</v>
      </c>
      <c r="D123" s="1215">
        <v>210.1</v>
      </c>
      <c r="E123" s="1228" t="str">
        <f>IF($A123&lt;DATE(2018,7,1),"-",INDEX(#REF!, MATCH(YEAR(EOMONTH($A123,6)),#REF!, 0)))</f>
        <v>-</v>
      </c>
      <c r="F123" s="1228" t="str">
        <f>IF($A123&lt;DATE(2018,7,1),"-",INDEX(#REF!, MATCH(YEAR(EOMONTH($A123,6)),#REF!, 0)))</f>
        <v>-</v>
      </c>
      <c r="G123" s="1229">
        <f t="shared" si="13"/>
        <v>86.6</v>
      </c>
      <c r="H123" s="1229">
        <f t="shared" si="13"/>
        <v>210.1</v>
      </c>
      <c r="I123" s="1230">
        <f t="shared" si="10"/>
        <v>210.1</v>
      </c>
      <c r="V123" s="1216"/>
    </row>
    <row r="124" spans="1:22">
      <c r="A124" s="1226">
        <f t="shared" si="9"/>
        <v>39872</v>
      </c>
      <c r="B124" s="1227">
        <f t="shared" si="7"/>
        <v>2009</v>
      </c>
      <c r="C124" s="1215">
        <v>87.2</v>
      </c>
      <c r="D124" s="1215">
        <v>211.4</v>
      </c>
      <c r="E124" s="1228" t="str">
        <f>IF($A124&lt;DATE(2018,7,1),"-",INDEX(#REF!, MATCH(YEAR(EOMONTH($A124,6)),#REF!, 0)))</f>
        <v>-</v>
      </c>
      <c r="F124" s="1228" t="str">
        <f>IF($A124&lt;DATE(2018,7,1),"-",INDEX(#REF!, MATCH(YEAR(EOMONTH($A124,6)),#REF!, 0)))</f>
        <v>-</v>
      </c>
      <c r="G124" s="1229">
        <f t="shared" si="13"/>
        <v>87.2</v>
      </c>
      <c r="H124" s="1229">
        <f t="shared" si="13"/>
        <v>211.4</v>
      </c>
      <c r="I124" s="1230">
        <f t="shared" si="10"/>
        <v>211.4</v>
      </c>
      <c r="V124" s="1216"/>
    </row>
    <row r="125" spans="1:22">
      <c r="A125" s="1226">
        <f t="shared" si="9"/>
        <v>39903</v>
      </c>
      <c r="B125" s="1227">
        <f t="shared" si="7"/>
        <v>2009</v>
      </c>
      <c r="C125" s="1215">
        <v>87.3</v>
      </c>
      <c r="D125" s="1215">
        <v>211.3</v>
      </c>
      <c r="E125" s="1228" t="str">
        <f>IF($A125&lt;DATE(2018,7,1),"-",INDEX(#REF!, MATCH(YEAR(EOMONTH($A125,6)),#REF!, 0)))</f>
        <v>-</v>
      </c>
      <c r="F125" s="1228" t="str">
        <f>IF($A125&lt;DATE(2018,7,1),"-",INDEX(#REF!, MATCH(YEAR(EOMONTH($A125,6)),#REF!, 0)))</f>
        <v>-</v>
      </c>
      <c r="G125" s="1229">
        <f t="shared" si="13"/>
        <v>87.3</v>
      </c>
      <c r="H125" s="1229">
        <f t="shared" si="13"/>
        <v>211.3</v>
      </c>
      <c r="I125" s="1230">
        <f t="shared" si="10"/>
        <v>211.3</v>
      </c>
      <c r="V125" s="1216"/>
    </row>
    <row r="126" spans="1:22">
      <c r="A126" s="1226">
        <f t="shared" si="9"/>
        <v>39933</v>
      </c>
      <c r="B126" s="1227">
        <f t="shared" si="7"/>
        <v>2010</v>
      </c>
      <c r="C126" s="1215">
        <v>87.5</v>
      </c>
      <c r="D126" s="1215">
        <v>211.5</v>
      </c>
      <c r="E126" s="1228" t="str">
        <f>IF($A126&lt;DATE(2018,7,1),"-",INDEX(#REF!, MATCH(YEAR(EOMONTH($A126,6)),#REF!, 0)))</f>
        <v>-</v>
      </c>
      <c r="F126" s="1228" t="str">
        <f>IF($A126&lt;DATE(2018,7,1),"-",INDEX(#REF!, MATCH(YEAR(EOMONTH($A126,6)),#REF!, 0)))</f>
        <v>-</v>
      </c>
      <c r="G126" s="1229">
        <f t="shared" si="13"/>
        <v>87.5</v>
      </c>
      <c r="H126" s="1229">
        <f t="shared" si="13"/>
        <v>211.5</v>
      </c>
      <c r="I126" s="1230">
        <f t="shared" si="10"/>
        <v>211.5</v>
      </c>
      <c r="V126" s="1216"/>
    </row>
    <row r="127" spans="1:22">
      <c r="A127" s="1226">
        <f t="shared" si="9"/>
        <v>39964</v>
      </c>
      <c r="B127" s="1227">
        <f t="shared" si="7"/>
        <v>2010</v>
      </c>
      <c r="C127" s="1215">
        <v>87.9</v>
      </c>
      <c r="D127" s="1215">
        <v>212.8</v>
      </c>
      <c r="E127" s="1228" t="str">
        <f>IF($A127&lt;DATE(2018,7,1),"-",INDEX(#REF!, MATCH(YEAR(EOMONTH($A127,6)),#REF!, 0)))</f>
        <v>-</v>
      </c>
      <c r="F127" s="1228" t="str">
        <f>IF($A127&lt;DATE(2018,7,1),"-",INDEX(#REF!, MATCH(YEAR(EOMONTH($A127,6)),#REF!, 0)))</f>
        <v>-</v>
      </c>
      <c r="G127" s="1229">
        <f t="shared" si="13"/>
        <v>87.9</v>
      </c>
      <c r="H127" s="1229">
        <f t="shared" si="13"/>
        <v>212.8</v>
      </c>
      <c r="I127" s="1230">
        <f t="shared" si="10"/>
        <v>212.8</v>
      </c>
      <c r="V127" s="1216"/>
    </row>
    <row r="128" spans="1:22">
      <c r="A128" s="1226">
        <f t="shared" si="9"/>
        <v>39994</v>
      </c>
      <c r="B128" s="1227">
        <f t="shared" si="7"/>
        <v>2010</v>
      </c>
      <c r="C128" s="1215">
        <v>88.1</v>
      </c>
      <c r="D128" s="1215">
        <v>213.4</v>
      </c>
      <c r="E128" s="1228" t="str">
        <f>IF($A128&lt;DATE(2018,7,1),"-",INDEX(#REF!, MATCH(YEAR(EOMONTH($A128,6)),#REF!, 0)))</f>
        <v>-</v>
      </c>
      <c r="F128" s="1228" t="str">
        <f>IF($A128&lt;DATE(2018,7,1),"-",INDEX(#REF!, MATCH(YEAR(EOMONTH($A128,6)),#REF!, 0)))</f>
        <v>-</v>
      </c>
      <c r="G128" s="1229">
        <f t="shared" si="13"/>
        <v>88.1</v>
      </c>
      <c r="H128" s="1229">
        <f t="shared" si="13"/>
        <v>213.4</v>
      </c>
      <c r="I128" s="1230">
        <f t="shared" si="10"/>
        <v>213.4</v>
      </c>
      <c r="V128" s="1216"/>
    </row>
    <row r="129" spans="1:22">
      <c r="A129" s="1226">
        <f t="shared" si="9"/>
        <v>40025</v>
      </c>
      <c r="B129" s="1227">
        <f t="shared" si="7"/>
        <v>2010</v>
      </c>
      <c r="C129" s="1215">
        <v>88</v>
      </c>
      <c r="D129" s="1215">
        <v>213.4</v>
      </c>
      <c r="E129" s="1228" t="str">
        <f>IF($A129&lt;DATE(2018,7,1),"-",INDEX(#REF!, MATCH(YEAR(EOMONTH($A129,6)),#REF!, 0)))</f>
        <v>-</v>
      </c>
      <c r="F129" s="1228" t="str">
        <f>IF($A129&lt;DATE(2018,7,1),"-",INDEX(#REF!, MATCH(YEAR(EOMONTH($A129,6)),#REF!, 0)))</f>
        <v>-</v>
      </c>
      <c r="G129" s="1229">
        <f t="shared" si="13"/>
        <v>88</v>
      </c>
      <c r="H129" s="1229">
        <f t="shared" si="13"/>
        <v>213.4</v>
      </c>
      <c r="I129" s="1230">
        <f t="shared" si="10"/>
        <v>213.4</v>
      </c>
      <c r="V129" s="1216"/>
    </row>
    <row r="130" spans="1:22">
      <c r="A130" s="1226">
        <f t="shared" si="9"/>
        <v>40056</v>
      </c>
      <c r="B130" s="1227">
        <f t="shared" si="7"/>
        <v>2010</v>
      </c>
      <c r="C130" s="1215">
        <v>88.3</v>
      </c>
      <c r="D130" s="1215">
        <v>214.4</v>
      </c>
      <c r="E130" s="1228" t="str">
        <f>IF($A130&lt;DATE(2018,7,1),"-",INDEX(#REF!, MATCH(YEAR(EOMONTH($A130,6)),#REF!, 0)))</f>
        <v>-</v>
      </c>
      <c r="F130" s="1228" t="str">
        <f>IF($A130&lt;DATE(2018,7,1),"-",INDEX(#REF!, MATCH(YEAR(EOMONTH($A130,6)),#REF!, 0)))</f>
        <v>-</v>
      </c>
      <c r="G130" s="1229">
        <f t="shared" si="13"/>
        <v>88.3</v>
      </c>
      <c r="H130" s="1229">
        <f t="shared" si="13"/>
        <v>214.4</v>
      </c>
      <c r="I130" s="1230">
        <f t="shared" si="10"/>
        <v>214.4</v>
      </c>
      <c r="V130" s="1216"/>
    </row>
    <row r="131" spans="1:22">
      <c r="A131" s="1226">
        <f t="shared" si="9"/>
        <v>40086</v>
      </c>
      <c r="B131" s="1227">
        <f t="shared" si="7"/>
        <v>2010</v>
      </c>
      <c r="C131" s="1215">
        <v>88.3</v>
      </c>
      <c r="D131" s="1215">
        <v>215.3</v>
      </c>
      <c r="E131" s="1228" t="str">
        <f>IF($A131&lt;DATE(2018,7,1),"-",INDEX(#REF!, MATCH(YEAR(EOMONTH($A131,6)),#REF!, 0)))</f>
        <v>-</v>
      </c>
      <c r="F131" s="1228" t="str">
        <f>IF($A131&lt;DATE(2018,7,1),"-",INDEX(#REF!, MATCH(YEAR(EOMONTH($A131,6)),#REF!, 0)))</f>
        <v>-</v>
      </c>
      <c r="G131" s="1229">
        <f t="shared" si="13"/>
        <v>88.3</v>
      </c>
      <c r="H131" s="1229">
        <f t="shared" si="13"/>
        <v>215.3</v>
      </c>
      <c r="I131" s="1230">
        <f t="shared" si="10"/>
        <v>215.3</v>
      </c>
      <c r="V131" s="1216"/>
    </row>
    <row r="132" spans="1:22">
      <c r="A132" s="1226">
        <f t="shared" si="9"/>
        <v>40117</v>
      </c>
      <c r="B132" s="1227">
        <f t="shared" si="7"/>
        <v>2010</v>
      </c>
      <c r="C132" s="1215">
        <v>88.4</v>
      </c>
      <c r="D132" s="1215">
        <v>216</v>
      </c>
      <c r="E132" s="1228" t="str">
        <f>IF($A132&lt;DATE(2018,7,1),"-",INDEX(#REF!, MATCH(YEAR(EOMONTH($A132,6)),#REF!, 0)))</f>
        <v>-</v>
      </c>
      <c r="F132" s="1228" t="str">
        <f>IF($A132&lt;DATE(2018,7,1),"-",INDEX(#REF!, MATCH(YEAR(EOMONTH($A132,6)),#REF!, 0)))</f>
        <v>-</v>
      </c>
      <c r="G132" s="1229">
        <f t="shared" si="13"/>
        <v>88.4</v>
      </c>
      <c r="H132" s="1229">
        <f t="shared" si="13"/>
        <v>216</v>
      </c>
      <c r="I132" s="1230">
        <f t="shared" si="10"/>
        <v>216</v>
      </c>
      <c r="V132" s="1216"/>
    </row>
    <row r="133" spans="1:22">
      <c r="A133" s="1226">
        <f t="shared" si="9"/>
        <v>40147</v>
      </c>
      <c r="B133" s="1227">
        <f t="shared" si="7"/>
        <v>2010</v>
      </c>
      <c r="C133" s="1215">
        <v>88.6</v>
      </c>
      <c r="D133" s="1215">
        <v>216.6</v>
      </c>
      <c r="E133" s="1228" t="str">
        <f>IF($A133&lt;DATE(2018,7,1),"-",INDEX(#REF!, MATCH(YEAR(EOMONTH($A133,6)),#REF!, 0)))</f>
        <v>-</v>
      </c>
      <c r="F133" s="1228" t="str">
        <f>IF($A133&lt;DATE(2018,7,1),"-",INDEX(#REF!, MATCH(YEAR(EOMONTH($A133,6)),#REF!, 0)))</f>
        <v>-</v>
      </c>
      <c r="G133" s="1229">
        <f t="shared" si="13"/>
        <v>88.6</v>
      </c>
      <c r="H133" s="1229">
        <f t="shared" si="13"/>
        <v>216.6</v>
      </c>
      <c r="I133" s="1230">
        <f t="shared" si="10"/>
        <v>216.6</v>
      </c>
      <c r="V133" s="1216"/>
    </row>
    <row r="134" spans="1:22">
      <c r="A134" s="1226">
        <f t="shared" si="9"/>
        <v>40178</v>
      </c>
      <c r="B134" s="1227">
        <f t="shared" ref="B134:B197" si="14">IF(MONTH(A134)&gt;=4,YEAR(A134)+1,YEAR(A134))</f>
        <v>2010</v>
      </c>
      <c r="C134" s="1215">
        <v>88.9</v>
      </c>
      <c r="D134" s="1215">
        <v>218</v>
      </c>
      <c r="E134" s="1228" t="str">
        <f>IF($A134&lt;DATE(2018,7,1),"-",INDEX(#REF!, MATCH(YEAR(EOMONTH($A134,6)),#REF!, 0)))</f>
        <v>-</v>
      </c>
      <c r="F134" s="1228" t="str">
        <f>IF($A134&lt;DATE(2018,7,1),"-",INDEX(#REF!, MATCH(YEAR(EOMONTH($A134,6)),#REF!, 0)))</f>
        <v>-</v>
      </c>
      <c r="G134" s="1229">
        <f t="shared" ref="G134:H149" si="15">IF(ISBLANK(C134),G133*((1+E134)^(1/12)),C134)</f>
        <v>88.9</v>
      </c>
      <c r="H134" s="1229">
        <f t="shared" si="15"/>
        <v>218</v>
      </c>
      <c r="I134" s="1230">
        <f t="shared" si="10"/>
        <v>218</v>
      </c>
      <c r="V134" s="1216"/>
    </row>
    <row r="135" spans="1:22">
      <c r="A135" s="1226">
        <f t="shared" ref="A135:A198" si="16">IF(MONTH(A134) = 12, EOMONTH(DATE(YEAR(A134) + 1, 1, 1), 0), EOMONTH(DATE(YEAR(A134), MONTH(A134) + 1, 1), 0))</f>
        <v>40209</v>
      </c>
      <c r="B135" s="1227">
        <f t="shared" si="14"/>
        <v>2010</v>
      </c>
      <c r="C135" s="1215">
        <v>88.8</v>
      </c>
      <c r="D135" s="1215">
        <v>217.9</v>
      </c>
      <c r="E135" s="1228" t="str">
        <f>IF($A135&lt;DATE(2018,7,1),"-",INDEX(#REF!, MATCH(YEAR(EOMONTH($A135,6)),#REF!, 0)))</f>
        <v>-</v>
      </c>
      <c r="F135" s="1228" t="str">
        <f>IF($A135&lt;DATE(2018,7,1),"-",INDEX(#REF!, MATCH(YEAR(EOMONTH($A135,6)),#REF!, 0)))</f>
        <v>-</v>
      </c>
      <c r="G135" s="1229">
        <f t="shared" si="15"/>
        <v>88.8</v>
      </c>
      <c r="H135" s="1229">
        <f t="shared" si="15"/>
        <v>217.9</v>
      </c>
      <c r="I135" s="1230">
        <f t="shared" ref="I135:I198" si="17">IF($A135 &lt; DATE(2021, 4, 1), H135, IF($A135 = DATE(2021, 4, 30), I134 * ((0.5*G135/G134) + (0.5*H135/H134)),I134*(G135/G134)))</f>
        <v>217.9</v>
      </c>
      <c r="V135" s="1216"/>
    </row>
    <row r="136" spans="1:22">
      <c r="A136" s="1226">
        <f t="shared" si="16"/>
        <v>40237</v>
      </c>
      <c r="B136" s="1227">
        <f t="shared" si="14"/>
        <v>2010</v>
      </c>
      <c r="C136" s="1215">
        <v>89</v>
      </c>
      <c r="D136" s="1215">
        <v>219.2</v>
      </c>
      <c r="E136" s="1228" t="str">
        <f>IF($A136&lt;DATE(2018,7,1),"-",INDEX(#REF!, MATCH(YEAR(EOMONTH($A136,6)),#REF!, 0)))</f>
        <v>-</v>
      </c>
      <c r="F136" s="1228" t="str">
        <f>IF($A136&lt;DATE(2018,7,1),"-",INDEX(#REF!, MATCH(YEAR(EOMONTH($A136,6)),#REF!, 0)))</f>
        <v>-</v>
      </c>
      <c r="G136" s="1229">
        <f t="shared" si="15"/>
        <v>89</v>
      </c>
      <c r="H136" s="1229">
        <f t="shared" si="15"/>
        <v>219.2</v>
      </c>
      <c r="I136" s="1230">
        <f t="shared" si="17"/>
        <v>219.2</v>
      </c>
      <c r="V136" s="1216"/>
    </row>
    <row r="137" spans="1:22">
      <c r="A137" s="1226">
        <f t="shared" si="16"/>
        <v>40268</v>
      </c>
      <c r="B137" s="1227">
        <f t="shared" si="14"/>
        <v>2010</v>
      </c>
      <c r="C137" s="1215">
        <v>89.4</v>
      </c>
      <c r="D137" s="1215">
        <v>220.7</v>
      </c>
      <c r="E137" s="1228" t="str">
        <f>IF($A137&lt;DATE(2018,7,1),"-",INDEX(#REF!, MATCH(YEAR(EOMONTH($A137,6)),#REF!, 0)))</f>
        <v>-</v>
      </c>
      <c r="F137" s="1228" t="str">
        <f>IF($A137&lt;DATE(2018,7,1),"-",INDEX(#REF!, MATCH(YEAR(EOMONTH($A137,6)),#REF!, 0)))</f>
        <v>-</v>
      </c>
      <c r="G137" s="1229">
        <f t="shared" si="15"/>
        <v>89.4</v>
      </c>
      <c r="H137" s="1229">
        <f t="shared" si="15"/>
        <v>220.7</v>
      </c>
      <c r="I137" s="1230">
        <f t="shared" si="17"/>
        <v>220.7</v>
      </c>
      <c r="V137" s="1216"/>
    </row>
    <row r="138" spans="1:22">
      <c r="A138" s="1226">
        <f t="shared" si="16"/>
        <v>40298</v>
      </c>
      <c r="B138" s="1227">
        <f t="shared" si="14"/>
        <v>2011</v>
      </c>
      <c r="C138" s="1215">
        <v>89.9</v>
      </c>
      <c r="D138" s="1215">
        <v>222.8</v>
      </c>
      <c r="E138" s="1228" t="str">
        <f>IF($A138&lt;DATE(2018,7,1),"-",INDEX(#REF!, MATCH(YEAR(EOMONTH($A138,6)),#REF!, 0)))</f>
        <v>-</v>
      </c>
      <c r="F138" s="1228" t="str">
        <f>IF($A138&lt;DATE(2018,7,1),"-",INDEX(#REF!, MATCH(YEAR(EOMONTH($A138,6)),#REF!, 0)))</f>
        <v>-</v>
      </c>
      <c r="G138" s="1229">
        <f t="shared" si="15"/>
        <v>89.9</v>
      </c>
      <c r="H138" s="1229">
        <f t="shared" si="15"/>
        <v>222.8</v>
      </c>
      <c r="I138" s="1230">
        <f t="shared" si="17"/>
        <v>222.8</v>
      </c>
      <c r="V138" s="1216"/>
    </row>
    <row r="139" spans="1:22">
      <c r="A139" s="1226">
        <f t="shared" si="16"/>
        <v>40329</v>
      </c>
      <c r="B139" s="1227">
        <f t="shared" si="14"/>
        <v>2011</v>
      </c>
      <c r="C139" s="1215">
        <v>90.1</v>
      </c>
      <c r="D139" s="1215">
        <v>223.6</v>
      </c>
      <c r="E139" s="1228" t="str">
        <f>IF($A139&lt;DATE(2018,7,1),"-",INDEX(#REF!, MATCH(YEAR(EOMONTH($A139,6)),#REF!, 0)))</f>
        <v>-</v>
      </c>
      <c r="F139" s="1228" t="str">
        <f>IF($A139&lt;DATE(2018,7,1),"-",INDEX(#REF!, MATCH(YEAR(EOMONTH($A139,6)),#REF!, 0)))</f>
        <v>-</v>
      </c>
      <c r="G139" s="1229">
        <f t="shared" si="15"/>
        <v>90.1</v>
      </c>
      <c r="H139" s="1229">
        <f t="shared" si="15"/>
        <v>223.6</v>
      </c>
      <c r="I139" s="1230">
        <f t="shared" si="17"/>
        <v>223.6</v>
      </c>
      <c r="V139" s="1216"/>
    </row>
    <row r="140" spans="1:22">
      <c r="A140" s="1226">
        <f t="shared" si="16"/>
        <v>40359</v>
      </c>
      <c r="B140" s="1227">
        <f t="shared" si="14"/>
        <v>2011</v>
      </c>
      <c r="C140" s="1215">
        <v>90.2</v>
      </c>
      <c r="D140" s="1215">
        <v>224.1</v>
      </c>
      <c r="E140" s="1228" t="str">
        <f>IF($A140&lt;DATE(2018,7,1),"-",INDEX(#REF!, MATCH(YEAR(EOMONTH($A140,6)),#REF!, 0)))</f>
        <v>-</v>
      </c>
      <c r="F140" s="1228" t="str">
        <f>IF($A140&lt;DATE(2018,7,1),"-",INDEX(#REF!, MATCH(YEAR(EOMONTH($A140,6)),#REF!, 0)))</f>
        <v>-</v>
      </c>
      <c r="G140" s="1229">
        <f t="shared" si="15"/>
        <v>90.2</v>
      </c>
      <c r="H140" s="1229">
        <f t="shared" si="15"/>
        <v>224.1</v>
      </c>
      <c r="I140" s="1230">
        <f t="shared" si="17"/>
        <v>224.1</v>
      </c>
      <c r="V140" s="1216"/>
    </row>
    <row r="141" spans="1:22">
      <c r="A141" s="1226">
        <f t="shared" si="16"/>
        <v>40390</v>
      </c>
      <c r="B141" s="1227">
        <f t="shared" si="14"/>
        <v>2011</v>
      </c>
      <c r="C141" s="1215">
        <v>90</v>
      </c>
      <c r="D141" s="1215">
        <v>223.6</v>
      </c>
      <c r="E141" s="1228" t="str">
        <f>IF($A141&lt;DATE(2018,7,1),"-",INDEX(#REF!, MATCH(YEAR(EOMONTH($A141,6)),#REF!, 0)))</f>
        <v>-</v>
      </c>
      <c r="F141" s="1228" t="str">
        <f>IF($A141&lt;DATE(2018,7,1),"-",INDEX(#REF!, MATCH(YEAR(EOMONTH($A141,6)),#REF!, 0)))</f>
        <v>-</v>
      </c>
      <c r="G141" s="1229">
        <f t="shared" si="15"/>
        <v>90</v>
      </c>
      <c r="H141" s="1229">
        <f t="shared" si="15"/>
        <v>223.6</v>
      </c>
      <c r="I141" s="1230">
        <f t="shared" si="17"/>
        <v>223.6</v>
      </c>
      <c r="V141" s="1216"/>
    </row>
    <row r="142" spans="1:22">
      <c r="A142" s="1226">
        <f t="shared" si="16"/>
        <v>40421</v>
      </c>
      <c r="B142" s="1227">
        <f t="shared" si="14"/>
        <v>2011</v>
      </c>
      <c r="C142" s="1215">
        <v>90.4</v>
      </c>
      <c r="D142" s="1215">
        <v>224.5</v>
      </c>
      <c r="E142" s="1228" t="str">
        <f>IF($A142&lt;DATE(2018,7,1),"-",INDEX(#REF!, MATCH(YEAR(EOMONTH($A142,6)),#REF!, 0)))</f>
        <v>-</v>
      </c>
      <c r="F142" s="1228" t="str">
        <f>IF($A142&lt;DATE(2018,7,1),"-",INDEX(#REF!, MATCH(YEAR(EOMONTH($A142,6)),#REF!, 0)))</f>
        <v>-</v>
      </c>
      <c r="G142" s="1229">
        <f t="shared" si="15"/>
        <v>90.4</v>
      </c>
      <c r="H142" s="1229">
        <f t="shared" si="15"/>
        <v>224.5</v>
      </c>
      <c r="I142" s="1230">
        <f t="shared" si="17"/>
        <v>224.5</v>
      </c>
      <c r="V142" s="1216"/>
    </row>
    <row r="143" spans="1:22">
      <c r="A143" s="1226">
        <f t="shared" si="16"/>
        <v>40451</v>
      </c>
      <c r="B143" s="1227">
        <f t="shared" si="14"/>
        <v>2011</v>
      </c>
      <c r="C143" s="1215">
        <v>90.4</v>
      </c>
      <c r="D143" s="1215">
        <v>225.3</v>
      </c>
      <c r="E143" s="1228" t="str">
        <f>IF($A143&lt;DATE(2018,7,1),"-",INDEX(#REF!, MATCH(YEAR(EOMONTH($A143,6)),#REF!, 0)))</f>
        <v>-</v>
      </c>
      <c r="F143" s="1228" t="str">
        <f>IF($A143&lt;DATE(2018,7,1),"-",INDEX(#REF!, MATCH(YEAR(EOMONTH($A143,6)),#REF!, 0)))</f>
        <v>-</v>
      </c>
      <c r="G143" s="1229">
        <f t="shared" si="15"/>
        <v>90.4</v>
      </c>
      <c r="H143" s="1229">
        <f t="shared" si="15"/>
        <v>225.3</v>
      </c>
      <c r="I143" s="1230">
        <f t="shared" si="17"/>
        <v>225.3</v>
      </c>
      <c r="V143" s="1216"/>
    </row>
    <row r="144" spans="1:22">
      <c r="A144" s="1226">
        <f t="shared" si="16"/>
        <v>40482</v>
      </c>
      <c r="B144" s="1227">
        <f t="shared" si="14"/>
        <v>2011</v>
      </c>
      <c r="C144" s="1215">
        <v>90.6</v>
      </c>
      <c r="D144" s="1215">
        <v>225.8</v>
      </c>
      <c r="E144" s="1228" t="str">
        <f>IF($A144&lt;DATE(2018,7,1),"-",INDEX(#REF!, MATCH(YEAR(EOMONTH($A144,6)),#REF!, 0)))</f>
        <v>-</v>
      </c>
      <c r="F144" s="1228" t="str">
        <f>IF($A144&lt;DATE(2018,7,1),"-",INDEX(#REF!, MATCH(YEAR(EOMONTH($A144,6)),#REF!, 0)))</f>
        <v>-</v>
      </c>
      <c r="G144" s="1229">
        <f t="shared" si="15"/>
        <v>90.6</v>
      </c>
      <c r="H144" s="1229">
        <f t="shared" si="15"/>
        <v>225.8</v>
      </c>
      <c r="I144" s="1230">
        <f t="shared" si="17"/>
        <v>225.8</v>
      </c>
      <c r="V144" s="1216"/>
    </row>
    <row r="145" spans="1:22">
      <c r="A145" s="1226">
        <f t="shared" si="16"/>
        <v>40512</v>
      </c>
      <c r="B145" s="1227">
        <f t="shared" si="14"/>
        <v>2011</v>
      </c>
      <c r="C145" s="1215">
        <v>90.9</v>
      </c>
      <c r="D145" s="1215">
        <v>226.8</v>
      </c>
      <c r="E145" s="1228" t="str">
        <f>IF($A145&lt;DATE(2018,7,1),"-",INDEX(#REF!, MATCH(YEAR(EOMONTH($A145,6)),#REF!, 0)))</f>
        <v>-</v>
      </c>
      <c r="F145" s="1228" t="str">
        <f>IF($A145&lt;DATE(2018,7,1),"-",INDEX(#REF!, MATCH(YEAR(EOMONTH($A145,6)),#REF!, 0)))</f>
        <v>-</v>
      </c>
      <c r="G145" s="1229">
        <f t="shared" si="15"/>
        <v>90.9</v>
      </c>
      <c r="H145" s="1229">
        <f t="shared" si="15"/>
        <v>226.8</v>
      </c>
      <c r="I145" s="1230">
        <f t="shared" si="17"/>
        <v>226.8</v>
      </c>
      <c r="V145" s="1216"/>
    </row>
    <row r="146" spans="1:22">
      <c r="A146" s="1226">
        <f t="shared" si="16"/>
        <v>40543</v>
      </c>
      <c r="B146" s="1227">
        <f t="shared" si="14"/>
        <v>2011</v>
      </c>
      <c r="C146" s="1215">
        <v>91.7</v>
      </c>
      <c r="D146" s="1215">
        <v>228.4</v>
      </c>
      <c r="E146" s="1228" t="str">
        <f>IF($A146&lt;DATE(2018,7,1),"-",INDEX(#REF!, MATCH(YEAR(EOMONTH($A146,6)),#REF!, 0)))</f>
        <v>-</v>
      </c>
      <c r="F146" s="1228" t="str">
        <f>IF($A146&lt;DATE(2018,7,1),"-",INDEX(#REF!, MATCH(YEAR(EOMONTH($A146,6)),#REF!, 0)))</f>
        <v>-</v>
      </c>
      <c r="G146" s="1229">
        <f t="shared" si="15"/>
        <v>91.7</v>
      </c>
      <c r="H146" s="1229">
        <f t="shared" si="15"/>
        <v>228.4</v>
      </c>
      <c r="I146" s="1230">
        <f t="shared" si="17"/>
        <v>228.4</v>
      </c>
      <c r="V146" s="1216"/>
    </row>
    <row r="147" spans="1:22">
      <c r="A147" s="1226">
        <f t="shared" si="16"/>
        <v>40574</v>
      </c>
      <c r="B147" s="1227">
        <f t="shared" si="14"/>
        <v>2011</v>
      </c>
      <c r="C147" s="1215">
        <v>91.8</v>
      </c>
      <c r="D147" s="1215">
        <v>229</v>
      </c>
      <c r="E147" s="1228" t="str">
        <f>IF($A147&lt;DATE(2018,7,1),"-",INDEX(#REF!, MATCH(YEAR(EOMONTH($A147,6)),#REF!, 0)))</f>
        <v>-</v>
      </c>
      <c r="F147" s="1228" t="str">
        <f>IF($A147&lt;DATE(2018,7,1),"-",INDEX(#REF!, MATCH(YEAR(EOMONTH($A147,6)),#REF!, 0)))</f>
        <v>-</v>
      </c>
      <c r="G147" s="1229">
        <f t="shared" si="15"/>
        <v>91.8</v>
      </c>
      <c r="H147" s="1229">
        <f t="shared" si="15"/>
        <v>229</v>
      </c>
      <c r="I147" s="1230">
        <f t="shared" si="17"/>
        <v>229</v>
      </c>
      <c r="V147" s="1216"/>
    </row>
    <row r="148" spans="1:22">
      <c r="A148" s="1226">
        <f t="shared" si="16"/>
        <v>40602</v>
      </c>
      <c r="B148" s="1227">
        <f t="shared" si="14"/>
        <v>2011</v>
      </c>
      <c r="C148" s="1215">
        <v>92.3</v>
      </c>
      <c r="D148" s="1215">
        <v>231.3</v>
      </c>
      <c r="E148" s="1228" t="str">
        <f>IF($A148&lt;DATE(2018,7,1),"-",INDEX(#REF!, MATCH(YEAR(EOMONTH($A148,6)),#REF!, 0)))</f>
        <v>-</v>
      </c>
      <c r="F148" s="1228" t="str">
        <f>IF($A148&lt;DATE(2018,7,1),"-",INDEX(#REF!, MATCH(YEAR(EOMONTH($A148,6)),#REF!, 0)))</f>
        <v>-</v>
      </c>
      <c r="G148" s="1229">
        <f t="shared" si="15"/>
        <v>92.3</v>
      </c>
      <c r="H148" s="1229">
        <f t="shared" si="15"/>
        <v>231.3</v>
      </c>
      <c r="I148" s="1230">
        <f t="shared" si="17"/>
        <v>231.3</v>
      </c>
      <c r="V148" s="1216"/>
    </row>
    <row r="149" spans="1:22">
      <c r="A149" s="1226">
        <f t="shared" si="16"/>
        <v>40633</v>
      </c>
      <c r="B149" s="1227">
        <f t="shared" si="14"/>
        <v>2011</v>
      </c>
      <c r="C149" s="1215">
        <v>92.6</v>
      </c>
      <c r="D149" s="1215">
        <v>232.5</v>
      </c>
      <c r="E149" s="1228" t="str">
        <f>IF($A149&lt;DATE(2018,7,1),"-",INDEX(#REF!, MATCH(YEAR(EOMONTH($A149,6)),#REF!, 0)))</f>
        <v>-</v>
      </c>
      <c r="F149" s="1228" t="str">
        <f>IF($A149&lt;DATE(2018,7,1),"-",INDEX(#REF!, MATCH(YEAR(EOMONTH($A149,6)),#REF!, 0)))</f>
        <v>-</v>
      </c>
      <c r="G149" s="1229">
        <f t="shared" si="15"/>
        <v>92.6</v>
      </c>
      <c r="H149" s="1229">
        <f t="shared" si="15"/>
        <v>232.5</v>
      </c>
      <c r="I149" s="1230">
        <f t="shared" si="17"/>
        <v>232.5</v>
      </c>
      <c r="V149" s="1216"/>
    </row>
    <row r="150" spans="1:22">
      <c r="A150" s="1226">
        <f t="shared" si="16"/>
        <v>40663</v>
      </c>
      <c r="B150" s="1227">
        <f t="shared" si="14"/>
        <v>2012</v>
      </c>
      <c r="C150" s="1215">
        <v>93.3</v>
      </c>
      <c r="D150" s="1215">
        <v>234.4</v>
      </c>
      <c r="E150" s="1228" t="str">
        <f>IF($A150&lt;DATE(2018,7,1),"-",INDEX(#REF!, MATCH(YEAR(EOMONTH($A150,6)),#REF!, 0)))</f>
        <v>-</v>
      </c>
      <c r="F150" s="1228" t="str">
        <f>IF($A150&lt;DATE(2018,7,1),"-",INDEX(#REF!, MATCH(YEAR(EOMONTH($A150,6)),#REF!, 0)))</f>
        <v>-</v>
      </c>
      <c r="G150" s="1229">
        <f t="shared" ref="G150:H165" si="18">IF(ISBLANK(C150),G149*((1+E150)^(1/12)),C150)</f>
        <v>93.3</v>
      </c>
      <c r="H150" s="1229">
        <f t="shared" si="18"/>
        <v>234.4</v>
      </c>
      <c r="I150" s="1230">
        <f t="shared" si="17"/>
        <v>234.4</v>
      </c>
      <c r="V150" s="1216"/>
    </row>
    <row r="151" spans="1:22">
      <c r="A151" s="1226">
        <f t="shared" si="16"/>
        <v>40694</v>
      </c>
      <c r="B151" s="1227">
        <f t="shared" si="14"/>
        <v>2012</v>
      </c>
      <c r="C151" s="1215">
        <v>93.5</v>
      </c>
      <c r="D151" s="1215">
        <v>235.2</v>
      </c>
      <c r="E151" s="1228" t="str">
        <f>IF($A151&lt;DATE(2018,7,1),"-",INDEX(#REF!, MATCH(YEAR(EOMONTH($A151,6)),#REF!, 0)))</f>
        <v>-</v>
      </c>
      <c r="F151" s="1228" t="str">
        <f>IF($A151&lt;DATE(2018,7,1),"-",INDEX(#REF!, MATCH(YEAR(EOMONTH($A151,6)),#REF!, 0)))</f>
        <v>-</v>
      </c>
      <c r="G151" s="1229">
        <f t="shared" si="18"/>
        <v>93.5</v>
      </c>
      <c r="H151" s="1229">
        <f t="shared" si="18"/>
        <v>235.2</v>
      </c>
      <c r="I151" s="1230">
        <f t="shared" si="17"/>
        <v>235.2</v>
      </c>
      <c r="V151" s="1216"/>
    </row>
    <row r="152" spans="1:22">
      <c r="A152" s="1226">
        <f t="shared" si="16"/>
        <v>40724</v>
      </c>
      <c r="B152" s="1227">
        <f t="shared" si="14"/>
        <v>2012</v>
      </c>
      <c r="C152" s="1215">
        <v>93.5</v>
      </c>
      <c r="D152" s="1215">
        <v>235.2</v>
      </c>
      <c r="E152" s="1228" t="str">
        <f>IF($A152&lt;DATE(2018,7,1),"-",INDEX(#REF!, MATCH(YEAR(EOMONTH($A152,6)),#REF!, 0)))</f>
        <v>-</v>
      </c>
      <c r="F152" s="1228" t="str">
        <f>IF($A152&lt;DATE(2018,7,1),"-",INDEX(#REF!, MATCH(YEAR(EOMONTH($A152,6)),#REF!, 0)))</f>
        <v>-</v>
      </c>
      <c r="G152" s="1229">
        <f t="shared" si="18"/>
        <v>93.5</v>
      </c>
      <c r="H152" s="1229">
        <f t="shared" si="18"/>
        <v>235.2</v>
      </c>
      <c r="I152" s="1230">
        <f t="shared" si="17"/>
        <v>235.2</v>
      </c>
      <c r="V152" s="1216"/>
    </row>
    <row r="153" spans="1:22">
      <c r="A153" s="1226">
        <f t="shared" si="16"/>
        <v>40755</v>
      </c>
      <c r="B153" s="1227">
        <f t="shared" si="14"/>
        <v>2012</v>
      </c>
      <c r="C153" s="1215">
        <v>93.5</v>
      </c>
      <c r="D153" s="1215">
        <v>234.7</v>
      </c>
      <c r="E153" s="1228" t="str">
        <f>IF($A153&lt;DATE(2018,7,1),"-",INDEX(#REF!, MATCH(YEAR(EOMONTH($A153,6)),#REF!, 0)))</f>
        <v>-</v>
      </c>
      <c r="F153" s="1228" t="str">
        <f>IF($A153&lt;DATE(2018,7,1),"-",INDEX(#REF!, MATCH(YEAR(EOMONTH($A153,6)),#REF!, 0)))</f>
        <v>-</v>
      </c>
      <c r="G153" s="1229">
        <f t="shared" si="18"/>
        <v>93.5</v>
      </c>
      <c r="H153" s="1229">
        <f t="shared" si="18"/>
        <v>234.7</v>
      </c>
      <c r="I153" s="1230">
        <f t="shared" si="17"/>
        <v>234.7</v>
      </c>
      <c r="V153" s="1216"/>
    </row>
    <row r="154" spans="1:22">
      <c r="A154" s="1226">
        <f t="shared" si="16"/>
        <v>40786</v>
      </c>
      <c r="B154" s="1227">
        <f t="shared" si="14"/>
        <v>2012</v>
      </c>
      <c r="C154" s="1215">
        <v>93.9</v>
      </c>
      <c r="D154" s="1215">
        <v>236.1</v>
      </c>
      <c r="E154" s="1228" t="str">
        <f>IF($A154&lt;DATE(2018,7,1),"-",INDEX(#REF!, MATCH(YEAR(EOMONTH($A154,6)),#REF!, 0)))</f>
        <v>-</v>
      </c>
      <c r="F154" s="1228" t="str">
        <f>IF($A154&lt;DATE(2018,7,1),"-",INDEX(#REF!, MATCH(YEAR(EOMONTH($A154,6)),#REF!, 0)))</f>
        <v>-</v>
      </c>
      <c r="G154" s="1229">
        <f t="shared" si="18"/>
        <v>93.9</v>
      </c>
      <c r="H154" s="1229">
        <f t="shared" si="18"/>
        <v>236.1</v>
      </c>
      <c r="I154" s="1230">
        <f t="shared" si="17"/>
        <v>236.1</v>
      </c>
      <c r="V154" s="1216"/>
    </row>
    <row r="155" spans="1:22">
      <c r="A155" s="1226">
        <f t="shared" si="16"/>
        <v>40816</v>
      </c>
      <c r="B155" s="1227">
        <f t="shared" si="14"/>
        <v>2012</v>
      </c>
      <c r="C155" s="1215">
        <v>94.5</v>
      </c>
      <c r="D155" s="1215">
        <v>237.9</v>
      </c>
      <c r="E155" s="1228" t="str">
        <f>IF($A155&lt;DATE(2018,7,1),"-",INDEX(#REF!, MATCH(YEAR(EOMONTH($A155,6)),#REF!, 0)))</f>
        <v>-</v>
      </c>
      <c r="F155" s="1228" t="str">
        <f>IF($A155&lt;DATE(2018,7,1),"-",INDEX(#REF!, MATCH(YEAR(EOMONTH($A155,6)),#REF!, 0)))</f>
        <v>-</v>
      </c>
      <c r="G155" s="1229">
        <f t="shared" si="18"/>
        <v>94.5</v>
      </c>
      <c r="H155" s="1229">
        <f t="shared" si="18"/>
        <v>237.9</v>
      </c>
      <c r="I155" s="1230">
        <f t="shared" si="17"/>
        <v>237.9</v>
      </c>
      <c r="V155" s="1216"/>
    </row>
    <row r="156" spans="1:22">
      <c r="A156" s="1226">
        <f t="shared" si="16"/>
        <v>40847</v>
      </c>
      <c r="B156" s="1227">
        <f t="shared" si="14"/>
        <v>2012</v>
      </c>
      <c r="C156" s="1215">
        <v>94.5</v>
      </c>
      <c r="D156" s="1215">
        <v>238</v>
      </c>
      <c r="E156" s="1228" t="str">
        <f>IF($A156&lt;DATE(2018,7,1),"-",INDEX(#REF!, MATCH(YEAR(EOMONTH($A156,6)),#REF!, 0)))</f>
        <v>-</v>
      </c>
      <c r="F156" s="1228" t="str">
        <f>IF($A156&lt;DATE(2018,7,1),"-",INDEX(#REF!, MATCH(YEAR(EOMONTH($A156,6)),#REF!, 0)))</f>
        <v>-</v>
      </c>
      <c r="G156" s="1229">
        <f t="shared" si="18"/>
        <v>94.5</v>
      </c>
      <c r="H156" s="1229">
        <f t="shared" si="18"/>
        <v>238</v>
      </c>
      <c r="I156" s="1230">
        <f t="shared" si="17"/>
        <v>238</v>
      </c>
      <c r="V156" s="1216"/>
    </row>
    <row r="157" spans="1:22">
      <c r="A157" s="1226">
        <f t="shared" si="16"/>
        <v>40877</v>
      </c>
      <c r="B157" s="1227">
        <f t="shared" si="14"/>
        <v>2012</v>
      </c>
      <c r="C157" s="1215">
        <v>94.7</v>
      </c>
      <c r="D157" s="1215">
        <v>238.5</v>
      </c>
      <c r="E157" s="1228" t="str">
        <f>IF($A157&lt;DATE(2018,7,1),"-",INDEX(#REF!, MATCH(YEAR(EOMONTH($A157,6)),#REF!, 0)))</f>
        <v>-</v>
      </c>
      <c r="F157" s="1228" t="str">
        <f>IF($A157&lt;DATE(2018,7,1),"-",INDEX(#REF!, MATCH(YEAR(EOMONTH($A157,6)),#REF!, 0)))</f>
        <v>-</v>
      </c>
      <c r="G157" s="1229">
        <f t="shared" si="18"/>
        <v>94.7</v>
      </c>
      <c r="H157" s="1229">
        <f t="shared" si="18"/>
        <v>238.5</v>
      </c>
      <c r="I157" s="1230">
        <f t="shared" si="17"/>
        <v>238.5</v>
      </c>
      <c r="V157" s="1216"/>
    </row>
    <row r="158" spans="1:22">
      <c r="A158" s="1226">
        <f t="shared" si="16"/>
        <v>40908</v>
      </c>
      <c r="B158" s="1227">
        <f t="shared" si="14"/>
        <v>2012</v>
      </c>
      <c r="C158" s="1215">
        <v>95</v>
      </c>
      <c r="D158" s="1215">
        <v>239.4</v>
      </c>
      <c r="E158" s="1228" t="str">
        <f>IF($A158&lt;DATE(2018,7,1),"-",INDEX(#REF!, MATCH(YEAR(EOMONTH($A158,6)),#REF!, 0)))</f>
        <v>-</v>
      </c>
      <c r="F158" s="1228" t="str">
        <f>IF($A158&lt;DATE(2018,7,1),"-",INDEX(#REF!, MATCH(YEAR(EOMONTH($A158,6)),#REF!, 0)))</f>
        <v>-</v>
      </c>
      <c r="G158" s="1229">
        <f t="shared" si="18"/>
        <v>95</v>
      </c>
      <c r="H158" s="1229">
        <f t="shared" si="18"/>
        <v>239.4</v>
      </c>
      <c r="I158" s="1230">
        <f t="shared" si="17"/>
        <v>239.4</v>
      </c>
      <c r="V158" s="1216"/>
    </row>
    <row r="159" spans="1:22">
      <c r="A159" s="1226">
        <f t="shared" si="16"/>
        <v>40939</v>
      </c>
      <c r="B159" s="1227">
        <f t="shared" si="14"/>
        <v>2012</v>
      </c>
      <c r="C159" s="1215">
        <v>94.7</v>
      </c>
      <c r="D159" s="1215">
        <v>238</v>
      </c>
      <c r="E159" s="1228" t="str">
        <f>IF($A159&lt;DATE(2018,7,1),"-",INDEX(#REF!, MATCH(YEAR(EOMONTH($A159,6)),#REF!, 0)))</f>
        <v>-</v>
      </c>
      <c r="F159" s="1228" t="str">
        <f>IF($A159&lt;DATE(2018,7,1),"-",INDEX(#REF!, MATCH(YEAR(EOMONTH($A159,6)),#REF!, 0)))</f>
        <v>-</v>
      </c>
      <c r="G159" s="1229">
        <f t="shared" si="18"/>
        <v>94.7</v>
      </c>
      <c r="H159" s="1229">
        <f t="shared" si="18"/>
        <v>238</v>
      </c>
      <c r="I159" s="1230">
        <f t="shared" si="17"/>
        <v>238</v>
      </c>
      <c r="V159" s="1216"/>
    </row>
    <row r="160" spans="1:22">
      <c r="A160" s="1226">
        <f t="shared" si="16"/>
        <v>40968</v>
      </c>
      <c r="B160" s="1227">
        <f t="shared" si="14"/>
        <v>2012</v>
      </c>
      <c r="C160" s="1215">
        <v>95.2</v>
      </c>
      <c r="D160" s="1215">
        <v>239.9</v>
      </c>
      <c r="E160" s="1228" t="str">
        <f>IF($A160&lt;DATE(2018,7,1),"-",INDEX(#REF!, MATCH(YEAR(EOMONTH($A160,6)),#REF!, 0)))</f>
        <v>-</v>
      </c>
      <c r="F160" s="1228" t="str">
        <f>IF($A160&lt;DATE(2018,7,1),"-",INDEX(#REF!, MATCH(YEAR(EOMONTH($A160,6)),#REF!, 0)))</f>
        <v>-</v>
      </c>
      <c r="G160" s="1229">
        <f t="shared" si="18"/>
        <v>95.2</v>
      </c>
      <c r="H160" s="1229">
        <f t="shared" si="18"/>
        <v>239.9</v>
      </c>
      <c r="I160" s="1230">
        <f t="shared" si="17"/>
        <v>239.9</v>
      </c>
      <c r="V160" s="1216"/>
    </row>
    <row r="161" spans="1:22">
      <c r="A161" s="1226">
        <f t="shared" si="16"/>
        <v>40999</v>
      </c>
      <c r="B161" s="1227">
        <f t="shared" si="14"/>
        <v>2012</v>
      </c>
      <c r="C161" s="1215">
        <v>95.4</v>
      </c>
      <c r="D161" s="1215">
        <v>240.8</v>
      </c>
      <c r="E161" s="1228" t="str">
        <f>IF($A161&lt;DATE(2018,7,1),"-",INDEX(#REF!, MATCH(YEAR(EOMONTH($A161,6)),#REF!, 0)))</f>
        <v>-</v>
      </c>
      <c r="F161" s="1228" t="str">
        <f>IF($A161&lt;DATE(2018,7,1),"-",INDEX(#REF!, MATCH(YEAR(EOMONTH($A161,6)),#REF!, 0)))</f>
        <v>-</v>
      </c>
      <c r="G161" s="1229">
        <f t="shared" si="18"/>
        <v>95.4</v>
      </c>
      <c r="H161" s="1229">
        <f t="shared" si="18"/>
        <v>240.8</v>
      </c>
      <c r="I161" s="1230">
        <f t="shared" si="17"/>
        <v>240.8</v>
      </c>
      <c r="V161" s="1216"/>
    </row>
    <row r="162" spans="1:22">
      <c r="A162" s="1226">
        <f t="shared" si="16"/>
        <v>41029</v>
      </c>
      <c r="B162" s="1227">
        <f t="shared" si="14"/>
        <v>2013</v>
      </c>
      <c r="C162" s="1215">
        <v>95.9</v>
      </c>
      <c r="D162" s="1215">
        <v>242.5</v>
      </c>
      <c r="E162" s="1228" t="str">
        <f>IF($A162&lt;DATE(2018,7,1),"-",INDEX(#REF!, MATCH(YEAR(EOMONTH($A162,6)),#REF!, 0)))</f>
        <v>-</v>
      </c>
      <c r="F162" s="1228" t="str">
        <f>IF($A162&lt;DATE(2018,7,1),"-",INDEX(#REF!, MATCH(YEAR(EOMONTH($A162,6)),#REF!, 0)))</f>
        <v>-</v>
      </c>
      <c r="G162" s="1229">
        <f t="shared" si="18"/>
        <v>95.9</v>
      </c>
      <c r="H162" s="1229">
        <f t="shared" si="18"/>
        <v>242.5</v>
      </c>
      <c r="I162" s="1230">
        <f t="shared" si="17"/>
        <v>242.5</v>
      </c>
      <c r="V162" s="1216"/>
    </row>
    <row r="163" spans="1:22">
      <c r="A163" s="1226">
        <f t="shared" si="16"/>
        <v>41060</v>
      </c>
      <c r="B163" s="1227">
        <f t="shared" si="14"/>
        <v>2013</v>
      </c>
      <c r="C163" s="1215">
        <v>95.9</v>
      </c>
      <c r="D163" s="1215">
        <v>242.4</v>
      </c>
      <c r="E163" s="1228" t="str">
        <f>IF($A163&lt;DATE(2018,7,1),"-",INDEX(#REF!, MATCH(YEAR(EOMONTH($A163,6)),#REF!, 0)))</f>
        <v>-</v>
      </c>
      <c r="F163" s="1228" t="str">
        <f>IF($A163&lt;DATE(2018,7,1),"-",INDEX(#REF!, MATCH(YEAR(EOMONTH($A163,6)),#REF!, 0)))</f>
        <v>-</v>
      </c>
      <c r="G163" s="1229">
        <f t="shared" si="18"/>
        <v>95.9</v>
      </c>
      <c r="H163" s="1229">
        <f t="shared" si="18"/>
        <v>242.4</v>
      </c>
      <c r="I163" s="1230">
        <f t="shared" si="17"/>
        <v>242.4</v>
      </c>
      <c r="V163" s="1216"/>
    </row>
    <row r="164" spans="1:22">
      <c r="A164" s="1226">
        <f t="shared" si="16"/>
        <v>41090</v>
      </c>
      <c r="B164" s="1227">
        <f t="shared" si="14"/>
        <v>2013</v>
      </c>
      <c r="C164" s="1215">
        <v>95.6</v>
      </c>
      <c r="D164" s="1215">
        <v>241.8</v>
      </c>
      <c r="E164" s="1228" t="str">
        <f>IF($A164&lt;DATE(2018,7,1),"-",INDEX(#REF!, MATCH(YEAR(EOMONTH($A164,6)),#REF!, 0)))</f>
        <v>-</v>
      </c>
      <c r="F164" s="1228" t="str">
        <f>IF($A164&lt;DATE(2018,7,1),"-",INDEX(#REF!, MATCH(YEAR(EOMONTH($A164,6)),#REF!, 0)))</f>
        <v>-</v>
      </c>
      <c r="G164" s="1229">
        <f t="shared" si="18"/>
        <v>95.6</v>
      </c>
      <c r="H164" s="1229">
        <f t="shared" si="18"/>
        <v>241.8</v>
      </c>
      <c r="I164" s="1230">
        <f t="shared" si="17"/>
        <v>241.8</v>
      </c>
      <c r="V164" s="1216"/>
    </row>
    <row r="165" spans="1:22">
      <c r="A165" s="1226">
        <f t="shared" si="16"/>
        <v>41121</v>
      </c>
      <c r="B165" s="1227">
        <f t="shared" si="14"/>
        <v>2013</v>
      </c>
      <c r="C165" s="1215">
        <v>95.7</v>
      </c>
      <c r="D165" s="1215">
        <v>242.1</v>
      </c>
      <c r="E165" s="1228" t="str">
        <f>IF($A165&lt;DATE(2018,7,1),"-",INDEX(#REF!, MATCH(YEAR(EOMONTH($A165,6)),#REF!, 0)))</f>
        <v>-</v>
      </c>
      <c r="F165" s="1228" t="str">
        <f>IF($A165&lt;DATE(2018,7,1),"-",INDEX(#REF!, MATCH(YEAR(EOMONTH($A165,6)),#REF!, 0)))</f>
        <v>-</v>
      </c>
      <c r="G165" s="1229">
        <f t="shared" si="18"/>
        <v>95.7</v>
      </c>
      <c r="H165" s="1229">
        <f t="shared" si="18"/>
        <v>242.1</v>
      </c>
      <c r="I165" s="1230">
        <f t="shared" si="17"/>
        <v>242.1</v>
      </c>
      <c r="V165" s="1216"/>
    </row>
    <row r="166" spans="1:22">
      <c r="A166" s="1226">
        <f t="shared" si="16"/>
        <v>41152</v>
      </c>
      <c r="B166" s="1227">
        <f t="shared" si="14"/>
        <v>2013</v>
      </c>
      <c r="C166" s="1215">
        <v>96.1</v>
      </c>
      <c r="D166" s="1215">
        <v>243</v>
      </c>
      <c r="E166" s="1228" t="str">
        <f>IF($A166&lt;DATE(2018,7,1),"-",INDEX(#REF!, MATCH(YEAR(EOMONTH($A166,6)),#REF!, 0)))</f>
        <v>-</v>
      </c>
      <c r="F166" s="1228" t="str">
        <f>IF($A166&lt;DATE(2018,7,1),"-",INDEX(#REF!, MATCH(YEAR(EOMONTH($A166,6)),#REF!, 0)))</f>
        <v>-</v>
      </c>
      <c r="G166" s="1229">
        <f t="shared" ref="G166:H181" si="19">IF(ISBLANK(C166),G165*((1+E166)^(1/12)),C166)</f>
        <v>96.1</v>
      </c>
      <c r="H166" s="1229">
        <f t="shared" si="19"/>
        <v>243</v>
      </c>
      <c r="I166" s="1230">
        <f t="shared" si="17"/>
        <v>243</v>
      </c>
      <c r="V166" s="1216"/>
    </row>
    <row r="167" spans="1:22">
      <c r="A167" s="1226">
        <f t="shared" si="16"/>
        <v>41182</v>
      </c>
      <c r="B167" s="1227">
        <f t="shared" si="14"/>
        <v>2013</v>
      </c>
      <c r="C167" s="1215">
        <v>96.4</v>
      </c>
      <c r="D167" s="1215">
        <v>244.2</v>
      </c>
      <c r="E167" s="1228" t="str">
        <f>IF($A167&lt;DATE(2018,7,1),"-",INDEX(#REF!, MATCH(YEAR(EOMONTH($A167,6)),#REF!, 0)))</f>
        <v>-</v>
      </c>
      <c r="F167" s="1228" t="str">
        <f>IF($A167&lt;DATE(2018,7,1),"-",INDEX(#REF!, MATCH(YEAR(EOMONTH($A167,6)),#REF!, 0)))</f>
        <v>-</v>
      </c>
      <c r="G167" s="1229">
        <f t="shared" si="19"/>
        <v>96.4</v>
      </c>
      <c r="H167" s="1229">
        <f t="shared" si="19"/>
        <v>244.2</v>
      </c>
      <c r="I167" s="1230">
        <f t="shared" si="17"/>
        <v>244.2</v>
      </c>
      <c r="V167" s="1216"/>
    </row>
    <row r="168" spans="1:22">
      <c r="A168" s="1226">
        <f t="shared" si="16"/>
        <v>41213</v>
      </c>
      <c r="B168" s="1227">
        <f t="shared" si="14"/>
        <v>2013</v>
      </c>
      <c r="C168" s="1215">
        <v>96.8</v>
      </c>
      <c r="D168" s="1215">
        <v>245.6</v>
      </c>
      <c r="E168" s="1228" t="str">
        <f>IF($A168&lt;DATE(2018,7,1),"-",INDEX(#REF!, MATCH(YEAR(EOMONTH($A168,6)),#REF!, 0)))</f>
        <v>-</v>
      </c>
      <c r="F168" s="1228" t="str">
        <f>IF($A168&lt;DATE(2018,7,1),"-",INDEX(#REF!, MATCH(YEAR(EOMONTH($A168,6)),#REF!, 0)))</f>
        <v>-</v>
      </c>
      <c r="G168" s="1229">
        <f t="shared" si="19"/>
        <v>96.8</v>
      </c>
      <c r="H168" s="1229">
        <f t="shared" si="19"/>
        <v>245.6</v>
      </c>
      <c r="I168" s="1230">
        <f t="shared" si="17"/>
        <v>245.6</v>
      </c>
      <c r="V168" s="1216"/>
    </row>
    <row r="169" spans="1:22">
      <c r="A169" s="1226">
        <f t="shared" si="16"/>
        <v>41243</v>
      </c>
      <c r="B169" s="1227">
        <f t="shared" si="14"/>
        <v>2013</v>
      </c>
      <c r="C169" s="1215">
        <v>97</v>
      </c>
      <c r="D169" s="1215">
        <v>245.6</v>
      </c>
      <c r="E169" s="1228" t="str">
        <f>IF($A169&lt;DATE(2018,7,1),"-",INDEX(#REF!, MATCH(YEAR(EOMONTH($A169,6)),#REF!, 0)))</f>
        <v>-</v>
      </c>
      <c r="F169" s="1228" t="str">
        <f>IF($A169&lt;DATE(2018,7,1),"-",INDEX(#REF!, MATCH(YEAR(EOMONTH($A169,6)),#REF!, 0)))</f>
        <v>-</v>
      </c>
      <c r="G169" s="1229">
        <f t="shared" si="19"/>
        <v>97</v>
      </c>
      <c r="H169" s="1229">
        <f t="shared" si="19"/>
        <v>245.6</v>
      </c>
      <c r="I169" s="1230">
        <f t="shared" si="17"/>
        <v>245.6</v>
      </c>
      <c r="V169" s="1216"/>
    </row>
    <row r="170" spans="1:22">
      <c r="A170" s="1226">
        <f t="shared" si="16"/>
        <v>41274</v>
      </c>
      <c r="B170" s="1227">
        <f t="shared" si="14"/>
        <v>2013</v>
      </c>
      <c r="C170" s="1215">
        <v>97.3</v>
      </c>
      <c r="D170" s="1215">
        <v>246.8</v>
      </c>
      <c r="E170" s="1228" t="str">
        <f>IF($A170&lt;DATE(2018,7,1),"-",INDEX(#REF!, MATCH(YEAR(EOMONTH($A170,6)),#REF!, 0)))</f>
        <v>-</v>
      </c>
      <c r="F170" s="1228" t="str">
        <f>IF($A170&lt;DATE(2018,7,1),"-",INDEX(#REF!, MATCH(YEAR(EOMONTH($A170,6)),#REF!, 0)))</f>
        <v>-</v>
      </c>
      <c r="G170" s="1229">
        <f t="shared" si="19"/>
        <v>97.3</v>
      </c>
      <c r="H170" s="1229">
        <f t="shared" si="19"/>
        <v>246.8</v>
      </c>
      <c r="I170" s="1230">
        <f t="shared" si="17"/>
        <v>246.8</v>
      </c>
      <c r="V170" s="1216"/>
    </row>
    <row r="171" spans="1:22">
      <c r="A171" s="1226">
        <f t="shared" si="16"/>
        <v>41305</v>
      </c>
      <c r="B171" s="1227">
        <f t="shared" si="14"/>
        <v>2013</v>
      </c>
      <c r="C171" s="1215">
        <v>97</v>
      </c>
      <c r="D171" s="1215">
        <v>245.8</v>
      </c>
      <c r="E171" s="1228" t="str">
        <f>IF($A171&lt;DATE(2018,7,1),"-",INDEX(#REF!, MATCH(YEAR(EOMONTH($A171,6)),#REF!, 0)))</f>
        <v>-</v>
      </c>
      <c r="F171" s="1228" t="str">
        <f>IF($A171&lt;DATE(2018,7,1),"-",INDEX(#REF!, MATCH(YEAR(EOMONTH($A171,6)),#REF!, 0)))</f>
        <v>-</v>
      </c>
      <c r="G171" s="1229">
        <f t="shared" si="19"/>
        <v>97</v>
      </c>
      <c r="H171" s="1229">
        <f t="shared" si="19"/>
        <v>245.8</v>
      </c>
      <c r="I171" s="1230">
        <f t="shared" si="17"/>
        <v>245.8</v>
      </c>
      <c r="V171" s="1216"/>
    </row>
    <row r="172" spans="1:22">
      <c r="A172" s="1226">
        <f t="shared" si="16"/>
        <v>41333</v>
      </c>
      <c r="B172" s="1227">
        <f t="shared" si="14"/>
        <v>2013</v>
      </c>
      <c r="C172" s="1215">
        <v>97.5</v>
      </c>
      <c r="D172" s="1215">
        <v>247.6</v>
      </c>
      <c r="E172" s="1228" t="str">
        <f>IF($A172&lt;DATE(2018,7,1),"-",INDEX(#REF!, MATCH(YEAR(EOMONTH($A172,6)),#REF!, 0)))</f>
        <v>-</v>
      </c>
      <c r="F172" s="1228" t="str">
        <f>IF($A172&lt;DATE(2018,7,1),"-",INDEX(#REF!, MATCH(YEAR(EOMONTH($A172,6)),#REF!, 0)))</f>
        <v>-</v>
      </c>
      <c r="G172" s="1229">
        <f t="shared" si="19"/>
        <v>97.5</v>
      </c>
      <c r="H172" s="1229">
        <f t="shared" si="19"/>
        <v>247.6</v>
      </c>
      <c r="I172" s="1230">
        <f t="shared" si="17"/>
        <v>247.6</v>
      </c>
      <c r="V172" s="1216"/>
    </row>
    <row r="173" spans="1:22">
      <c r="A173" s="1226">
        <f t="shared" si="16"/>
        <v>41364</v>
      </c>
      <c r="B173" s="1227">
        <f t="shared" si="14"/>
        <v>2013</v>
      </c>
      <c r="C173" s="1215">
        <v>97.8</v>
      </c>
      <c r="D173" s="1215">
        <v>248.7</v>
      </c>
      <c r="E173" s="1228" t="str">
        <f>IF($A173&lt;DATE(2018,7,1),"-",INDEX(#REF!, MATCH(YEAR(EOMONTH($A173,6)),#REF!, 0)))</f>
        <v>-</v>
      </c>
      <c r="F173" s="1228" t="str">
        <f>IF($A173&lt;DATE(2018,7,1),"-",INDEX(#REF!, MATCH(YEAR(EOMONTH($A173,6)),#REF!, 0)))</f>
        <v>-</v>
      </c>
      <c r="G173" s="1229">
        <f t="shared" si="19"/>
        <v>97.8</v>
      </c>
      <c r="H173" s="1229">
        <f t="shared" si="19"/>
        <v>248.7</v>
      </c>
      <c r="I173" s="1230">
        <f t="shared" si="17"/>
        <v>248.7</v>
      </c>
      <c r="V173" s="1216"/>
    </row>
    <row r="174" spans="1:22">
      <c r="A174" s="1226">
        <f t="shared" si="16"/>
        <v>41394</v>
      </c>
      <c r="B174" s="1227">
        <f t="shared" si="14"/>
        <v>2014</v>
      </c>
      <c r="C174" s="1215">
        <v>98</v>
      </c>
      <c r="D174" s="1215">
        <v>249.5</v>
      </c>
      <c r="E174" s="1228" t="str">
        <f>IF($A174&lt;DATE(2018,7,1),"-",INDEX(#REF!, MATCH(YEAR(EOMONTH($A174,6)),#REF!, 0)))</f>
        <v>-</v>
      </c>
      <c r="F174" s="1228" t="str">
        <f>IF($A174&lt;DATE(2018,7,1),"-",INDEX(#REF!, MATCH(YEAR(EOMONTH($A174,6)),#REF!, 0)))</f>
        <v>-</v>
      </c>
      <c r="G174" s="1229">
        <f t="shared" si="19"/>
        <v>98</v>
      </c>
      <c r="H174" s="1229">
        <f t="shared" si="19"/>
        <v>249.5</v>
      </c>
      <c r="I174" s="1230">
        <f t="shared" si="17"/>
        <v>249.5</v>
      </c>
      <c r="V174" s="1216"/>
    </row>
    <row r="175" spans="1:22">
      <c r="A175" s="1226">
        <f t="shared" si="16"/>
        <v>41425</v>
      </c>
      <c r="B175" s="1227">
        <f t="shared" si="14"/>
        <v>2014</v>
      </c>
      <c r="C175" s="1215">
        <v>98.2</v>
      </c>
      <c r="D175" s="1215">
        <v>250</v>
      </c>
      <c r="E175" s="1228" t="str">
        <f>IF($A175&lt;DATE(2018,7,1),"-",INDEX(#REF!, MATCH(YEAR(EOMONTH($A175,6)),#REF!, 0)))</f>
        <v>-</v>
      </c>
      <c r="F175" s="1228" t="str">
        <f>IF($A175&lt;DATE(2018,7,1),"-",INDEX(#REF!, MATCH(YEAR(EOMONTH($A175,6)),#REF!, 0)))</f>
        <v>-</v>
      </c>
      <c r="G175" s="1229">
        <f t="shared" si="19"/>
        <v>98.2</v>
      </c>
      <c r="H175" s="1229">
        <f t="shared" si="19"/>
        <v>250</v>
      </c>
      <c r="I175" s="1230">
        <f t="shared" si="17"/>
        <v>250</v>
      </c>
      <c r="V175" s="1216"/>
    </row>
    <row r="176" spans="1:22">
      <c r="A176" s="1226">
        <f t="shared" si="16"/>
        <v>41455</v>
      </c>
      <c r="B176" s="1227">
        <f t="shared" si="14"/>
        <v>2014</v>
      </c>
      <c r="C176" s="1215">
        <v>98</v>
      </c>
      <c r="D176" s="1215">
        <v>249.7</v>
      </c>
      <c r="E176" s="1228" t="str">
        <f>IF($A176&lt;DATE(2018,7,1),"-",INDEX(#REF!, MATCH(YEAR(EOMONTH($A176,6)),#REF!, 0)))</f>
        <v>-</v>
      </c>
      <c r="F176" s="1228" t="str">
        <f>IF($A176&lt;DATE(2018,7,1),"-",INDEX(#REF!, MATCH(YEAR(EOMONTH($A176,6)),#REF!, 0)))</f>
        <v>-</v>
      </c>
      <c r="G176" s="1229">
        <f t="shared" si="19"/>
        <v>98</v>
      </c>
      <c r="H176" s="1229">
        <f t="shared" si="19"/>
        <v>249.7</v>
      </c>
      <c r="I176" s="1230">
        <f t="shared" si="17"/>
        <v>249.7</v>
      </c>
      <c r="V176" s="1216"/>
    </row>
    <row r="177" spans="1:22">
      <c r="A177" s="1226">
        <f t="shared" si="16"/>
        <v>41486</v>
      </c>
      <c r="B177" s="1227">
        <f t="shared" si="14"/>
        <v>2014</v>
      </c>
      <c r="C177" s="1215">
        <v>98</v>
      </c>
      <c r="D177" s="1215">
        <v>249.7</v>
      </c>
      <c r="E177" s="1228" t="str">
        <f>IF($A177&lt;DATE(2018,7,1),"-",INDEX(#REF!, MATCH(YEAR(EOMONTH($A177,6)),#REF!, 0)))</f>
        <v>-</v>
      </c>
      <c r="F177" s="1228" t="str">
        <f>IF($A177&lt;DATE(2018,7,1),"-",INDEX(#REF!, MATCH(YEAR(EOMONTH($A177,6)),#REF!, 0)))</f>
        <v>-</v>
      </c>
      <c r="G177" s="1229">
        <f t="shared" si="19"/>
        <v>98</v>
      </c>
      <c r="H177" s="1229">
        <f t="shared" si="19"/>
        <v>249.7</v>
      </c>
      <c r="I177" s="1230">
        <f t="shared" si="17"/>
        <v>249.7</v>
      </c>
      <c r="V177" s="1216"/>
    </row>
    <row r="178" spans="1:22">
      <c r="A178" s="1226">
        <f t="shared" si="16"/>
        <v>41517</v>
      </c>
      <c r="B178" s="1227">
        <f t="shared" si="14"/>
        <v>2014</v>
      </c>
      <c r="C178" s="1215">
        <v>98.4</v>
      </c>
      <c r="D178" s="1215">
        <v>251</v>
      </c>
      <c r="E178" s="1228" t="str">
        <f>IF($A178&lt;DATE(2018,7,1),"-",INDEX(#REF!, MATCH(YEAR(EOMONTH($A178,6)),#REF!, 0)))</f>
        <v>-</v>
      </c>
      <c r="F178" s="1228" t="str">
        <f>IF($A178&lt;DATE(2018,7,1),"-",INDEX(#REF!, MATCH(YEAR(EOMONTH($A178,6)),#REF!, 0)))</f>
        <v>-</v>
      </c>
      <c r="G178" s="1229">
        <f t="shared" si="19"/>
        <v>98.4</v>
      </c>
      <c r="H178" s="1229">
        <f t="shared" si="19"/>
        <v>251</v>
      </c>
      <c r="I178" s="1230">
        <f t="shared" si="17"/>
        <v>251</v>
      </c>
      <c r="V178" s="1216"/>
    </row>
    <row r="179" spans="1:22">
      <c r="A179" s="1226">
        <f t="shared" si="16"/>
        <v>41547</v>
      </c>
      <c r="B179" s="1227">
        <f t="shared" si="14"/>
        <v>2014</v>
      </c>
      <c r="C179" s="1215">
        <v>98.7</v>
      </c>
      <c r="D179" s="1215">
        <v>251.9</v>
      </c>
      <c r="E179" s="1228" t="str">
        <f>IF($A179&lt;DATE(2018,7,1),"-",INDEX(#REF!, MATCH(YEAR(EOMONTH($A179,6)),#REF!, 0)))</f>
        <v>-</v>
      </c>
      <c r="F179" s="1228" t="str">
        <f>IF($A179&lt;DATE(2018,7,1),"-",INDEX(#REF!, MATCH(YEAR(EOMONTH($A179,6)),#REF!, 0)))</f>
        <v>-</v>
      </c>
      <c r="G179" s="1229">
        <f t="shared" si="19"/>
        <v>98.7</v>
      </c>
      <c r="H179" s="1229">
        <f t="shared" si="19"/>
        <v>251.9</v>
      </c>
      <c r="I179" s="1230">
        <f t="shared" si="17"/>
        <v>251.9</v>
      </c>
      <c r="V179" s="1216"/>
    </row>
    <row r="180" spans="1:22">
      <c r="A180" s="1226">
        <f t="shared" si="16"/>
        <v>41578</v>
      </c>
      <c r="B180" s="1227">
        <f t="shared" si="14"/>
        <v>2014</v>
      </c>
      <c r="C180" s="1215">
        <v>98.8</v>
      </c>
      <c r="D180" s="1215">
        <v>251.9</v>
      </c>
      <c r="E180" s="1228" t="str">
        <f>IF($A180&lt;DATE(2018,7,1),"-",INDEX(#REF!, MATCH(YEAR(EOMONTH($A180,6)),#REF!, 0)))</f>
        <v>-</v>
      </c>
      <c r="F180" s="1228" t="str">
        <f>IF($A180&lt;DATE(2018,7,1),"-",INDEX(#REF!, MATCH(YEAR(EOMONTH($A180,6)),#REF!, 0)))</f>
        <v>-</v>
      </c>
      <c r="G180" s="1229">
        <f t="shared" si="19"/>
        <v>98.8</v>
      </c>
      <c r="H180" s="1229">
        <f t="shared" si="19"/>
        <v>251.9</v>
      </c>
      <c r="I180" s="1230">
        <f t="shared" si="17"/>
        <v>251.9</v>
      </c>
      <c r="V180" s="1216"/>
    </row>
    <row r="181" spans="1:22">
      <c r="A181" s="1226">
        <f t="shared" si="16"/>
        <v>41608</v>
      </c>
      <c r="B181" s="1227">
        <f t="shared" si="14"/>
        <v>2014</v>
      </c>
      <c r="C181" s="1215">
        <v>98.8</v>
      </c>
      <c r="D181" s="1215">
        <v>252.1</v>
      </c>
      <c r="E181" s="1228" t="str">
        <f>IF($A181&lt;DATE(2018,7,1),"-",INDEX(#REF!, MATCH(YEAR(EOMONTH($A181,6)),#REF!, 0)))</f>
        <v>-</v>
      </c>
      <c r="F181" s="1228" t="str">
        <f>IF($A181&lt;DATE(2018,7,1),"-",INDEX(#REF!, MATCH(YEAR(EOMONTH($A181,6)),#REF!, 0)))</f>
        <v>-</v>
      </c>
      <c r="G181" s="1229">
        <f t="shared" si="19"/>
        <v>98.8</v>
      </c>
      <c r="H181" s="1229">
        <f t="shared" si="19"/>
        <v>252.1</v>
      </c>
      <c r="I181" s="1230">
        <f t="shared" si="17"/>
        <v>252.1</v>
      </c>
      <c r="V181" s="1216"/>
    </row>
    <row r="182" spans="1:22">
      <c r="A182" s="1226">
        <f t="shared" si="16"/>
        <v>41639</v>
      </c>
      <c r="B182" s="1227">
        <f t="shared" si="14"/>
        <v>2014</v>
      </c>
      <c r="C182" s="1215">
        <v>99.2</v>
      </c>
      <c r="D182" s="1215">
        <v>253.4</v>
      </c>
      <c r="E182" s="1228" t="str">
        <f>IF($A182&lt;DATE(2018,7,1),"-",INDEX(#REF!, MATCH(YEAR(EOMONTH($A182,6)),#REF!, 0)))</f>
        <v>-</v>
      </c>
      <c r="F182" s="1228" t="str">
        <f>IF($A182&lt;DATE(2018,7,1),"-",INDEX(#REF!, MATCH(YEAR(EOMONTH($A182,6)),#REF!, 0)))</f>
        <v>-</v>
      </c>
      <c r="G182" s="1229">
        <f t="shared" ref="G182:H197" si="20">IF(ISBLANK(C182),G181*((1+E182)^(1/12)),C182)</f>
        <v>99.2</v>
      </c>
      <c r="H182" s="1229">
        <f t="shared" si="20"/>
        <v>253.4</v>
      </c>
      <c r="I182" s="1230">
        <f t="shared" si="17"/>
        <v>253.4</v>
      </c>
      <c r="V182" s="1216"/>
    </row>
    <row r="183" spans="1:22">
      <c r="A183" s="1226">
        <f t="shared" si="16"/>
        <v>41670</v>
      </c>
      <c r="B183" s="1227">
        <f t="shared" si="14"/>
        <v>2014</v>
      </c>
      <c r="C183" s="1215">
        <v>98.7</v>
      </c>
      <c r="D183" s="1215">
        <v>252.6</v>
      </c>
      <c r="E183" s="1228" t="str">
        <f>IF($A183&lt;DATE(2018,7,1),"-",INDEX(#REF!, MATCH(YEAR(EOMONTH($A183,6)),#REF!, 0)))</f>
        <v>-</v>
      </c>
      <c r="F183" s="1228" t="str">
        <f>IF($A183&lt;DATE(2018,7,1),"-",INDEX(#REF!, MATCH(YEAR(EOMONTH($A183,6)),#REF!, 0)))</f>
        <v>-</v>
      </c>
      <c r="G183" s="1229">
        <f t="shared" si="20"/>
        <v>98.7</v>
      </c>
      <c r="H183" s="1229">
        <f t="shared" si="20"/>
        <v>252.6</v>
      </c>
      <c r="I183" s="1230">
        <f t="shared" si="17"/>
        <v>252.6</v>
      </c>
      <c r="V183" s="1216"/>
    </row>
    <row r="184" spans="1:22">
      <c r="A184" s="1226">
        <f t="shared" si="16"/>
        <v>41698</v>
      </c>
      <c r="B184" s="1227">
        <f t="shared" si="14"/>
        <v>2014</v>
      </c>
      <c r="C184" s="1215">
        <v>99.1</v>
      </c>
      <c r="D184" s="1215">
        <v>254.2</v>
      </c>
      <c r="E184" s="1228" t="str">
        <f>IF($A184&lt;DATE(2018,7,1),"-",INDEX(#REF!, MATCH(YEAR(EOMONTH($A184,6)),#REF!, 0)))</f>
        <v>-</v>
      </c>
      <c r="F184" s="1228" t="str">
        <f>IF($A184&lt;DATE(2018,7,1),"-",INDEX(#REF!, MATCH(YEAR(EOMONTH($A184,6)),#REF!, 0)))</f>
        <v>-</v>
      </c>
      <c r="G184" s="1229">
        <f t="shared" si="20"/>
        <v>99.1</v>
      </c>
      <c r="H184" s="1229">
        <f t="shared" si="20"/>
        <v>254.2</v>
      </c>
      <c r="I184" s="1230">
        <f t="shared" si="17"/>
        <v>254.2</v>
      </c>
      <c r="V184" s="1216"/>
    </row>
    <row r="185" spans="1:22">
      <c r="A185" s="1226">
        <f t="shared" si="16"/>
        <v>41729</v>
      </c>
      <c r="B185" s="1227">
        <f t="shared" si="14"/>
        <v>2014</v>
      </c>
      <c r="C185" s="1215">
        <v>99.3</v>
      </c>
      <c r="D185" s="1215">
        <v>254.8</v>
      </c>
      <c r="E185" s="1228" t="str">
        <f>IF($A185&lt;DATE(2018,7,1),"-",INDEX(#REF!, MATCH(YEAR(EOMONTH($A185,6)),#REF!, 0)))</f>
        <v>-</v>
      </c>
      <c r="F185" s="1228" t="str">
        <f>IF($A185&lt;DATE(2018,7,1),"-",INDEX(#REF!, MATCH(YEAR(EOMONTH($A185,6)),#REF!, 0)))</f>
        <v>-</v>
      </c>
      <c r="G185" s="1229">
        <f t="shared" si="20"/>
        <v>99.3</v>
      </c>
      <c r="H185" s="1229">
        <f t="shared" si="20"/>
        <v>254.8</v>
      </c>
      <c r="I185" s="1230">
        <f t="shared" si="17"/>
        <v>254.8</v>
      </c>
      <c r="V185" s="1216"/>
    </row>
    <row r="186" spans="1:22">
      <c r="A186" s="1226">
        <f t="shared" si="16"/>
        <v>41759</v>
      </c>
      <c r="B186" s="1227">
        <f t="shared" si="14"/>
        <v>2015</v>
      </c>
      <c r="C186" s="1215">
        <v>99.6</v>
      </c>
      <c r="D186" s="1215">
        <v>255.7</v>
      </c>
      <c r="E186" s="1228" t="str">
        <f>IF($A186&lt;DATE(2018,7,1),"-",INDEX(#REF!, MATCH(YEAR(EOMONTH($A186,6)),#REF!, 0)))</f>
        <v>-</v>
      </c>
      <c r="F186" s="1228" t="str">
        <f>IF($A186&lt;DATE(2018,7,1),"-",INDEX(#REF!, MATCH(YEAR(EOMONTH($A186,6)),#REF!, 0)))</f>
        <v>-</v>
      </c>
      <c r="G186" s="1229">
        <f t="shared" si="20"/>
        <v>99.6</v>
      </c>
      <c r="H186" s="1229">
        <f t="shared" si="20"/>
        <v>255.7</v>
      </c>
      <c r="I186" s="1230">
        <f t="shared" si="17"/>
        <v>255.7</v>
      </c>
      <c r="V186" s="1216"/>
    </row>
    <row r="187" spans="1:22">
      <c r="A187" s="1226">
        <f t="shared" si="16"/>
        <v>41790</v>
      </c>
      <c r="B187" s="1227">
        <f t="shared" si="14"/>
        <v>2015</v>
      </c>
      <c r="C187" s="1215">
        <v>99.6</v>
      </c>
      <c r="D187" s="1215">
        <v>255.9</v>
      </c>
      <c r="E187" s="1228" t="str">
        <f>IF($A187&lt;DATE(2018,7,1),"-",INDEX(#REF!, MATCH(YEAR(EOMONTH($A187,6)),#REF!, 0)))</f>
        <v>-</v>
      </c>
      <c r="F187" s="1228" t="str">
        <f>IF($A187&lt;DATE(2018,7,1),"-",INDEX(#REF!, MATCH(YEAR(EOMONTH($A187,6)),#REF!, 0)))</f>
        <v>-</v>
      </c>
      <c r="G187" s="1229">
        <f t="shared" si="20"/>
        <v>99.6</v>
      </c>
      <c r="H187" s="1229">
        <f t="shared" si="20"/>
        <v>255.9</v>
      </c>
      <c r="I187" s="1230">
        <f t="shared" si="17"/>
        <v>255.9</v>
      </c>
      <c r="V187" s="1216"/>
    </row>
    <row r="188" spans="1:22">
      <c r="A188" s="1226">
        <f t="shared" si="16"/>
        <v>41820</v>
      </c>
      <c r="B188" s="1227">
        <f t="shared" si="14"/>
        <v>2015</v>
      </c>
      <c r="C188" s="1215">
        <v>99.8</v>
      </c>
      <c r="D188" s="1215">
        <v>256.3</v>
      </c>
      <c r="E188" s="1228" t="str">
        <f>IF($A188&lt;DATE(2018,7,1),"-",INDEX(#REF!, MATCH(YEAR(EOMONTH($A188,6)),#REF!, 0)))</f>
        <v>-</v>
      </c>
      <c r="F188" s="1228" t="str">
        <f>IF($A188&lt;DATE(2018,7,1),"-",INDEX(#REF!, MATCH(YEAR(EOMONTH($A188,6)),#REF!, 0)))</f>
        <v>-</v>
      </c>
      <c r="G188" s="1229">
        <f t="shared" si="20"/>
        <v>99.8</v>
      </c>
      <c r="H188" s="1229">
        <f t="shared" si="20"/>
        <v>256.3</v>
      </c>
      <c r="I188" s="1230">
        <f t="shared" si="17"/>
        <v>256.3</v>
      </c>
      <c r="V188" s="1216"/>
    </row>
    <row r="189" spans="1:22">
      <c r="A189" s="1226">
        <f t="shared" si="16"/>
        <v>41851</v>
      </c>
      <c r="B189" s="1227">
        <f t="shared" si="14"/>
        <v>2015</v>
      </c>
      <c r="C189" s="1215">
        <v>99.6</v>
      </c>
      <c r="D189" s="1215">
        <v>256</v>
      </c>
      <c r="E189" s="1228" t="str">
        <f>IF($A189&lt;DATE(2018,7,1),"-",INDEX(#REF!, MATCH(YEAR(EOMONTH($A189,6)),#REF!, 0)))</f>
        <v>-</v>
      </c>
      <c r="F189" s="1228" t="str">
        <f>IF($A189&lt;DATE(2018,7,1),"-",INDEX(#REF!, MATCH(YEAR(EOMONTH($A189,6)),#REF!, 0)))</f>
        <v>-</v>
      </c>
      <c r="G189" s="1229">
        <f t="shared" si="20"/>
        <v>99.6</v>
      </c>
      <c r="H189" s="1229">
        <f t="shared" si="20"/>
        <v>256</v>
      </c>
      <c r="I189" s="1230">
        <f t="shared" si="17"/>
        <v>256</v>
      </c>
      <c r="V189" s="1216"/>
    </row>
    <row r="190" spans="1:22">
      <c r="A190" s="1226">
        <f t="shared" si="16"/>
        <v>41882</v>
      </c>
      <c r="B190" s="1227">
        <f t="shared" si="14"/>
        <v>2015</v>
      </c>
      <c r="C190" s="1215">
        <v>99.9</v>
      </c>
      <c r="D190" s="1215">
        <v>257</v>
      </c>
      <c r="E190" s="1228" t="str">
        <f>IF($A190&lt;DATE(2018,7,1),"-",INDEX(#REF!, MATCH(YEAR(EOMONTH($A190,6)),#REF!, 0)))</f>
        <v>-</v>
      </c>
      <c r="F190" s="1228" t="str">
        <f>IF($A190&lt;DATE(2018,7,1),"-",INDEX(#REF!, MATCH(YEAR(EOMONTH($A190,6)),#REF!, 0)))</f>
        <v>-</v>
      </c>
      <c r="G190" s="1229">
        <f t="shared" si="20"/>
        <v>99.9</v>
      </c>
      <c r="H190" s="1229">
        <f t="shared" si="20"/>
        <v>257</v>
      </c>
      <c r="I190" s="1230">
        <f t="shared" si="17"/>
        <v>257</v>
      </c>
      <c r="V190" s="1216"/>
    </row>
    <row r="191" spans="1:22">
      <c r="A191" s="1226">
        <f t="shared" si="16"/>
        <v>41912</v>
      </c>
      <c r="B191" s="1227">
        <f t="shared" si="14"/>
        <v>2015</v>
      </c>
      <c r="C191" s="1215">
        <v>100</v>
      </c>
      <c r="D191" s="1215">
        <v>257.60000000000002</v>
      </c>
      <c r="E191" s="1228" t="str">
        <f>IF($A191&lt;DATE(2018,7,1),"-",INDEX(#REF!, MATCH(YEAR(EOMONTH($A191,6)),#REF!, 0)))</f>
        <v>-</v>
      </c>
      <c r="F191" s="1228" t="str">
        <f>IF($A191&lt;DATE(2018,7,1),"-",INDEX(#REF!, MATCH(YEAR(EOMONTH($A191,6)),#REF!, 0)))</f>
        <v>-</v>
      </c>
      <c r="G191" s="1229">
        <f t="shared" si="20"/>
        <v>100</v>
      </c>
      <c r="H191" s="1229">
        <f t="shared" si="20"/>
        <v>257.60000000000002</v>
      </c>
      <c r="I191" s="1230">
        <f t="shared" si="17"/>
        <v>257.60000000000002</v>
      </c>
      <c r="V191" s="1216"/>
    </row>
    <row r="192" spans="1:22">
      <c r="A192" s="1226">
        <f t="shared" si="16"/>
        <v>41943</v>
      </c>
      <c r="B192" s="1227">
        <f t="shared" si="14"/>
        <v>2015</v>
      </c>
      <c r="C192" s="1215">
        <v>100.1</v>
      </c>
      <c r="D192" s="1215">
        <v>257.7</v>
      </c>
      <c r="E192" s="1228" t="str">
        <f>IF($A192&lt;DATE(2018,7,1),"-",INDEX(#REF!, MATCH(YEAR(EOMONTH($A192,6)),#REF!, 0)))</f>
        <v>-</v>
      </c>
      <c r="F192" s="1228" t="str">
        <f>IF($A192&lt;DATE(2018,7,1),"-",INDEX(#REF!, MATCH(YEAR(EOMONTH($A192,6)),#REF!, 0)))</f>
        <v>-</v>
      </c>
      <c r="G192" s="1229">
        <f t="shared" si="20"/>
        <v>100.1</v>
      </c>
      <c r="H192" s="1229">
        <f t="shared" si="20"/>
        <v>257.7</v>
      </c>
      <c r="I192" s="1230">
        <f t="shared" si="17"/>
        <v>257.7</v>
      </c>
      <c r="V192" s="1216"/>
    </row>
    <row r="193" spans="1:22">
      <c r="A193" s="1226">
        <f t="shared" si="16"/>
        <v>41973</v>
      </c>
      <c r="B193" s="1227">
        <f t="shared" si="14"/>
        <v>2015</v>
      </c>
      <c r="C193" s="1215">
        <v>99.9</v>
      </c>
      <c r="D193" s="1215">
        <v>257.10000000000002</v>
      </c>
      <c r="E193" s="1228" t="str">
        <f>IF($A193&lt;DATE(2018,7,1),"-",INDEX(#REF!, MATCH(YEAR(EOMONTH($A193,6)),#REF!, 0)))</f>
        <v>-</v>
      </c>
      <c r="F193" s="1228" t="str">
        <f>IF($A193&lt;DATE(2018,7,1),"-",INDEX(#REF!, MATCH(YEAR(EOMONTH($A193,6)),#REF!, 0)))</f>
        <v>-</v>
      </c>
      <c r="G193" s="1229">
        <f t="shared" si="20"/>
        <v>99.9</v>
      </c>
      <c r="H193" s="1229">
        <f t="shared" si="20"/>
        <v>257.10000000000002</v>
      </c>
      <c r="I193" s="1230">
        <f t="shared" si="17"/>
        <v>257.10000000000002</v>
      </c>
      <c r="V193" s="1216"/>
    </row>
    <row r="194" spans="1:22">
      <c r="A194" s="1226">
        <f t="shared" si="16"/>
        <v>42004</v>
      </c>
      <c r="B194" s="1227">
        <f t="shared" si="14"/>
        <v>2015</v>
      </c>
      <c r="C194" s="1215">
        <v>99.9</v>
      </c>
      <c r="D194" s="1215">
        <v>257.5</v>
      </c>
      <c r="E194" s="1228" t="str">
        <f>IF($A194&lt;DATE(2018,7,1),"-",INDEX(#REF!, MATCH(YEAR(EOMONTH($A194,6)),#REF!, 0)))</f>
        <v>-</v>
      </c>
      <c r="F194" s="1228" t="str">
        <f>IF($A194&lt;DATE(2018,7,1),"-",INDEX(#REF!, MATCH(YEAR(EOMONTH($A194,6)),#REF!, 0)))</f>
        <v>-</v>
      </c>
      <c r="G194" s="1229">
        <f t="shared" si="20"/>
        <v>99.9</v>
      </c>
      <c r="H194" s="1229">
        <f t="shared" si="20"/>
        <v>257.5</v>
      </c>
      <c r="I194" s="1230">
        <f t="shared" si="17"/>
        <v>257.5</v>
      </c>
      <c r="V194" s="1216"/>
    </row>
    <row r="195" spans="1:22">
      <c r="A195" s="1226">
        <f t="shared" si="16"/>
        <v>42035</v>
      </c>
      <c r="B195" s="1227">
        <f t="shared" si="14"/>
        <v>2015</v>
      </c>
      <c r="C195" s="1215">
        <v>99.2</v>
      </c>
      <c r="D195" s="1215">
        <v>255.4</v>
      </c>
      <c r="E195" s="1228" t="str">
        <f>IF($A195&lt;DATE(2018,7,1),"-",INDEX(#REF!, MATCH(YEAR(EOMONTH($A195,6)),#REF!, 0)))</f>
        <v>-</v>
      </c>
      <c r="F195" s="1228" t="str">
        <f>IF($A195&lt;DATE(2018,7,1),"-",INDEX(#REF!, MATCH(YEAR(EOMONTH($A195,6)),#REF!, 0)))</f>
        <v>-</v>
      </c>
      <c r="G195" s="1229">
        <f t="shared" si="20"/>
        <v>99.2</v>
      </c>
      <c r="H195" s="1229">
        <f t="shared" si="20"/>
        <v>255.4</v>
      </c>
      <c r="I195" s="1230">
        <f t="shared" si="17"/>
        <v>255.4</v>
      </c>
      <c r="V195" s="1216"/>
    </row>
    <row r="196" spans="1:22">
      <c r="A196" s="1226">
        <f t="shared" si="16"/>
        <v>42063</v>
      </c>
      <c r="B196" s="1227">
        <f t="shared" si="14"/>
        <v>2015</v>
      </c>
      <c r="C196" s="1215">
        <v>99.5</v>
      </c>
      <c r="D196" s="1215">
        <v>256.7</v>
      </c>
      <c r="E196" s="1228" t="str">
        <f>IF($A196&lt;DATE(2018,7,1),"-",INDEX(#REF!, MATCH(YEAR(EOMONTH($A196,6)),#REF!, 0)))</f>
        <v>-</v>
      </c>
      <c r="F196" s="1228" t="str">
        <f>IF($A196&lt;DATE(2018,7,1),"-",INDEX(#REF!, MATCH(YEAR(EOMONTH($A196,6)),#REF!, 0)))</f>
        <v>-</v>
      </c>
      <c r="G196" s="1229">
        <f t="shared" si="20"/>
        <v>99.5</v>
      </c>
      <c r="H196" s="1229">
        <f t="shared" si="20"/>
        <v>256.7</v>
      </c>
      <c r="I196" s="1230">
        <f t="shared" si="17"/>
        <v>256.7</v>
      </c>
      <c r="V196" s="1216"/>
    </row>
    <row r="197" spans="1:22">
      <c r="A197" s="1226">
        <f t="shared" si="16"/>
        <v>42094</v>
      </c>
      <c r="B197" s="1227">
        <f t="shared" si="14"/>
        <v>2015</v>
      </c>
      <c r="C197" s="1215">
        <v>99.6</v>
      </c>
      <c r="D197" s="1215">
        <v>257.10000000000002</v>
      </c>
      <c r="E197" s="1228" t="str">
        <f>IF($A197&lt;DATE(2018,7,1),"-",INDEX(#REF!, MATCH(YEAR(EOMONTH($A197,6)),#REF!, 0)))</f>
        <v>-</v>
      </c>
      <c r="F197" s="1228" t="str">
        <f>IF($A197&lt;DATE(2018,7,1),"-",INDEX(#REF!, MATCH(YEAR(EOMONTH($A197,6)),#REF!, 0)))</f>
        <v>-</v>
      </c>
      <c r="G197" s="1229">
        <f t="shared" si="20"/>
        <v>99.6</v>
      </c>
      <c r="H197" s="1229">
        <f t="shared" si="20"/>
        <v>257.10000000000002</v>
      </c>
      <c r="I197" s="1230">
        <f t="shared" si="17"/>
        <v>257.10000000000002</v>
      </c>
      <c r="V197" s="1216"/>
    </row>
    <row r="198" spans="1:22">
      <c r="A198" s="1226">
        <f t="shared" si="16"/>
        <v>42124</v>
      </c>
      <c r="B198" s="1227">
        <f t="shared" ref="B198:B261" si="21">IF(MONTH(A198)&gt;=4,YEAR(A198)+1,YEAR(A198))</f>
        <v>2016</v>
      </c>
      <c r="C198" s="1215">
        <v>99.9</v>
      </c>
      <c r="D198" s="1215">
        <v>258</v>
      </c>
      <c r="E198" s="1228" t="str">
        <f>IF($A198&lt;DATE(2018,7,1),"-",INDEX(#REF!, MATCH(YEAR(EOMONTH($A198,6)),#REF!, 0)))</f>
        <v>-</v>
      </c>
      <c r="F198" s="1228" t="str">
        <f>IF($A198&lt;DATE(2018,7,1),"-",INDEX(#REF!, MATCH(YEAR(EOMONTH($A198,6)),#REF!, 0)))</f>
        <v>-</v>
      </c>
      <c r="G198" s="1229">
        <f t="shared" ref="G198:H213" si="22">IF(ISBLANK(C198),G197*((1+E198)^(1/12)),C198)</f>
        <v>99.9</v>
      </c>
      <c r="H198" s="1229">
        <f t="shared" si="22"/>
        <v>258</v>
      </c>
      <c r="I198" s="1230">
        <f t="shared" si="17"/>
        <v>258</v>
      </c>
      <c r="V198" s="1216"/>
    </row>
    <row r="199" spans="1:22">
      <c r="A199" s="1226">
        <f t="shared" ref="A199:A262" si="23">IF(MONTH(A198) = 12, EOMONTH(DATE(YEAR(A198) + 1, 1, 1), 0), EOMONTH(DATE(YEAR(A198), MONTH(A198) + 1, 1), 0))</f>
        <v>42155</v>
      </c>
      <c r="B199" s="1227">
        <f t="shared" si="21"/>
        <v>2016</v>
      </c>
      <c r="C199" s="1215">
        <v>100.1</v>
      </c>
      <c r="D199" s="1215">
        <v>258.5</v>
      </c>
      <c r="E199" s="1228" t="str">
        <f>IF($A199&lt;DATE(2018,7,1),"-",INDEX(#REF!, MATCH(YEAR(EOMONTH($A199,6)),#REF!, 0)))</f>
        <v>-</v>
      </c>
      <c r="F199" s="1228" t="str">
        <f>IF($A199&lt;DATE(2018,7,1),"-",INDEX(#REF!, MATCH(YEAR(EOMONTH($A199,6)),#REF!, 0)))</f>
        <v>-</v>
      </c>
      <c r="G199" s="1229">
        <f t="shared" si="22"/>
        <v>100.1</v>
      </c>
      <c r="H199" s="1229">
        <f t="shared" si="22"/>
        <v>258.5</v>
      </c>
      <c r="I199" s="1230">
        <f t="shared" ref="I199:I262" si="24">IF($A199 &lt; DATE(2021, 4, 1), H199, IF($A199 = DATE(2021, 4, 30), I198 * ((0.5*G199/G198) + (0.5*H199/H198)),I198*(G199/G198)))</f>
        <v>258.5</v>
      </c>
      <c r="V199" s="1216"/>
    </row>
    <row r="200" spans="1:22">
      <c r="A200" s="1226">
        <f t="shared" si="23"/>
        <v>42185</v>
      </c>
      <c r="B200" s="1227">
        <f t="shared" si="21"/>
        <v>2016</v>
      </c>
      <c r="C200" s="1215">
        <v>100.1</v>
      </c>
      <c r="D200" s="1215">
        <v>258.89999999999998</v>
      </c>
      <c r="E200" s="1228" t="str">
        <f>IF($A200&lt;DATE(2018,7,1),"-",INDEX(#REF!, MATCH(YEAR(EOMONTH($A200,6)),#REF!, 0)))</f>
        <v>-</v>
      </c>
      <c r="F200" s="1228" t="str">
        <f>IF($A200&lt;DATE(2018,7,1),"-",INDEX(#REF!, MATCH(YEAR(EOMONTH($A200,6)),#REF!, 0)))</f>
        <v>-</v>
      </c>
      <c r="G200" s="1229">
        <f t="shared" si="22"/>
        <v>100.1</v>
      </c>
      <c r="H200" s="1229">
        <f t="shared" si="22"/>
        <v>258.89999999999998</v>
      </c>
      <c r="I200" s="1230">
        <f t="shared" si="24"/>
        <v>258.89999999999998</v>
      </c>
      <c r="V200" s="1216"/>
    </row>
    <row r="201" spans="1:22">
      <c r="A201" s="1226">
        <f t="shared" si="23"/>
        <v>42216</v>
      </c>
      <c r="B201" s="1227">
        <f t="shared" si="21"/>
        <v>2016</v>
      </c>
      <c r="C201" s="1215">
        <v>100</v>
      </c>
      <c r="D201" s="1215">
        <v>258.60000000000002</v>
      </c>
      <c r="E201" s="1228" t="str">
        <f>IF($A201&lt;DATE(2018,7,1),"-",INDEX(#REF!, MATCH(YEAR(EOMONTH($A201,6)),#REF!, 0)))</f>
        <v>-</v>
      </c>
      <c r="F201" s="1228" t="str">
        <f>IF($A201&lt;DATE(2018,7,1),"-",INDEX(#REF!, MATCH(YEAR(EOMONTH($A201,6)),#REF!, 0)))</f>
        <v>-</v>
      </c>
      <c r="G201" s="1229">
        <f t="shared" si="22"/>
        <v>100</v>
      </c>
      <c r="H201" s="1229">
        <f t="shared" si="22"/>
        <v>258.60000000000002</v>
      </c>
      <c r="I201" s="1230">
        <f t="shared" si="24"/>
        <v>258.60000000000002</v>
      </c>
      <c r="V201" s="1216"/>
    </row>
    <row r="202" spans="1:22">
      <c r="A202" s="1226">
        <f t="shared" si="23"/>
        <v>42247</v>
      </c>
      <c r="B202" s="1227">
        <f t="shared" si="21"/>
        <v>2016</v>
      </c>
      <c r="C202" s="1215">
        <v>100.3</v>
      </c>
      <c r="D202" s="1215">
        <v>259.8</v>
      </c>
      <c r="E202" s="1228" t="str">
        <f>IF($A202&lt;DATE(2018,7,1),"-",INDEX(#REF!, MATCH(YEAR(EOMONTH($A202,6)),#REF!, 0)))</f>
        <v>-</v>
      </c>
      <c r="F202" s="1228" t="str">
        <f>IF($A202&lt;DATE(2018,7,1),"-",INDEX(#REF!, MATCH(YEAR(EOMONTH($A202,6)),#REF!, 0)))</f>
        <v>-</v>
      </c>
      <c r="G202" s="1229">
        <f t="shared" si="22"/>
        <v>100.3</v>
      </c>
      <c r="H202" s="1229">
        <f t="shared" si="22"/>
        <v>259.8</v>
      </c>
      <c r="I202" s="1230">
        <f t="shared" si="24"/>
        <v>259.8</v>
      </c>
      <c r="V202" s="1216"/>
    </row>
    <row r="203" spans="1:22">
      <c r="A203" s="1226">
        <f t="shared" si="23"/>
        <v>42277</v>
      </c>
      <c r="B203" s="1227">
        <f t="shared" si="21"/>
        <v>2016</v>
      </c>
      <c r="C203" s="1215">
        <v>100.2</v>
      </c>
      <c r="D203" s="1215">
        <v>259.60000000000002</v>
      </c>
      <c r="E203" s="1228" t="str">
        <f>IF($A203&lt;DATE(2018,7,1),"-",INDEX(#REF!, MATCH(YEAR(EOMONTH($A203,6)),#REF!, 0)))</f>
        <v>-</v>
      </c>
      <c r="F203" s="1228" t="str">
        <f>IF($A203&lt;DATE(2018,7,1),"-",INDEX(#REF!, MATCH(YEAR(EOMONTH($A203,6)),#REF!, 0)))</f>
        <v>-</v>
      </c>
      <c r="G203" s="1229">
        <f t="shared" si="22"/>
        <v>100.2</v>
      </c>
      <c r="H203" s="1229">
        <f t="shared" si="22"/>
        <v>259.60000000000002</v>
      </c>
      <c r="I203" s="1230">
        <f t="shared" si="24"/>
        <v>259.60000000000002</v>
      </c>
      <c r="V203" s="1216"/>
    </row>
    <row r="204" spans="1:22">
      <c r="A204" s="1226">
        <f t="shared" si="23"/>
        <v>42308</v>
      </c>
      <c r="B204" s="1227">
        <f t="shared" si="21"/>
        <v>2016</v>
      </c>
      <c r="C204" s="1215">
        <v>100.3</v>
      </c>
      <c r="D204" s="1215">
        <v>259.5</v>
      </c>
      <c r="E204" s="1228" t="str">
        <f>IF($A204&lt;DATE(2018,7,1),"-",INDEX(#REF!, MATCH(YEAR(EOMONTH($A204,6)),#REF!, 0)))</f>
        <v>-</v>
      </c>
      <c r="F204" s="1228" t="str">
        <f>IF($A204&lt;DATE(2018,7,1),"-",INDEX(#REF!, MATCH(YEAR(EOMONTH($A204,6)),#REF!, 0)))</f>
        <v>-</v>
      </c>
      <c r="G204" s="1229">
        <f t="shared" si="22"/>
        <v>100.3</v>
      </c>
      <c r="H204" s="1229">
        <f t="shared" si="22"/>
        <v>259.5</v>
      </c>
      <c r="I204" s="1230">
        <f t="shared" si="24"/>
        <v>259.5</v>
      </c>
      <c r="V204" s="1216"/>
    </row>
    <row r="205" spans="1:22">
      <c r="A205" s="1226">
        <f t="shared" si="23"/>
        <v>42338</v>
      </c>
      <c r="B205" s="1227">
        <f t="shared" si="21"/>
        <v>2016</v>
      </c>
      <c r="C205" s="1215">
        <v>100.3</v>
      </c>
      <c r="D205" s="1215">
        <v>259.8</v>
      </c>
      <c r="E205" s="1228" t="str">
        <f>IF($A205&lt;DATE(2018,7,1),"-",INDEX(#REF!, MATCH(YEAR(EOMONTH($A205,6)),#REF!, 0)))</f>
        <v>-</v>
      </c>
      <c r="F205" s="1228" t="str">
        <f>IF($A205&lt;DATE(2018,7,1),"-",INDEX(#REF!, MATCH(YEAR(EOMONTH($A205,6)),#REF!, 0)))</f>
        <v>-</v>
      </c>
      <c r="G205" s="1229">
        <f t="shared" si="22"/>
        <v>100.3</v>
      </c>
      <c r="H205" s="1229">
        <f t="shared" si="22"/>
        <v>259.8</v>
      </c>
      <c r="I205" s="1230">
        <f t="shared" si="24"/>
        <v>259.8</v>
      </c>
      <c r="V205" s="1216"/>
    </row>
    <row r="206" spans="1:22">
      <c r="A206" s="1226">
        <f t="shared" si="23"/>
        <v>42369</v>
      </c>
      <c r="B206" s="1227">
        <f t="shared" si="21"/>
        <v>2016</v>
      </c>
      <c r="C206" s="1215">
        <v>100.4</v>
      </c>
      <c r="D206" s="1215">
        <v>260.60000000000002</v>
      </c>
      <c r="E206" s="1228" t="str">
        <f>IF($A206&lt;DATE(2018,7,1),"-",INDEX(#REF!, MATCH(YEAR(EOMONTH($A206,6)),#REF!, 0)))</f>
        <v>-</v>
      </c>
      <c r="F206" s="1228" t="str">
        <f>IF($A206&lt;DATE(2018,7,1),"-",INDEX(#REF!, MATCH(YEAR(EOMONTH($A206,6)),#REF!, 0)))</f>
        <v>-</v>
      </c>
      <c r="G206" s="1229">
        <f t="shared" si="22"/>
        <v>100.4</v>
      </c>
      <c r="H206" s="1229">
        <f t="shared" si="22"/>
        <v>260.60000000000002</v>
      </c>
      <c r="I206" s="1230">
        <f t="shared" si="24"/>
        <v>260.60000000000002</v>
      </c>
      <c r="V206" s="1216"/>
    </row>
    <row r="207" spans="1:22">
      <c r="A207" s="1226">
        <f t="shared" si="23"/>
        <v>42400</v>
      </c>
      <c r="B207" s="1227">
        <f t="shared" si="21"/>
        <v>2016</v>
      </c>
      <c r="C207" s="1215">
        <v>99.9</v>
      </c>
      <c r="D207" s="1215">
        <v>258.8</v>
      </c>
      <c r="E207" s="1228" t="str">
        <f>IF($A207&lt;DATE(2018,7,1),"-",INDEX(#REF!, MATCH(YEAR(EOMONTH($A207,6)),#REF!, 0)))</f>
        <v>-</v>
      </c>
      <c r="F207" s="1228" t="str">
        <f>IF($A207&lt;DATE(2018,7,1),"-",INDEX(#REF!, MATCH(YEAR(EOMONTH($A207,6)),#REF!, 0)))</f>
        <v>-</v>
      </c>
      <c r="G207" s="1229">
        <f t="shared" si="22"/>
        <v>99.9</v>
      </c>
      <c r="H207" s="1229">
        <f t="shared" si="22"/>
        <v>258.8</v>
      </c>
      <c r="I207" s="1230">
        <f t="shared" si="24"/>
        <v>258.8</v>
      </c>
      <c r="V207" s="1216"/>
    </row>
    <row r="208" spans="1:22">
      <c r="A208" s="1226">
        <f t="shared" si="23"/>
        <v>42429</v>
      </c>
      <c r="B208" s="1227">
        <f t="shared" si="21"/>
        <v>2016</v>
      </c>
      <c r="C208" s="1215">
        <v>100.1</v>
      </c>
      <c r="D208" s="1215">
        <v>260</v>
      </c>
      <c r="E208" s="1228" t="str">
        <f>IF($A208&lt;DATE(2018,7,1),"-",INDEX(#REF!, MATCH(YEAR(EOMONTH($A208,6)),#REF!, 0)))</f>
        <v>-</v>
      </c>
      <c r="F208" s="1228" t="str">
        <f>IF($A208&lt;DATE(2018,7,1),"-",INDEX(#REF!, MATCH(YEAR(EOMONTH($A208,6)),#REF!, 0)))</f>
        <v>-</v>
      </c>
      <c r="G208" s="1229">
        <f t="shared" si="22"/>
        <v>100.1</v>
      </c>
      <c r="H208" s="1229">
        <f t="shared" si="22"/>
        <v>260</v>
      </c>
      <c r="I208" s="1230">
        <f t="shared" si="24"/>
        <v>260</v>
      </c>
      <c r="V208" s="1216"/>
    </row>
    <row r="209" spans="1:22">
      <c r="A209" s="1226">
        <f t="shared" si="23"/>
        <v>42460</v>
      </c>
      <c r="B209" s="1227">
        <f t="shared" si="21"/>
        <v>2016</v>
      </c>
      <c r="C209" s="1215">
        <v>100.4</v>
      </c>
      <c r="D209" s="1215">
        <v>261.10000000000002</v>
      </c>
      <c r="E209" s="1228" t="str">
        <f>IF($A209&lt;DATE(2018,7,1),"-",INDEX(#REF!, MATCH(YEAR(EOMONTH($A209,6)),#REF!, 0)))</f>
        <v>-</v>
      </c>
      <c r="F209" s="1228" t="str">
        <f>IF($A209&lt;DATE(2018,7,1),"-",INDEX(#REF!, MATCH(YEAR(EOMONTH($A209,6)),#REF!, 0)))</f>
        <v>-</v>
      </c>
      <c r="G209" s="1229">
        <f t="shared" si="22"/>
        <v>100.4</v>
      </c>
      <c r="H209" s="1229">
        <f t="shared" si="22"/>
        <v>261.10000000000002</v>
      </c>
      <c r="I209" s="1230">
        <f t="shared" si="24"/>
        <v>261.10000000000002</v>
      </c>
      <c r="V209" s="1216"/>
    </row>
    <row r="210" spans="1:22">
      <c r="A210" s="1226">
        <f t="shared" si="23"/>
        <v>42490</v>
      </c>
      <c r="B210" s="1227">
        <f t="shared" si="21"/>
        <v>2017</v>
      </c>
      <c r="C210" s="1215">
        <v>100.6</v>
      </c>
      <c r="D210" s="1215">
        <v>261.39999999999998</v>
      </c>
      <c r="E210" s="1228" t="str">
        <f>IF($A210&lt;DATE(2018,7,1),"-",INDEX(#REF!, MATCH(YEAR(EOMONTH($A210,6)),#REF!, 0)))</f>
        <v>-</v>
      </c>
      <c r="F210" s="1228" t="str">
        <f>IF($A210&lt;DATE(2018,7,1),"-",INDEX(#REF!, MATCH(YEAR(EOMONTH($A210,6)),#REF!, 0)))</f>
        <v>-</v>
      </c>
      <c r="G210" s="1229">
        <f t="shared" si="22"/>
        <v>100.6</v>
      </c>
      <c r="H210" s="1229">
        <f t="shared" si="22"/>
        <v>261.39999999999998</v>
      </c>
      <c r="I210" s="1230">
        <f t="shared" si="24"/>
        <v>261.39999999999998</v>
      </c>
      <c r="V210" s="1216"/>
    </row>
    <row r="211" spans="1:22">
      <c r="A211" s="1226">
        <f t="shared" si="23"/>
        <v>42521</v>
      </c>
      <c r="B211" s="1227">
        <f t="shared" si="21"/>
        <v>2017</v>
      </c>
      <c r="C211" s="1215">
        <v>100.8</v>
      </c>
      <c r="D211" s="1215">
        <v>262.10000000000002</v>
      </c>
      <c r="E211" s="1228" t="str">
        <f>IF($A211&lt;DATE(2018,7,1),"-",INDEX(#REF!, MATCH(YEAR(EOMONTH($A211,6)),#REF!, 0)))</f>
        <v>-</v>
      </c>
      <c r="F211" s="1228" t="str">
        <f>IF($A211&lt;DATE(2018,7,1),"-",INDEX(#REF!, MATCH(YEAR(EOMONTH($A211,6)),#REF!, 0)))</f>
        <v>-</v>
      </c>
      <c r="G211" s="1229">
        <f t="shared" si="22"/>
        <v>100.8</v>
      </c>
      <c r="H211" s="1229">
        <f t="shared" si="22"/>
        <v>262.10000000000002</v>
      </c>
      <c r="I211" s="1230">
        <f t="shared" si="24"/>
        <v>262.10000000000002</v>
      </c>
      <c r="V211" s="1216"/>
    </row>
    <row r="212" spans="1:22">
      <c r="A212" s="1226">
        <f t="shared" si="23"/>
        <v>42551</v>
      </c>
      <c r="B212" s="1227">
        <f t="shared" si="21"/>
        <v>2017</v>
      </c>
      <c r="C212" s="1215">
        <v>101</v>
      </c>
      <c r="D212" s="1215">
        <v>263.10000000000002</v>
      </c>
      <c r="E212" s="1228" t="str">
        <f>IF($A212&lt;DATE(2018,7,1),"-",INDEX(#REF!, MATCH(YEAR(EOMONTH($A212,6)),#REF!, 0)))</f>
        <v>-</v>
      </c>
      <c r="F212" s="1228" t="str">
        <f>IF($A212&lt;DATE(2018,7,1),"-",INDEX(#REF!, MATCH(YEAR(EOMONTH($A212,6)),#REF!, 0)))</f>
        <v>-</v>
      </c>
      <c r="G212" s="1229">
        <f t="shared" si="22"/>
        <v>101</v>
      </c>
      <c r="H212" s="1229">
        <f t="shared" si="22"/>
        <v>263.10000000000002</v>
      </c>
      <c r="I212" s="1230">
        <f t="shared" si="24"/>
        <v>263.10000000000002</v>
      </c>
      <c r="V212" s="1216"/>
    </row>
    <row r="213" spans="1:22">
      <c r="A213" s="1226">
        <f t="shared" si="23"/>
        <v>42582</v>
      </c>
      <c r="B213" s="1227">
        <f t="shared" si="21"/>
        <v>2017</v>
      </c>
      <c r="C213" s="1215">
        <v>100.9</v>
      </c>
      <c r="D213" s="1215">
        <v>263.39999999999998</v>
      </c>
      <c r="E213" s="1228" t="str">
        <f>IF($A213&lt;DATE(2018,7,1),"-",INDEX(#REF!, MATCH(YEAR(EOMONTH($A213,6)),#REF!, 0)))</f>
        <v>-</v>
      </c>
      <c r="F213" s="1228" t="str">
        <f>IF($A213&lt;DATE(2018,7,1),"-",INDEX(#REF!, MATCH(YEAR(EOMONTH($A213,6)),#REF!, 0)))</f>
        <v>-</v>
      </c>
      <c r="G213" s="1229">
        <f t="shared" si="22"/>
        <v>100.9</v>
      </c>
      <c r="H213" s="1229">
        <f t="shared" si="22"/>
        <v>263.39999999999998</v>
      </c>
      <c r="I213" s="1230">
        <f t="shared" si="24"/>
        <v>263.39999999999998</v>
      </c>
      <c r="V213" s="1216"/>
    </row>
    <row r="214" spans="1:22">
      <c r="A214" s="1226">
        <f t="shared" si="23"/>
        <v>42613</v>
      </c>
      <c r="B214" s="1227">
        <f t="shared" si="21"/>
        <v>2017</v>
      </c>
      <c r="C214" s="1215">
        <v>101.2</v>
      </c>
      <c r="D214" s="1215">
        <v>264.39999999999998</v>
      </c>
      <c r="E214" s="1228" t="str">
        <f>IF($A214&lt;DATE(2018,7,1),"-",INDEX(#REF!, MATCH(YEAR(EOMONTH($A214,6)),#REF!, 0)))</f>
        <v>-</v>
      </c>
      <c r="F214" s="1228" t="str">
        <f>IF($A214&lt;DATE(2018,7,1),"-",INDEX(#REF!, MATCH(YEAR(EOMONTH($A214,6)),#REF!, 0)))</f>
        <v>-</v>
      </c>
      <c r="G214" s="1229">
        <f t="shared" ref="G214:H229" si="25">IF(ISBLANK(C214),G213*((1+E214)^(1/12)),C214)</f>
        <v>101.2</v>
      </c>
      <c r="H214" s="1229">
        <f t="shared" si="25"/>
        <v>264.39999999999998</v>
      </c>
      <c r="I214" s="1230">
        <f t="shared" si="24"/>
        <v>264.39999999999998</v>
      </c>
      <c r="V214" s="1216"/>
    </row>
    <row r="215" spans="1:22">
      <c r="A215" s="1226">
        <f t="shared" si="23"/>
        <v>42643</v>
      </c>
      <c r="B215" s="1227">
        <f t="shared" si="21"/>
        <v>2017</v>
      </c>
      <c r="C215" s="1215">
        <v>101.5</v>
      </c>
      <c r="D215" s="1215">
        <v>264.89999999999998</v>
      </c>
      <c r="E215" s="1228" t="str">
        <f>IF($A215&lt;DATE(2018,7,1),"-",INDEX(#REF!, MATCH(YEAR(EOMONTH($A215,6)),#REF!, 0)))</f>
        <v>-</v>
      </c>
      <c r="F215" s="1228" t="str">
        <f>IF($A215&lt;DATE(2018,7,1),"-",INDEX(#REF!, MATCH(YEAR(EOMONTH($A215,6)),#REF!, 0)))</f>
        <v>-</v>
      </c>
      <c r="G215" s="1229">
        <f t="shared" si="25"/>
        <v>101.5</v>
      </c>
      <c r="H215" s="1229">
        <f t="shared" si="25"/>
        <v>264.89999999999998</v>
      </c>
      <c r="I215" s="1230">
        <f t="shared" si="24"/>
        <v>264.89999999999998</v>
      </c>
      <c r="V215" s="1216"/>
    </row>
    <row r="216" spans="1:22">
      <c r="A216" s="1226">
        <f t="shared" si="23"/>
        <v>42674</v>
      </c>
      <c r="B216" s="1227">
        <f t="shared" si="21"/>
        <v>2017</v>
      </c>
      <c r="C216" s="1215">
        <v>101.6</v>
      </c>
      <c r="D216" s="1215">
        <v>264.8</v>
      </c>
      <c r="E216" s="1228" t="str">
        <f>IF($A216&lt;DATE(2018,7,1),"-",INDEX(#REF!, MATCH(YEAR(EOMONTH($A216,6)),#REF!, 0)))</f>
        <v>-</v>
      </c>
      <c r="F216" s="1228" t="str">
        <f>IF($A216&lt;DATE(2018,7,1),"-",INDEX(#REF!, MATCH(YEAR(EOMONTH($A216,6)),#REF!, 0)))</f>
        <v>-</v>
      </c>
      <c r="G216" s="1229">
        <f t="shared" si="25"/>
        <v>101.6</v>
      </c>
      <c r="H216" s="1229">
        <f t="shared" si="25"/>
        <v>264.8</v>
      </c>
      <c r="I216" s="1230">
        <f t="shared" si="24"/>
        <v>264.8</v>
      </c>
      <c r="V216" s="1216"/>
    </row>
    <row r="217" spans="1:22">
      <c r="A217" s="1226">
        <f t="shared" si="23"/>
        <v>42704</v>
      </c>
      <c r="B217" s="1227">
        <f t="shared" si="21"/>
        <v>2017</v>
      </c>
      <c r="C217" s="1215">
        <v>101.8</v>
      </c>
      <c r="D217" s="1215">
        <v>265.5</v>
      </c>
      <c r="E217" s="1228" t="str">
        <f>IF($A217&lt;DATE(2018,7,1),"-",INDEX(#REF!, MATCH(YEAR(EOMONTH($A217,6)),#REF!, 0)))</f>
        <v>-</v>
      </c>
      <c r="F217" s="1228" t="str">
        <f>IF($A217&lt;DATE(2018,7,1),"-",INDEX(#REF!, MATCH(YEAR(EOMONTH($A217,6)),#REF!, 0)))</f>
        <v>-</v>
      </c>
      <c r="G217" s="1229">
        <f t="shared" si="25"/>
        <v>101.8</v>
      </c>
      <c r="H217" s="1229">
        <f t="shared" si="25"/>
        <v>265.5</v>
      </c>
      <c r="I217" s="1230">
        <f t="shared" si="24"/>
        <v>265.5</v>
      </c>
      <c r="V217" s="1216"/>
    </row>
    <row r="218" spans="1:22">
      <c r="A218" s="1226">
        <f t="shared" si="23"/>
        <v>42735</v>
      </c>
      <c r="B218" s="1227">
        <f t="shared" si="21"/>
        <v>2017</v>
      </c>
      <c r="C218" s="1215">
        <v>102.2</v>
      </c>
      <c r="D218" s="1215">
        <v>267.10000000000002</v>
      </c>
      <c r="E218" s="1228" t="str">
        <f>IF($A218&lt;DATE(2018,7,1),"-",INDEX(#REF!, MATCH(YEAR(EOMONTH($A218,6)),#REF!, 0)))</f>
        <v>-</v>
      </c>
      <c r="F218" s="1228" t="str">
        <f>IF($A218&lt;DATE(2018,7,1),"-",INDEX(#REF!, MATCH(YEAR(EOMONTH($A218,6)),#REF!, 0)))</f>
        <v>-</v>
      </c>
      <c r="G218" s="1229">
        <f t="shared" si="25"/>
        <v>102.2</v>
      </c>
      <c r="H218" s="1229">
        <f t="shared" si="25"/>
        <v>267.10000000000002</v>
      </c>
      <c r="I218" s="1230">
        <f t="shared" si="24"/>
        <v>267.10000000000002</v>
      </c>
      <c r="V218" s="1216"/>
    </row>
    <row r="219" spans="1:22">
      <c r="A219" s="1226">
        <f t="shared" si="23"/>
        <v>42766</v>
      </c>
      <c r="B219" s="1227">
        <f t="shared" si="21"/>
        <v>2017</v>
      </c>
      <c r="C219" s="1215">
        <v>101.8</v>
      </c>
      <c r="D219" s="1215">
        <v>265.5</v>
      </c>
      <c r="E219" s="1228" t="str">
        <f>IF($A219&lt;DATE(2018,7,1),"-",INDEX(#REF!, MATCH(YEAR(EOMONTH($A219,6)),#REF!, 0)))</f>
        <v>-</v>
      </c>
      <c r="F219" s="1228" t="str">
        <f>IF($A219&lt;DATE(2018,7,1),"-",INDEX(#REF!, MATCH(YEAR(EOMONTH($A219,6)),#REF!, 0)))</f>
        <v>-</v>
      </c>
      <c r="G219" s="1229">
        <f t="shared" si="25"/>
        <v>101.8</v>
      </c>
      <c r="H219" s="1229">
        <f t="shared" si="25"/>
        <v>265.5</v>
      </c>
      <c r="I219" s="1230">
        <f t="shared" si="24"/>
        <v>265.5</v>
      </c>
      <c r="V219" s="1216"/>
    </row>
    <row r="220" spans="1:22">
      <c r="A220" s="1226">
        <f t="shared" si="23"/>
        <v>42794</v>
      </c>
      <c r="B220" s="1227">
        <f t="shared" si="21"/>
        <v>2017</v>
      </c>
      <c r="C220" s="1215">
        <v>102.4</v>
      </c>
      <c r="D220" s="1215">
        <v>268.39999999999998</v>
      </c>
      <c r="E220" s="1228" t="str">
        <f>IF($A220&lt;DATE(2018,7,1),"-",INDEX(#REF!, MATCH(YEAR(EOMONTH($A220,6)),#REF!, 0)))</f>
        <v>-</v>
      </c>
      <c r="F220" s="1228" t="str">
        <f>IF($A220&lt;DATE(2018,7,1),"-",INDEX(#REF!, MATCH(YEAR(EOMONTH($A220,6)),#REF!, 0)))</f>
        <v>-</v>
      </c>
      <c r="G220" s="1229">
        <f t="shared" si="25"/>
        <v>102.4</v>
      </c>
      <c r="H220" s="1229">
        <f t="shared" si="25"/>
        <v>268.39999999999998</v>
      </c>
      <c r="I220" s="1230">
        <f t="shared" si="24"/>
        <v>268.39999999999998</v>
      </c>
      <c r="V220" s="1216"/>
    </row>
    <row r="221" spans="1:22">
      <c r="A221" s="1226">
        <f t="shared" si="23"/>
        <v>42825</v>
      </c>
      <c r="B221" s="1227">
        <f t="shared" si="21"/>
        <v>2017</v>
      </c>
      <c r="C221" s="1215">
        <v>102.7</v>
      </c>
      <c r="D221" s="1215">
        <v>269.3</v>
      </c>
      <c r="E221" s="1228" t="str">
        <f>IF($A221&lt;DATE(2018,7,1),"-",INDEX(#REF!, MATCH(YEAR(EOMONTH($A221,6)),#REF!, 0)))</f>
        <v>-</v>
      </c>
      <c r="F221" s="1228" t="str">
        <f>IF($A221&lt;DATE(2018,7,1),"-",INDEX(#REF!, MATCH(YEAR(EOMONTH($A221,6)),#REF!, 0)))</f>
        <v>-</v>
      </c>
      <c r="G221" s="1229">
        <f t="shared" si="25"/>
        <v>102.7</v>
      </c>
      <c r="H221" s="1229">
        <f t="shared" si="25"/>
        <v>269.3</v>
      </c>
      <c r="I221" s="1230">
        <f t="shared" si="24"/>
        <v>269.3</v>
      </c>
      <c r="V221" s="1216"/>
    </row>
    <row r="222" spans="1:22">
      <c r="A222" s="1226">
        <f t="shared" si="23"/>
        <v>42855</v>
      </c>
      <c r="B222" s="1227">
        <f t="shared" si="21"/>
        <v>2018</v>
      </c>
      <c r="C222" s="1215">
        <v>103.2</v>
      </c>
      <c r="D222" s="1215">
        <v>270.60000000000002</v>
      </c>
      <c r="E222" s="1228" t="str">
        <f>IF($A222&lt;DATE(2018,7,1),"-",INDEX(#REF!, MATCH(YEAR(EOMONTH($A222,6)),#REF!, 0)))</f>
        <v>-</v>
      </c>
      <c r="F222" s="1228" t="str">
        <f>IF($A222&lt;DATE(2018,7,1),"-",INDEX(#REF!, MATCH(YEAR(EOMONTH($A222,6)),#REF!, 0)))</f>
        <v>-</v>
      </c>
      <c r="G222" s="1229">
        <f t="shared" si="25"/>
        <v>103.2</v>
      </c>
      <c r="H222" s="1229">
        <f t="shared" si="25"/>
        <v>270.60000000000002</v>
      </c>
      <c r="I222" s="1230">
        <f t="shared" si="24"/>
        <v>270.60000000000002</v>
      </c>
      <c r="V222" s="1216"/>
    </row>
    <row r="223" spans="1:22">
      <c r="A223" s="1226">
        <f t="shared" si="23"/>
        <v>42886</v>
      </c>
      <c r="B223" s="1227">
        <f t="shared" si="21"/>
        <v>2018</v>
      </c>
      <c r="C223" s="1215">
        <v>103.5</v>
      </c>
      <c r="D223" s="1215">
        <v>271.7</v>
      </c>
      <c r="E223" s="1228" t="str">
        <f>IF($A223&lt;DATE(2018,7,1),"-",INDEX(#REF!, MATCH(YEAR(EOMONTH($A223,6)),#REF!, 0)))</f>
        <v>-</v>
      </c>
      <c r="F223" s="1228" t="str">
        <f>IF($A223&lt;DATE(2018,7,1),"-",INDEX(#REF!, MATCH(YEAR(EOMONTH($A223,6)),#REF!, 0)))</f>
        <v>-</v>
      </c>
      <c r="G223" s="1229">
        <f t="shared" si="25"/>
        <v>103.5</v>
      </c>
      <c r="H223" s="1229">
        <f t="shared" si="25"/>
        <v>271.7</v>
      </c>
      <c r="I223" s="1230">
        <f t="shared" si="24"/>
        <v>271.7</v>
      </c>
      <c r="V223" s="1216"/>
    </row>
    <row r="224" spans="1:22">
      <c r="A224" s="1226">
        <f t="shared" si="23"/>
        <v>42916</v>
      </c>
      <c r="B224" s="1227">
        <f t="shared" si="21"/>
        <v>2018</v>
      </c>
      <c r="C224" s="1215">
        <v>103.5</v>
      </c>
      <c r="D224" s="1215">
        <v>272.3</v>
      </c>
      <c r="E224" s="1228" t="str">
        <f>IF($A224&lt;DATE(2018,7,1),"-",INDEX(#REF!, MATCH(YEAR(EOMONTH($A224,6)),#REF!, 0)))</f>
        <v>-</v>
      </c>
      <c r="F224" s="1228" t="str">
        <f>IF($A224&lt;DATE(2018,7,1),"-",INDEX(#REF!, MATCH(YEAR(EOMONTH($A224,6)),#REF!, 0)))</f>
        <v>-</v>
      </c>
      <c r="G224" s="1229">
        <f t="shared" si="25"/>
        <v>103.5</v>
      </c>
      <c r="H224" s="1229">
        <f t="shared" si="25"/>
        <v>272.3</v>
      </c>
      <c r="I224" s="1230">
        <f t="shared" si="24"/>
        <v>272.3</v>
      </c>
      <c r="V224" s="1216"/>
    </row>
    <row r="225" spans="1:22">
      <c r="A225" s="1226">
        <f t="shared" si="23"/>
        <v>42947</v>
      </c>
      <c r="B225" s="1227">
        <f t="shared" si="21"/>
        <v>2018</v>
      </c>
      <c r="C225" s="1215">
        <v>103.5</v>
      </c>
      <c r="D225" s="1215">
        <v>272.89999999999998</v>
      </c>
      <c r="E225" s="1228" t="str">
        <f>IF($A225&lt;DATE(2018,7,1),"-",INDEX(#REF!, MATCH(YEAR(EOMONTH($A225,6)),#REF!, 0)))</f>
        <v>-</v>
      </c>
      <c r="F225" s="1228" t="str">
        <f>IF($A225&lt;DATE(2018,7,1),"-",INDEX(#REF!, MATCH(YEAR(EOMONTH($A225,6)),#REF!, 0)))</f>
        <v>-</v>
      </c>
      <c r="G225" s="1229">
        <f t="shared" si="25"/>
        <v>103.5</v>
      </c>
      <c r="H225" s="1229">
        <f t="shared" si="25"/>
        <v>272.89999999999998</v>
      </c>
      <c r="I225" s="1230">
        <f t="shared" si="24"/>
        <v>272.89999999999998</v>
      </c>
      <c r="V225" s="1216"/>
    </row>
    <row r="226" spans="1:22">
      <c r="A226" s="1226">
        <f t="shared" si="23"/>
        <v>42978</v>
      </c>
      <c r="B226" s="1227">
        <f t="shared" si="21"/>
        <v>2018</v>
      </c>
      <c r="C226" s="1215">
        <v>104</v>
      </c>
      <c r="D226" s="1215">
        <v>274.7</v>
      </c>
      <c r="E226" s="1228" t="str">
        <f>IF($A226&lt;DATE(2018,7,1),"-",INDEX(#REF!, MATCH(YEAR(EOMONTH($A226,6)),#REF!, 0)))</f>
        <v>-</v>
      </c>
      <c r="F226" s="1228" t="str">
        <f>IF($A226&lt;DATE(2018,7,1),"-",INDEX(#REF!, MATCH(YEAR(EOMONTH($A226,6)),#REF!, 0)))</f>
        <v>-</v>
      </c>
      <c r="G226" s="1229">
        <f t="shared" si="25"/>
        <v>104</v>
      </c>
      <c r="H226" s="1229">
        <f t="shared" si="25"/>
        <v>274.7</v>
      </c>
      <c r="I226" s="1230">
        <f t="shared" si="24"/>
        <v>274.7</v>
      </c>
      <c r="V226" s="1216"/>
    </row>
    <row r="227" spans="1:22">
      <c r="A227" s="1226">
        <f t="shared" si="23"/>
        <v>43008</v>
      </c>
      <c r="B227" s="1227">
        <f t="shared" si="21"/>
        <v>2018</v>
      </c>
      <c r="C227" s="1215">
        <v>104.3</v>
      </c>
      <c r="D227" s="1215">
        <v>275.10000000000002</v>
      </c>
      <c r="E227" s="1228" t="str">
        <f>IF($A227&lt;DATE(2018,7,1),"-",INDEX(#REF!, MATCH(YEAR(EOMONTH($A227,6)),#REF!, 0)))</f>
        <v>-</v>
      </c>
      <c r="F227" s="1228" t="str">
        <f>IF($A227&lt;DATE(2018,7,1),"-",INDEX(#REF!, MATCH(YEAR(EOMONTH($A227,6)),#REF!, 0)))</f>
        <v>-</v>
      </c>
      <c r="G227" s="1229">
        <f t="shared" si="25"/>
        <v>104.3</v>
      </c>
      <c r="H227" s="1229">
        <f t="shared" si="25"/>
        <v>275.10000000000002</v>
      </c>
      <c r="I227" s="1230">
        <f t="shared" si="24"/>
        <v>275.10000000000002</v>
      </c>
      <c r="V227" s="1216"/>
    </row>
    <row r="228" spans="1:22">
      <c r="A228" s="1226">
        <f t="shared" si="23"/>
        <v>43039</v>
      </c>
      <c r="B228" s="1227">
        <f t="shared" si="21"/>
        <v>2018</v>
      </c>
      <c r="C228" s="1215">
        <v>104.4</v>
      </c>
      <c r="D228" s="1215">
        <v>275.3</v>
      </c>
      <c r="E228" s="1228" t="str">
        <f>IF($A228&lt;DATE(2018,7,1),"-",INDEX(#REF!, MATCH(YEAR(EOMONTH($A228,6)),#REF!, 0)))</f>
        <v>-</v>
      </c>
      <c r="F228" s="1228" t="str">
        <f>IF($A228&lt;DATE(2018,7,1),"-",INDEX(#REF!, MATCH(YEAR(EOMONTH($A228,6)),#REF!, 0)))</f>
        <v>-</v>
      </c>
      <c r="G228" s="1229">
        <f t="shared" si="25"/>
        <v>104.4</v>
      </c>
      <c r="H228" s="1229">
        <f t="shared" si="25"/>
        <v>275.3</v>
      </c>
      <c r="I228" s="1230">
        <f t="shared" si="24"/>
        <v>275.3</v>
      </c>
      <c r="V228" s="1216"/>
    </row>
    <row r="229" spans="1:22">
      <c r="A229" s="1226">
        <f t="shared" si="23"/>
        <v>43069</v>
      </c>
      <c r="B229" s="1227">
        <f t="shared" si="21"/>
        <v>2018</v>
      </c>
      <c r="C229" s="1215">
        <v>104.7</v>
      </c>
      <c r="D229" s="1215">
        <v>275.8</v>
      </c>
      <c r="E229" s="1228" t="str">
        <f>IF($A229&lt;DATE(2018,7,1),"-",INDEX(#REF!, MATCH(YEAR(EOMONTH($A229,6)),#REF!, 0)))</f>
        <v>-</v>
      </c>
      <c r="F229" s="1228" t="str">
        <f>IF($A229&lt;DATE(2018,7,1),"-",INDEX(#REF!, MATCH(YEAR(EOMONTH($A229,6)),#REF!, 0)))</f>
        <v>-</v>
      </c>
      <c r="G229" s="1229">
        <f t="shared" si="25"/>
        <v>104.7</v>
      </c>
      <c r="H229" s="1229">
        <f t="shared" si="25"/>
        <v>275.8</v>
      </c>
      <c r="I229" s="1230">
        <f t="shared" si="24"/>
        <v>275.8</v>
      </c>
      <c r="V229" s="1216"/>
    </row>
    <row r="230" spans="1:22">
      <c r="A230" s="1226">
        <f t="shared" si="23"/>
        <v>43100</v>
      </c>
      <c r="B230" s="1227">
        <f t="shared" si="21"/>
        <v>2018</v>
      </c>
      <c r="C230" s="1215">
        <v>105</v>
      </c>
      <c r="D230" s="1215">
        <v>278.10000000000002</v>
      </c>
      <c r="E230" s="1228" t="str">
        <f>IF($A230&lt;DATE(2018,7,1),"-",INDEX(#REF!, MATCH(YEAR(EOMONTH($A230,6)),#REF!, 0)))</f>
        <v>-</v>
      </c>
      <c r="F230" s="1228" t="str">
        <f>IF($A230&lt;DATE(2018,7,1),"-",INDEX(#REF!, MATCH(YEAR(EOMONTH($A230,6)),#REF!, 0)))</f>
        <v>-</v>
      </c>
      <c r="G230" s="1229">
        <f t="shared" ref="G230:H245" si="26">IF(ISBLANK(C230),G229*((1+E230)^(1/12)),C230)</f>
        <v>105</v>
      </c>
      <c r="H230" s="1229">
        <f t="shared" si="26"/>
        <v>278.10000000000002</v>
      </c>
      <c r="I230" s="1230">
        <f t="shared" si="24"/>
        <v>278.10000000000002</v>
      </c>
      <c r="V230" s="1216"/>
    </row>
    <row r="231" spans="1:22">
      <c r="A231" s="1226">
        <f t="shared" si="23"/>
        <v>43131</v>
      </c>
      <c r="B231" s="1227">
        <f t="shared" si="21"/>
        <v>2018</v>
      </c>
      <c r="C231" s="1215">
        <v>104.5</v>
      </c>
      <c r="D231" s="1215">
        <v>276</v>
      </c>
      <c r="E231" s="1228" t="str">
        <f>IF($A231&lt;DATE(2018,7,1),"-",INDEX(#REF!, MATCH(YEAR(EOMONTH($A231,6)),#REF!, 0)))</f>
        <v>-</v>
      </c>
      <c r="F231" s="1228" t="str">
        <f>IF($A231&lt;DATE(2018,7,1),"-",INDEX(#REF!, MATCH(YEAR(EOMONTH($A231,6)),#REF!, 0)))</f>
        <v>-</v>
      </c>
      <c r="G231" s="1229">
        <f t="shared" si="26"/>
        <v>104.5</v>
      </c>
      <c r="H231" s="1229">
        <f t="shared" si="26"/>
        <v>276</v>
      </c>
      <c r="I231" s="1230">
        <f t="shared" si="24"/>
        <v>276</v>
      </c>
      <c r="V231" s="1216"/>
    </row>
    <row r="232" spans="1:22">
      <c r="A232" s="1226">
        <f t="shared" si="23"/>
        <v>43159</v>
      </c>
      <c r="B232" s="1227">
        <f t="shared" si="21"/>
        <v>2018</v>
      </c>
      <c r="C232" s="1215">
        <v>104.9</v>
      </c>
      <c r="D232" s="1215">
        <v>278.10000000000002</v>
      </c>
      <c r="E232" s="1228" t="str">
        <f>IF($A232&lt;DATE(2018,7,1),"-",INDEX(#REF!, MATCH(YEAR(EOMONTH($A232,6)),#REF!, 0)))</f>
        <v>-</v>
      </c>
      <c r="F232" s="1228" t="str">
        <f>IF($A232&lt;DATE(2018,7,1),"-",INDEX(#REF!, MATCH(YEAR(EOMONTH($A232,6)),#REF!, 0)))</f>
        <v>-</v>
      </c>
      <c r="G232" s="1229">
        <f t="shared" si="26"/>
        <v>104.9</v>
      </c>
      <c r="H232" s="1229">
        <f t="shared" si="26"/>
        <v>278.10000000000002</v>
      </c>
      <c r="I232" s="1230">
        <f t="shared" si="24"/>
        <v>278.10000000000002</v>
      </c>
      <c r="V232" s="1216"/>
    </row>
    <row r="233" spans="1:22">
      <c r="A233" s="1226">
        <f t="shared" si="23"/>
        <v>43190</v>
      </c>
      <c r="B233" s="1227">
        <f t="shared" si="21"/>
        <v>2018</v>
      </c>
      <c r="C233" s="1215">
        <v>105.1</v>
      </c>
      <c r="D233" s="1215">
        <v>278.3</v>
      </c>
      <c r="E233" s="1228" t="str">
        <f>IF($A233&lt;DATE(2018,7,1),"-",INDEX(#REF!, MATCH(YEAR(EOMONTH($A233,6)),#REF!, 0)))</f>
        <v>-</v>
      </c>
      <c r="F233" s="1228" t="str">
        <f>IF($A233&lt;DATE(2018,7,1),"-",INDEX(#REF!, MATCH(YEAR(EOMONTH($A233,6)),#REF!, 0)))</f>
        <v>-</v>
      </c>
      <c r="G233" s="1229">
        <f t="shared" si="26"/>
        <v>105.1</v>
      </c>
      <c r="H233" s="1229">
        <f t="shared" si="26"/>
        <v>278.3</v>
      </c>
      <c r="I233" s="1230">
        <f t="shared" si="24"/>
        <v>278.3</v>
      </c>
      <c r="V233" s="1216"/>
    </row>
    <row r="234" spans="1:22">
      <c r="A234" s="1226">
        <f t="shared" si="23"/>
        <v>43220</v>
      </c>
      <c r="B234" s="1227">
        <f t="shared" si="21"/>
        <v>2019</v>
      </c>
      <c r="C234" s="1215">
        <v>105.5</v>
      </c>
      <c r="D234" s="1215">
        <v>279.7</v>
      </c>
      <c r="E234" s="1228" t="str">
        <f>IF($A234&lt;DATE(2018,7,1),"-",INDEX(#REF!, MATCH(YEAR(EOMONTH($A234,6)),#REF!, 0)))</f>
        <v>-</v>
      </c>
      <c r="F234" s="1228" t="str">
        <f>IF($A234&lt;DATE(2018,7,1),"-",INDEX(#REF!, MATCH(YEAR(EOMONTH($A234,6)),#REF!, 0)))</f>
        <v>-</v>
      </c>
      <c r="G234" s="1229">
        <f t="shared" si="26"/>
        <v>105.5</v>
      </c>
      <c r="H234" s="1229">
        <f t="shared" si="26"/>
        <v>279.7</v>
      </c>
      <c r="I234" s="1230">
        <f t="shared" si="24"/>
        <v>279.7</v>
      </c>
      <c r="V234" s="1216"/>
    </row>
    <row r="235" spans="1:22">
      <c r="A235" s="1226">
        <f t="shared" si="23"/>
        <v>43251</v>
      </c>
      <c r="B235" s="1227">
        <f t="shared" si="21"/>
        <v>2019</v>
      </c>
      <c r="C235" s="1215">
        <v>105.9</v>
      </c>
      <c r="D235" s="1215">
        <v>280.7</v>
      </c>
      <c r="E235" s="1228" t="str">
        <f>IF($A235&lt;DATE(2018,7,1),"-",INDEX(#REF!, MATCH(YEAR(EOMONTH($A235,6)),#REF!, 0)))</f>
        <v>-</v>
      </c>
      <c r="F235" s="1228" t="str">
        <f>IF($A235&lt;DATE(2018,7,1),"-",INDEX(#REF!, MATCH(YEAR(EOMONTH($A235,6)),#REF!, 0)))</f>
        <v>-</v>
      </c>
      <c r="G235" s="1229">
        <f t="shared" si="26"/>
        <v>105.9</v>
      </c>
      <c r="H235" s="1229">
        <f t="shared" si="26"/>
        <v>280.7</v>
      </c>
      <c r="I235" s="1230">
        <f t="shared" si="24"/>
        <v>280.7</v>
      </c>
      <c r="V235" s="1216"/>
    </row>
    <row r="236" spans="1:22">
      <c r="A236" s="1226">
        <f t="shared" si="23"/>
        <v>43281</v>
      </c>
      <c r="B236" s="1227">
        <f t="shared" si="21"/>
        <v>2019</v>
      </c>
      <c r="C236" s="1215">
        <v>105.9</v>
      </c>
      <c r="D236" s="1215">
        <v>281.5</v>
      </c>
      <c r="E236" s="1228" t="str">
        <f>IF($A236&lt;DATE(2018,7,1),"-",INDEX(#REF!, MATCH(YEAR(EOMONTH($A236,6)),#REF!, 0)))</f>
        <v>-</v>
      </c>
      <c r="F236" s="1228" t="str">
        <f>IF($A236&lt;DATE(2018,7,1),"-",INDEX(#REF!, MATCH(YEAR(EOMONTH($A236,6)),#REF!, 0)))</f>
        <v>-</v>
      </c>
      <c r="G236" s="1229">
        <f t="shared" si="26"/>
        <v>105.9</v>
      </c>
      <c r="H236" s="1229">
        <f t="shared" si="26"/>
        <v>281.5</v>
      </c>
      <c r="I236" s="1230">
        <f t="shared" si="24"/>
        <v>281.5</v>
      </c>
      <c r="V236" s="1216"/>
    </row>
    <row r="237" spans="1:22">
      <c r="A237" s="1226">
        <f t="shared" si="23"/>
        <v>43312</v>
      </c>
      <c r="B237" s="1227">
        <f t="shared" si="21"/>
        <v>2019</v>
      </c>
      <c r="C237" s="1215">
        <v>105.9</v>
      </c>
      <c r="D237" s="1215">
        <v>281.7</v>
      </c>
      <c r="E237" s="1228" t="e">
        <f>IF($A237&lt;DATE(2018,7,1),"-",INDEX(#REF!, MATCH(YEAR(EOMONTH($A237,6)),#REF!, 0)))</f>
        <v>#REF!</v>
      </c>
      <c r="F237" s="1228" t="e">
        <f>IF($A237&lt;DATE(2018,7,1),"-",INDEX(#REF!, MATCH(YEAR(EOMONTH($A237,6)),#REF!, 0)))</f>
        <v>#REF!</v>
      </c>
      <c r="G237" s="1229">
        <f t="shared" si="26"/>
        <v>105.9</v>
      </c>
      <c r="H237" s="1229">
        <f t="shared" si="26"/>
        <v>281.7</v>
      </c>
      <c r="I237" s="1230">
        <f t="shared" si="24"/>
        <v>281.7</v>
      </c>
      <c r="V237" s="1216"/>
    </row>
    <row r="238" spans="1:22">
      <c r="A238" s="1226">
        <f t="shared" si="23"/>
        <v>43343</v>
      </c>
      <c r="B238" s="1227">
        <f t="shared" si="21"/>
        <v>2019</v>
      </c>
      <c r="C238" s="1215">
        <v>106.5</v>
      </c>
      <c r="D238" s="1215">
        <v>284.2</v>
      </c>
      <c r="E238" s="1228" t="e">
        <f>IF($A238&lt;DATE(2018,7,1),"-",INDEX(#REF!, MATCH(YEAR(EOMONTH($A238,6)),#REF!, 0)))</f>
        <v>#REF!</v>
      </c>
      <c r="F238" s="1228" t="e">
        <f>IF($A238&lt;DATE(2018,7,1),"-",INDEX(#REF!, MATCH(YEAR(EOMONTH($A238,6)),#REF!, 0)))</f>
        <v>#REF!</v>
      </c>
      <c r="G238" s="1229">
        <f t="shared" si="26"/>
        <v>106.5</v>
      </c>
      <c r="H238" s="1229">
        <f t="shared" si="26"/>
        <v>284.2</v>
      </c>
      <c r="I238" s="1230">
        <f t="shared" si="24"/>
        <v>284.2</v>
      </c>
      <c r="V238" s="1216"/>
    </row>
    <row r="239" spans="1:22">
      <c r="A239" s="1226">
        <f t="shared" si="23"/>
        <v>43373</v>
      </c>
      <c r="B239" s="1227">
        <f t="shared" si="21"/>
        <v>2019</v>
      </c>
      <c r="C239" s="1215">
        <v>106.6</v>
      </c>
      <c r="D239" s="1215">
        <v>284.10000000000002</v>
      </c>
      <c r="E239" s="1228" t="e">
        <f>IF($A239&lt;DATE(2018,7,1),"-",INDEX(#REF!, MATCH(YEAR(EOMONTH($A239,6)),#REF!, 0)))</f>
        <v>#REF!</v>
      </c>
      <c r="F239" s="1228" t="e">
        <f>IF($A239&lt;DATE(2018,7,1),"-",INDEX(#REF!, MATCH(YEAR(EOMONTH($A239,6)),#REF!, 0)))</f>
        <v>#REF!</v>
      </c>
      <c r="G239" s="1229">
        <f t="shared" si="26"/>
        <v>106.6</v>
      </c>
      <c r="H239" s="1229">
        <f t="shared" si="26"/>
        <v>284.10000000000002</v>
      </c>
      <c r="I239" s="1230">
        <f t="shared" si="24"/>
        <v>284.10000000000002</v>
      </c>
      <c r="V239" s="1216"/>
    </row>
    <row r="240" spans="1:22">
      <c r="A240" s="1226">
        <f t="shared" si="23"/>
        <v>43404</v>
      </c>
      <c r="B240" s="1227">
        <f t="shared" si="21"/>
        <v>2019</v>
      </c>
      <c r="C240" s="1215">
        <v>106.7</v>
      </c>
      <c r="D240" s="1215">
        <v>284.5</v>
      </c>
      <c r="E240" s="1228" t="e">
        <f>IF($A240&lt;DATE(2018,7,1),"-",INDEX(#REF!, MATCH(YEAR(EOMONTH($A240,6)),#REF!, 0)))</f>
        <v>#REF!</v>
      </c>
      <c r="F240" s="1228" t="e">
        <f>IF($A240&lt;DATE(2018,7,1),"-",INDEX(#REF!, MATCH(YEAR(EOMONTH($A240,6)),#REF!, 0)))</f>
        <v>#REF!</v>
      </c>
      <c r="G240" s="1229">
        <f t="shared" si="26"/>
        <v>106.7</v>
      </c>
      <c r="H240" s="1229">
        <f t="shared" si="26"/>
        <v>284.5</v>
      </c>
      <c r="I240" s="1230">
        <f t="shared" si="24"/>
        <v>284.5</v>
      </c>
      <c r="V240" s="1216"/>
    </row>
    <row r="241" spans="1:22">
      <c r="A241" s="1226">
        <f t="shared" si="23"/>
        <v>43434</v>
      </c>
      <c r="B241" s="1227">
        <f t="shared" si="21"/>
        <v>2019</v>
      </c>
      <c r="C241" s="1215">
        <v>106.9</v>
      </c>
      <c r="D241" s="1215">
        <v>284.60000000000002</v>
      </c>
      <c r="E241" s="1228" t="e">
        <f>IF($A241&lt;DATE(2018,7,1),"-",INDEX(#REF!, MATCH(YEAR(EOMONTH($A241,6)),#REF!, 0)))</f>
        <v>#REF!</v>
      </c>
      <c r="F241" s="1228" t="e">
        <f>IF($A241&lt;DATE(2018,7,1),"-",INDEX(#REF!, MATCH(YEAR(EOMONTH($A241,6)),#REF!, 0)))</f>
        <v>#REF!</v>
      </c>
      <c r="G241" s="1229">
        <f t="shared" si="26"/>
        <v>106.9</v>
      </c>
      <c r="H241" s="1229">
        <f t="shared" si="26"/>
        <v>284.60000000000002</v>
      </c>
      <c r="I241" s="1230">
        <f t="shared" si="24"/>
        <v>284.60000000000002</v>
      </c>
      <c r="V241" s="1216"/>
    </row>
    <row r="242" spans="1:22">
      <c r="A242" s="1226">
        <f t="shared" si="23"/>
        <v>43465</v>
      </c>
      <c r="B242" s="1227">
        <f t="shared" si="21"/>
        <v>2019</v>
      </c>
      <c r="C242" s="1215">
        <v>107.1</v>
      </c>
      <c r="D242" s="1215">
        <v>285.60000000000002</v>
      </c>
      <c r="E242" s="1228" t="e">
        <f>IF($A242&lt;DATE(2018,7,1),"-",INDEX(#REF!, MATCH(YEAR(EOMONTH($A242,6)),#REF!, 0)))</f>
        <v>#REF!</v>
      </c>
      <c r="F242" s="1228" t="e">
        <f>IF($A242&lt;DATE(2018,7,1),"-",INDEX(#REF!, MATCH(YEAR(EOMONTH($A242,6)),#REF!, 0)))</f>
        <v>#REF!</v>
      </c>
      <c r="G242" s="1229">
        <f t="shared" si="26"/>
        <v>107.1</v>
      </c>
      <c r="H242" s="1229">
        <f t="shared" si="26"/>
        <v>285.60000000000002</v>
      </c>
      <c r="I242" s="1230">
        <f t="shared" si="24"/>
        <v>285.60000000000002</v>
      </c>
      <c r="V242" s="1216"/>
    </row>
    <row r="243" spans="1:22">
      <c r="A243" s="1226">
        <f t="shared" si="23"/>
        <v>43496</v>
      </c>
      <c r="B243" s="1227">
        <f t="shared" si="21"/>
        <v>2019</v>
      </c>
      <c r="C243" s="1215">
        <v>106.4</v>
      </c>
      <c r="D243" s="1215">
        <v>283</v>
      </c>
      <c r="E243" s="1228" t="e">
        <f>IF($A243&lt;DATE(2018,7,1),"-",INDEX(#REF!, MATCH(YEAR(EOMONTH($A243,6)),#REF!, 0)))</f>
        <v>#REF!</v>
      </c>
      <c r="F243" s="1228" t="e">
        <f>IF($A243&lt;DATE(2018,7,1),"-",INDEX(#REF!, MATCH(YEAR(EOMONTH($A243,6)),#REF!, 0)))</f>
        <v>#REF!</v>
      </c>
      <c r="G243" s="1229">
        <f t="shared" si="26"/>
        <v>106.4</v>
      </c>
      <c r="H243" s="1229">
        <f t="shared" si="26"/>
        <v>283</v>
      </c>
      <c r="I243" s="1230">
        <f t="shared" si="24"/>
        <v>283</v>
      </c>
      <c r="V243" s="1216"/>
    </row>
    <row r="244" spans="1:22">
      <c r="A244" s="1226">
        <f t="shared" si="23"/>
        <v>43524</v>
      </c>
      <c r="B244" s="1227">
        <f t="shared" si="21"/>
        <v>2019</v>
      </c>
      <c r="C244" s="1215">
        <v>106.8</v>
      </c>
      <c r="D244" s="1215">
        <v>285</v>
      </c>
      <c r="E244" s="1228" t="e">
        <f>IF($A244&lt;DATE(2018,7,1),"-",INDEX(#REF!, MATCH(YEAR(EOMONTH($A244,6)),#REF!, 0)))</f>
        <v>#REF!</v>
      </c>
      <c r="F244" s="1228" t="e">
        <f>IF($A244&lt;DATE(2018,7,1),"-",INDEX(#REF!, MATCH(YEAR(EOMONTH($A244,6)),#REF!, 0)))</f>
        <v>#REF!</v>
      </c>
      <c r="G244" s="1229">
        <f t="shared" si="26"/>
        <v>106.8</v>
      </c>
      <c r="H244" s="1229">
        <f t="shared" si="26"/>
        <v>285</v>
      </c>
      <c r="I244" s="1230">
        <f t="shared" si="24"/>
        <v>285</v>
      </c>
      <c r="V244" s="1216"/>
    </row>
    <row r="245" spans="1:22">
      <c r="A245" s="1226">
        <f t="shared" si="23"/>
        <v>43555</v>
      </c>
      <c r="B245" s="1227">
        <f t="shared" si="21"/>
        <v>2019</v>
      </c>
      <c r="C245" s="1215">
        <v>107</v>
      </c>
      <c r="D245" s="1215">
        <v>285.10000000000002</v>
      </c>
      <c r="E245" s="1228" t="e">
        <f>IF($A245&lt;DATE(2018,7,1),"-",INDEX(#REF!, MATCH(YEAR(EOMONTH($A245,6)),#REF!, 0)))</f>
        <v>#REF!</v>
      </c>
      <c r="F245" s="1228" t="e">
        <f>IF($A245&lt;DATE(2018,7,1),"-",INDEX(#REF!, MATCH(YEAR(EOMONTH($A245,6)),#REF!, 0)))</f>
        <v>#REF!</v>
      </c>
      <c r="G245" s="1229">
        <f t="shared" si="26"/>
        <v>107</v>
      </c>
      <c r="H245" s="1229">
        <f t="shared" si="26"/>
        <v>285.10000000000002</v>
      </c>
      <c r="I245" s="1230">
        <f t="shared" si="24"/>
        <v>285.10000000000002</v>
      </c>
      <c r="V245" s="1216"/>
    </row>
    <row r="246" spans="1:22">
      <c r="A246" s="1226">
        <f t="shared" si="23"/>
        <v>43585</v>
      </c>
      <c r="B246" s="1227">
        <f t="shared" si="21"/>
        <v>2020</v>
      </c>
      <c r="C246" s="1215">
        <v>107.6</v>
      </c>
      <c r="D246" s="1215">
        <v>288.2</v>
      </c>
      <c r="E246" s="1228" t="e">
        <f>IF($A246&lt;DATE(2018,7,1),"-",INDEX(#REF!, MATCH(YEAR(EOMONTH($A246,6)),#REF!, 0)))</f>
        <v>#REF!</v>
      </c>
      <c r="F246" s="1228" t="e">
        <f>IF($A246&lt;DATE(2018,7,1),"-",INDEX(#REF!, MATCH(YEAR(EOMONTH($A246,6)),#REF!, 0)))</f>
        <v>#REF!</v>
      </c>
      <c r="G246" s="1229">
        <f t="shared" ref="G246:H261" si="27">IF(ISBLANK(C246),G245*((1+E246)^(1/12)),C246)</f>
        <v>107.6</v>
      </c>
      <c r="H246" s="1229">
        <f t="shared" si="27"/>
        <v>288.2</v>
      </c>
      <c r="I246" s="1230">
        <f t="shared" si="24"/>
        <v>288.2</v>
      </c>
      <c r="U246" s="1217"/>
      <c r="V246" s="1216"/>
    </row>
    <row r="247" spans="1:22">
      <c r="A247" s="1226">
        <f t="shared" si="23"/>
        <v>43616</v>
      </c>
      <c r="B247" s="1227">
        <f t="shared" si="21"/>
        <v>2020</v>
      </c>
      <c r="C247" s="1215">
        <v>107.9</v>
      </c>
      <c r="D247" s="1215">
        <v>289.2</v>
      </c>
      <c r="E247" s="1228" t="e">
        <f>IF($A247&lt;DATE(2018,7,1),"-",INDEX(#REF!, MATCH(YEAR(EOMONTH($A247,6)),#REF!, 0)))</f>
        <v>#REF!</v>
      </c>
      <c r="F247" s="1228" t="e">
        <f>IF($A247&lt;DATE(2018,7,1),"-",INDEX(#REF!, MATCH(YEAR(EOMONTH($A247,6)),#REF!, 0)))</f>
        <v>#REF!</v>
      </c>
      <c r="G247" s="1229">
        <f t="shared" si="27"/>
        <v>107.9</v>
      </c>
      <c r="H247" s="1229">
        <f t="shared" si="27"/>
        <v>289.2</v>
      </c>
      <c r="I247" s="1230">
        <f t="shared" si="24"/>
        <v>289.2</v>
      </c>
      <c r="U247" s="1217"/>
      <c r="V247" s="1216"/>
    </row>
    <row r="248" spans="1:22">
      <c r="A248" s="1226">
        <f t="shared" si="23"/>
        <v>43646</v>
      </c>
      <c r="B248" s="1227">
        <f t="shared" si="21"/>
        <v>2020</v>
      </c>
      <c r="C248" s="1215">
        <v>107.9</v>
      </c>
      <c r="D248" s="1215">
        <v>289.60000000000002</v>
      </c>
      <c r="E248" s="1228" t="e">
        <f>IF($A248&lt;DATE(2018,7,1),"-",INDEX(#REF!, MATCH(YEAR(EOMONTH($A248,6)),#REF!, 0)))</f>
        <v>#REF!</v>
      </c>
      <c r="F248" s="1228" t="e">
        <f>IF($A248&lt;DATE(2018,7,1),"-",INDEX(#REF!, MATCH(YEAR(EOMONTH($A248,6)),#REF!, 0)))</f>
        <v>#REF!</v>
      </c>
      <c r="G248" s="1229">
        <f t="shared" si="27"/>
        <v>107.9</v>
      </c>
      <c r="H248" s="1229">
        <f t="shared" si="27"/>
        <v>289.60000000000002</v>
      </c>
      <c r="I248" s="1230">
        <f t="shared" si="24"/>
        <v>289.60000000000002</v>
      </c>
      <c r="U248" s="1217"/>
      <c r="V248" s="1216"/>
    </row>
    <row r="249" spans="1:22">
      <c r="A249" s="1226">
        <f t="shared" si="23"/>
        <v>43677</v>
      </c>
      <c r="B249" s="1227">
        <f t="shared" si="21"/>
        <v>2020</v>
      </c>
      <c r="C249" s="1215">
        <v>108</v>
      </c>
      <c r="D249" s="1215">
        <v>289.5</v>
      </c>
      <c r="E249" s="1228" t="e">
        <f>IF($A249&lt;DATE(2018,7,1),"-",INDEX(#REF!, MATCH(YEAR(EOMONTH($A249,6)),#REF!, 0)))</f>
        <v>#REF!</v>
      </c>
      <c r="F249" s="1228" t="e">
        <f>IF($A249&lt;DATE(2018,7,1),"-",INDEX(#REF!, MATCH(YEAR(EOMONTH($A249,6)),#REF!, 0)))</f>
        <v>#REF!</v>
      </c>
      <c r="G249" s="1229">
        <f t="shared" si="27"/>
        <v>108</v>
      </c>
      <c r="H249" s="1229">
        <f t="shared" si="27"/>
        <v>289.5</v>
      </c>
      <c r="I249" s="1230">
        <f t="shared" si="24"/>
        <v>289.5</v>
      </c>
      <c r="U249" s="1217"/>
      <c r="V249" s="1216"/>
    </row>
    <row r="250" spans="1:22">
      <c r="A250" s="1226">
        <f t="shared" si="23"/>
        <v>43708</v>
      </c>
      <c r="B250" s="1227">
        <f t="shared" si="21"/>
        <v>2020</v>
      </c>
      <c r="C250" s="1215">
        <v>108.3</v>
      </c>
      <c r="D250" s="1215">
        <v>291.7</v>
      </c>
      <c r="E250" s="1228" t="e">
        <f>IF($A250&lt;DATE(2018,7,1),"-",INDEX(#REF!, MATCH(YEAR(EOMONTH($A250,6)),#REF!, 0)))</f>
        <v>#REF!</v>
      </c>
      <c r="F250" s="1228" t="e">
        <f>IF($A250&lt;DATE(2018,7,1),"-",INDEX(#REF!, MATCH(YEAR(EOMONTH($A250,6)),#REF!, 0)))</f>
        <v>#REF!</v>
      </c>
      <c r="G250" s="1229">
        <f t="shared" si="27"/>
        <v>108.3</v>
      </c>
      <c r="H250" s="1229">
        <f t="shared" si="27"/>
        <v>291.7</v>
      </c>
      <c r="I250" s="1230">
        <f t="shared" si="24"/>
        <v>291.7</v>
      </c>
      <c r="U250" s="1217"/>
      <c r="V250" s="1216"/>
    </row>
    <row r="251" spans="1:22">
      <c r="A251" s="1226">
        <f t="shared" si="23"/>
        <v>43738</v>
      </c>
      <c r="B251" s="1227">
        <f t="shared" si="21"/>
        <v>2020</v>
      </c>
      <c r="C251" s="1215">
        <v>108.4</v>
      </c>
      <c r="D251" s="1215">
        <v>291</v>
      </c>
      <c r="E251" s="1228" t="e">
        <f>IF($A251&lt;DATE(2018,7,1),"-",INDEX(#REF!, MATCH(YEAR(EOMONTH($A251,6)),#REF!, 0)))</f>
        <v>#REF!</v>
      </c>
      <c r="F251" s="1228" t="e">
        <f>IF($A251&lt;DATE(2018,7,1),"-",INDEX(#REF!, MATCH(YEAR(EOMONTH($A251,6)),#REF!, 0)))</f>
        <v>#REF!</v>
      </c>
      <c r="G251" s="1229">
        <f t="shared" si="27"/>
        <v>108.4</v>
      </c>
      <c r="H251" s="1229">
        <f t="shared" si="27"/>
        <v>291</v>
      </c>
      <c r="I251" s="1230">
        <f t="shared" si="24"/>
        <v>291</v>
      </c>
      <c r="U251" s="1217"/>
      <c r="V251" s="1216"/>
    </row>
    <row r="252" spans="1:22">
      <c r="A252" s="1226">
        <f t="shared" si="23"/>
        <v>43769</v>
      </c>
      <c r="B252" s="1227">
        <f t="shared" si="21"/>
        <v>2020</v>
      </c>
      <c r="C252" s="1215">
        <v>108.3</v>
      </c>
      <c r="D252" s="1215">
        <v>290.39999999999998</v>
      </c>
      <c r="E252" s="1228" t="e">
        <f>IF($A252&lt;DATE(2018,7,1),"-",INDEX(#REF!, MATCH(YEAR(EOMONTH($A252,6)),#REF!, 0)))</f>
        <v>#REF!</v>
      </c>
      <c r="F252" s="1228" t="e">
        <f>IF($A252&lt;DATE(2018,7,1),"-",INDEX(#REF!, MATCH(YEAR(EOMONTH($A252,6)),#REF!, 0)))</f>
        <v>#REF!</v>
      </c>
      <c r="G252" s="1229">
        <f t="shared" si="27"/>
        <v>108.3</v>
      </c>
      <c r="H252" s="1229">
        <f t="shared" si="27"/>
        <v>290.39999999999998</v>
      </c>
      <c r="I252" s="1230">
        <f t="shared" si="24"/>
        <v>290.39999999999998</v>
      </c>
      <c r="U252" s="1217"/>
      <c r="V252" s="1216"/>
    </row>
    <row r="253" spans="1:22">
      <c r="A253" s="1226">
        <f t="shared" si="23"/>
        <v>43799</v>
      </c>
      <c r="B253" s="1227">
        <f t="shared" si="21"/>
        <v>2020</v>
      </c>
      <c r="C253" s="1215">
        <v>108.5</v>
      </c>
      <c r="D253" s="1215">
        <v>291</v>
      </c>
      <c r="E253" s="1228" t="e">
        <f>IF($A253&lt;DATE(2018,7,1),"-",INDEX(#REF!, MATCH(YEAR(EOMONTH($A253,6)),#REF!, 0)))</f>
        <v>#REF!</v>
      </c>
      <c r="F253" s="1228" t="e">
        <f>IF($A253&lt;DATE(2018,7,1),"-",INDEX(#REF!, MATCH(YEAR(EOMONTH($A253,6)),#REF!, 0)))</f>
        <v>#REF!</v>
      </c>
      <c r="G253" s="1229">
        <f t="shared" si="27"/>
        <v>108.5</v>
      </c>
      <c r="H253" s="1229">
        <f t="shared" si="27"/>
        <v>291</v>
      </c>
      <c r="I253" s="1230">
        <f t="shared" si="24"/>
        <v>291</v>
      </c>
      <c r="U253" s="1217"/>
      <c r="V253" s="1216"/>
    </row>
    <row r="254" spans="1:22">
      <c r="A254" s="1226">
        <f t="shared" si="23"/>
        <v>43830</v>
      </c>
      <c r="B254" s="1227">
        <f t="shared" si="21"/>
        <v>2020</v>
      </c>
      <c r="C254" s="1215">
        <v>108.5</v>
      </c>
      <c r="D254" s="1215">
        <v>291.89999999999998</v>
      </c>
      <c r="E254" s="1228" t="e">
        <f>IF($A254&lt;DATE(2018,7,1),"-",INDEX(#REF!, MATCH(YEAR(EOMONTH($A254,6)),#REF!, 0)))</f>
        <v>#REF!</v>
      </c>
      <c r="F254" s="1228" t="e">
        <f>IF($A254&lt;DATE(2018,7,1),"-",INDEX(#REF!, MATCH(YEAR(EOMONTH($A254,6)),#REF!, 0)))</f>
        <v>#REF!</v>
      </c>
      <c r="G254" s="1229">
        <f t="shared" si="27"/>
        <v>108.5</v>
      </c>
      <c r="H254" s="1229">
        <f t="shared" si="27"/>
        <v>291.89999999999998</v>
      </c>
      <c r="I254" s="1230">
        <f t="shared" si="24"/>
        <v>291.89999999999998</v>
      </c>
      <c r="U254" s="1217"/>
      <c r="V254" s="1216"/>
    </row>
    <row r="255" spans="1:22">
      <c r="A255" s="1226">
        <f t="shared" si="23"/>
        <v>43861</v>
      </c>
      <c r="B255" s="1227">
        <f t="shared" si="21"/>
        <v>2020</v>
      </c>
      <c r="C255" s="1215">
        <v>108.3</v>
      </c>
      <c r="D255" s="1215">
        <v>290.60000000000002</v>
      </c>
      <c r="E255" s="1228" t="e">
        <f>IF($A255&lt;DATE(2018,7,1),"-",INDEX(#REF!, MATCH(YEAR(EOMONTH($A255,6)),#REF!, 0)))</f>
        <v>#REF!</v>
      </c>
      <c r="F255" s="1228" t="e">
        <f>IF($A255&lt;DATE(2018,7,1),"-",INDEX(#REF!, MATCH(YEAR(EOMONTH($A255,6)),#REF!, 0)))</f>
        <v>#REF!</v>
      </c>
      <c r="G255" s="1229">
        <f t="shared" si="27"/>
        <v>108.3</v>
      </c>
      <c r="H255" s="1229">
        <f t="shared" si="27"/>
        <v>290.60000000000002</v>
      </c>
      <c r="I255" s="1230">
        <f t="shared" si="24"/>
        <v>290.60000000000002</v>
      </c>
      <c r="U255" s="1217"/>
      <c r="V255" s="1216"/>
    </row>
    <row r="256" spans="1:22">
      <c r="A256" s="1226">
        <f t="shared" si="23"/>
        <v>43890</v>
      </c>
      <c r="B256" s="1227">
        <f t="shared" si="21"/>
        <v>2020</v>
      </c>
      <c r="C256" s="1215">
        <v>108.6</v>
      </c>
      <c r="D256" s="1215">
        <v>292</v>
      </c>
      <c r="E256" s="1228" t="e">
        <f>IF($A256&lt;DATE(2018,7,1),"-",INDEX(#REF!, MATCH(YEAR(EOMONTH($A256,6)),#REF!, 0)))</f>
        <v>#REF!</v>
      </c>
      <c r="F256" s="1228" t="e">
        <f>IF($A256&lt;DATE(2018,7,1),"-",INDEX(#REF!, MATCH(YEAR(EOMONTH($A256,6)),#REF!, 0)))</f>
        <v>#REF!</v>
      </c>
      <c r="G256" s="1229">
        <f t="shared" si="27"/>
        <v>108.6</v>
      </c>
      <c r="H256" s="1229">
        <f t="shared" si="27"/>
        <v>292</v>
      </c>
      <c r="I256" s="1230">
        <f t="shared" si="24"/>
        <v>292</v>
      </c>
      <c r="U256" s="1217"/>
      <c r="V256" s="166"/>
    </row>
    <row r="257" spans="1:22">
      <c r="A257" s="1226">
        <f t="shared" si="23"/>
        <v>43921</v>
      </c>
      <c r="B257" s="1227">
        <f t="shared" si="21"/>
        <v>2020</v>
      </c>
      <c r="C257" s="1215">
        <v>108.6</v>
      </c>
      <c r="D257" s="1215">
        <v>292.60000000000002</v>
      </c>
      <c r="E257" s="1228" t="e">
        <f>IF($A257&lt;DATE(2018,7,1),"-",INDEX(#REF!, MATCH(YEAR(EOMONTH($A257,6)),#REF!, 0)))</f>
        <v>#REF!</v>
      </c>
      <c r="F257" s="1228" t="e">
        <f>IF($A257&lt;DATE(2018,7,1),"-",INDEX(#REF!, MATCH(YEAR(EOMONTH($A257,6)),#REF!, 0)))</f>
        <v>#REF!</v>
      </c>
      <c r="G257" s="1229">
        <f t="shared" si="27"/>
        <v>108.6</v>
      </c>
      <c r="H257" s="1229">
        <f t="shared" si="27"/>
        <v>292.60000000000002</v>
      </c>
      <c r="I257" s="1230">
        <f t="shared" si="24"/>
        <v>292.60000000000002</v>
      </c>
      <c r="U257" s="1217"/>
      <c r="V257" s="166"/>
    </row>
    <row r="258" spans="1:22">
      <c r="A258" s="1226">
        <f t="shared" si="23"/>
        <v>43951</v>
      </c>
      <c r="B258" s="1227">
        <f t="shared" si="21"/>
        <v>2021</v>
      </c>
      <c r="C258" s="1215">
        <v>108.6</v>
      </c>
      <c r="D258" s="1215">
        <v>292.60000000000002</v>
      </c>
      <c r="E258" s="1228" t="e">
        <f>IF($A258&lt;DATE(2018,7,1),"-",INDEX(#REF!, MATCH(YEAR(EOMONTH($A258,6)),#REF!, 0)))</f>
        <v>#REF!</v>
      </c>
      <c r="F258" s="1228" t="e">
        <f>IF($A258&lt;DATE(2018,7,1),"-",INDEX(#REF!, MATCH(YEAR(EOMONTH($A258,6)),#REF!, 0)))</f>
        <v>#REF!</v>
      </c>
      <c r="G258" s="1229">
        <f t="shared" si="27"/>
        <v>108.6</v>
      </c>
      <c r="H258" s="1229">
        <f t="shared" si="27"/>
        <v>292.60000000000002</v>
      </c>
      <c r="I258" s="1230">
        <f t="shared" si="24"/>
        <v>292.60000000000002</v>
      </c>
      <c r="U258" s="1217"/>
      <c r="V258" s="166"/>
    </row>
    <row r="259" spans="1:22">
      <c r="A259" s="1226">
        <f t="shared" si="23"/>
        <v>43982</v>
      </c>
      <c r="B259" s="1227">
        <f t="shared" si="21"/>
        <v>2021</v>
      </c>
      <c r="C259" s="1215">
        <v>108.6</v>
      </c>
      <c r="D259" s="1215">
        <v>292.2</v>
      </c>
      <c r="E259" s="1228" t="e">
        <f>IF($A259&lt;DATE(2018,7,1),"-",INDEX(#REF!, MATCH(YEAR(EOMONTH($A259,6)),#REF!, 0)))</f>
        <v>#REF!</v>
      </c>
      <c r="F259" s="1228" t="e">
        <f>IF($A259&lt;DATE(2018,7,1),"-",INDEX(#REF!, MATCH(YEAR(EOMONTH($A259,6)),#REF!, 0)))</f>
        <v>#REF!</v>
      </c>
      <c r="G259" s="1229">
        <f t="shared" si="27"/>
        <v>108.6</v>
      </c>
      <c r="H259" s="1229">
        <f t="shared" si="27"/>
        <v>292.2</v>
      </c>
      <c r="I259" s="1230">
        <f t="shared" si="24"/>
        <v>292.2</v>
      </c>
      <c r="U259" s="1217"/>
      <c r="V259" s="166"/>
    </row>
    <row r="260" spans="1:22">
      <c r="A260" s="1226">
        <f t="shared" si="23"/>
        <v>44012</v>
      </c>
      <c r="B260" s="1227">
        <f t="shared" si="21"/>
        <v>2021</v>
      </c>
      <c r="C260" s="1215">
        <v>108.8</v>
      </c>
      <c r="D260" s="1215">
        <v>292.7</v>
      </c>
      <c r="E260" s="1228" t="e">
        <f>IF($A260&lt;DATE(2018,7,1),"-",INDEX(#REF!, MATCH(YEAR(EOMONTH($A260,6)),#REF!, 0)))</f>
        <v>#REF!</v>
      </c>
      <c r="F260" s="1228" t="e">
        <f>IF($A260&lt;DATE(2018,7,1),"-",INDEX(#REF!, MATCH(YEAR(EOMONTH($A260,6)),#REF!, 0)))</f>
        <v>#REF!</v>
      </c>
      <c r="G260" s="1229">
        <f t="shared" si="27"/>
        <v>108.8</v>
      </c>
      <c r="H260" s="1229">
        <f t="shared" si="27"/>
        <v>292.7</v>
      </c>
      <c r="I260" s="1230">
        <f t="shared" si="24"/>
        <v>292.7</v>
      </c>
      <c r="U260" s="1217"/>
      <c r="V260" s="166"/>
    </row>
    <row r="261" spans="1:22">
      <c r="A261" s="1226">
        <f t="shared" si="23"/>
        <v>44043</v>
      </c>
      <c r="B261" s="1227">
        <f t="shared" si="21"/>
        <v>2021</v>
      </c>
      <c r="C261" s="1215">
        <v>109.2</v>
      </c>
      <c r="D261" s="1215">
        <v>294.2</v>
      </c>
      <c r="E261" s="1228" t="e">
        <f>IF($A261&lt;DATE(2018,7,1),"-",INDEX(#REF!, MATCH(YEAR(EOMONTH($A261,6)),#REF!, 0)))</f>
        <v>#REF!</v>
      </c>
      <c r="F261" s="1228" t="e">
        <f>IF($A261&lt;DATE(2018,7,1),"-",INDEX(#REF!, MATCH(YEAR(EOMONTH($A261,6)),#REF!, 0)))</f>
        <v>#REF!</v>
      </c>
      <c r="G261" s="1229">
        <f t="shared" si="27"/>
        <v>109.2</v>
      </c>
      <c r="H261" s="1229">
        <f t="shared" si="27"/>
        <v>294.2</v>
      </c>
      <c r="I261" s="1230">
        <f t="shared" si="24"/>
        <v>294.2</v>
      </c>
      <c r="U261" s="1217"/>
      <c r="V261" s="166"/>
    </row>
    <row r="262" spans="1:22">
      <c r="A262" s="1226">
        <f t="shared" si="23"/>
        <v>44074</v>
      </c>
      <c r="B262" s="1227">
        <f t="shared" ref="B262:B325" si="28">IF(MONTH(A262)&gt;=4,YEAR(A262)+1,YEAR(A262))</f>
        <v>2021</v>
      </c>
      <c r="C262" s="1215">
        <v>108.8</v>
      </c>
      <c r="D262" s="1215">
        <v>293.3</v>
      </c>
      <c r="E262" s="1228" t="e">
        <f>IF($A262&lt;DATE(2018,7,1),"-",INDEX(#REF!, MATCH(YEAR(EOMONTH($A262,6)),#REF!, 0)))</f>
        <v>#REF!</v>
      </c>
      <c r="F262" s="1228" t="e">
        <f>IF($A262&lt;DATE(2018,7,1),"-",INDEX(#REF!, MATCH(YEAR(EOMONTH($A262,6)),#REF!, 0)))</f>
        <v>#REF!</v>
      </c>
      <c r="G262" s="1229">
        <f t="shared" ref="G262:H277" si="29">IF(ISBLANK(C262),G261*((1+E262)^(1/12)),C262)</f>
        <v>108.8</v>
      </c>
      <c r="H262" s="1229">
        <f t="shared" si="29"/>
        <v>293.3</v>
      </c>
      <c r="I262" s="1230">
        <f t="shared" si="24"/>
        <v>293.3</v>
      </c>
      <c r="U262" s="1217"/>
      <c r="V262" s="166"/>
    </row>
    <row r="263" spans="1:22">
      <c r="A263" s="1226">
        <f t="shared" ref="A263:A326" si="30">IF(MONTH(A262) = 12, EOMONTH(DATE(YEAR(A262) + 1, 1, 1), 0), EOMONTH(DATE(YEAR(A262), MONTH(A262) + 1, 1), 0))</f>
        <v>44104</v>
      </c>
      <c r="B263" s="1227">
        <f t="shared" si="28"/>
        <v>2021</v>
      </c>
      <c r="C263" s="1215">
        <v>109.2</v>
      </c>
      <c r="D263" s="1215">
        <v>294.3</v>
      </c>
      <c r="E263" s="1228" t="e">
        <f>IF($A263&lt;DATE(2018,7,1),"-",INDEX(#REF!, MATCH(YEAR(EOMONTH($A263,6)),#REF!, 0)))</f>
        <v>#REF!</v>
      </c>
      <c r="F263" s="1228" t="e">
        <f>IF($A263&lt;DATE(2018,7,1),"-",INDEX(#REF!, MATCH(YEAR(EOMONTH($A263,6)),#REF!, 0)))</f>
        <v>#REF!</v>
      </c>
      <c r="G263" s="1229">
        <f t="shared" si="29"/>
        <v>109.2</v>
      </c>
      <c r="H263" s="1229">
        <f t="shared" si="29"/>
        <v>294.3</v>
      </c>
      <c r="I263" s="1230">
        <f t="shared" ref="I263:I326" si="31">IF($A263 &lt; DATE(2021, 4, 1), H263, IF($A263 = DATE(2021, 4, 30), I262 * ((0.5*G263/G262) + (0.5*H263/H262)),I262*(G263/G262)))</f>
        <v>294.3</v>
      </c>
      <c r="U263" s="1217"/>
      <c r="V263" s="166"/>
    </row>
    <row r="264" spans="1:22">
      <c r="A264" s="1226">
        <f t="shared" si="30"/>
        <v>44135</v>
      </c>
      <c r="B264" s="1227">
        <f t="shared" si="28"/>
        <v>2021</v>
      </c>
      <c r="C264" s="1215">
        <v>109.2</v>
      </c>
      <c r="D264" s="1215">
        <v>294.3</v>
      </c>
      <c r="E264" s="1228" t="e">
        <f>IF($A264&lt;DATE(2018,7,1),"-",INDEX(#REF!, MATCH(YEAR(EOMONTH($A264,6)),#REF!, 0)))</f>
        <v>#REF!</v>
      </c>
      <c r="F264" s="1228" t="e">
        <f>IF($A264&lt;DATE(2018,7,1),"-",INDEX(#REF!, MATCH(YEAR(EOMONTH($A264,6)),#REF!, 0)))</f>
        <v>#REF!</v>
      </c>
      <c r="G264" s="1229">
        <f t="shared" si="29"/>
        <v>109.2</v>
      </c>
      <c r="H264" s="1229">
        <f t="shared" si="29"/>
        <v>294.3</v>
      </c>
      <c r="I264" s="1230">
        <f t="shared" si="31"/>
        <v>294.3</v>
      </c>
      <c r="U264" s="1217"/>
      <c r="V264" s="166"/>
    </row>
    <row r="265" spans="1:22">
      <c r="A265" s="1226">
        <f t="shared" si="30"/>
        <v>44165</v>
      </c>
      <c r="B265" s="1227">
        <f t="shared" si="28"/>
        <v>2021</v>
      </c>
      <c r="C265" s="1215">
        <v>109.1</v>
      </c>
      <c r="D265" s="1215">
        <v>293.5</v>
      </c>
      <c r="E265" s="1228" t="e">
        <f>IF($A265&lt;DATE(2018,7,1),"-",INDEX(#REF!, MATCH(YEAR(EOMONTH($A265,6)),#REF!, 0)))</f>
        <v>#REF!</v>
      </c>
      <c r="F265" s="1228" t="e">
        <f>IF($A265&lt;DATE(2018,7,1),"-",INDEX(#REF!, MATCH(YEAR(EOMONTH($A265,6)),#REF!, 0)))</f>
        <v>#REF!</v>
      </c>
      <c r="G265" s="1229">
        <f t="shared" si="29"/>
        <v>109.1</v>
      </c>
      <c r="H265" s="1229">
        <f t="shared" si="29"/>
        <v>293.5</v>
      </c>
      <c r="I265" s="1230">
        <f t="shared" si="31"/>
        <v>293.5</v>
      </c>
      <c r="U265" s="1217"/>
      <c r="V265" s="1218"/>
    </row>
    <row r="266" spans="1:22">
      <c r="A266" s="1226">
        <f t="shared" si="30"/>
        <v>44196</v>
      </c>
      <c r="B266" s="1227">
        <f t="shared" si="28"/>
        <v>2021</v>
      </c>
      <c r="C266" s="1215">
        <v>109.4</v>
      </c>
      <c r="D266" s="1215">
        <v>295.39999999999998</v>
      </c>
      <c r="E266" s="1228" t="e">
        <f>IF($A266&lt;DATE(2018,7,1),"-",INDEX(#REF!, MATCH(YEAR(EOMONTH($A266,6)),#REF!, 0)))</f>
        <v>#REF!</v>
      </c>
      <c r="F266" s="1228" t="e">
        <f>IF($A266&lt;DATE(2018,7,1),"-",INDEX(#REF!, MATCH(YEAR(EOMONTH($A266,6)),#REF!, 0)))</f>
        <v>#REF!</v>
      </c>
      <c r="G266" s="1229">
        <f t="shared" si="29"/>
        <v>109.4</v>
      </c>
      <c r="H266" s="1229">
        <f t="shared" si="29"/>
        <v>295.39999999999998</v>
      </c>
      <c r="I266" s="1230">
        <f t="shared" si="31"/>
        <v>295.39999999999998</v>
      </c>
      <c r="U266" s="1217"/>
      <c r="V266" s="166"/>
    </row>
    <row r="267" spans="1:22">
      <c r="A267" s="1226">
        <f t="shared" si="30"/>
        <v>44227</v>
      </c>
      <c r="B267" s="1227">
        <f t="shared" si="28"/>
        <v>2021</v>
      </c>
      <c r="C267" s="1215">
        <v>109.3</v>
      </c>
      <c r="D267" s="1215">
        <v>294.60000000000002</v>
      </c>
      <c r="E267" s="1228" t="e">
        <f>IF($A267&lt;DATE(2018,7,1),"-",INDEX(#REF!, MATCH(YEAR(EOMONTH($A267,6)),#REF!, 0)))</f>
        <v>#REF!</v>
      </c>
      <c r="F267" s="1228" t="e">
        <f>IF($A267&lt;DATE(2018,7,1),"-",INDEX(#REF!, MATCH(YEAR(EOMONTH($A267,6)),#REF!, 0)))</f>
        <v>#REF!</v>
      </c>
      <c r="G267" s="1229">
        <f t="shared" si="29"/>
        <v>109.3</v>
      </c>
      <c r="H267" s="1229">
        <f t="shared" si="29"/>
        <v>294.60000000000002</v>
      </c>
      <c r="I267" s="1230">
        <f t="shared" si="31"/>
        <v>294.60000000000002</v>
      </c>
      <c r="U267" s="1217"/>
      <c r="V267" s="166"/>
    </row>
    <row r="268" spans="1:22">
      <c r="A268" s="1226">
        <f t="shared" si="30"/>
        <v>44255</v>
      </c>
      <c r="B268" s="1227">
        <f t="shared" si="28"/>
        <v>2021</v>
      </c>
      <c r="C268" s="1215">
        <v>109.4</v>
      </c>
      <c r="D268" s="1215">
        <v>296</v>
      </c>
      <c r="E268" s="1228" t="e">
        <f>IF($A268&lt;DATE(2018,7,1),"-",INDEX(#REF!, MATCH(YEAR(EOMONTH($A268,6)),#REF!, 0)))</f>
        <v>#REF!</v>
      </c>
      <c r="F268" s="1228" t="e">
        <f>IF($A268&lt;DATE(2018,7,1),"-",INDEX(#REF!, MATCH(YEAR(EOMONTH($A268,6)),#REF!, 0)))</f>
        <v>#REF!</v>
      </c>
      <c r="G268" s="1229">
        <f t="shared" si="29"/>
        <v>109.4</v>
      </c>
      <c r="H268" s="1229">
        <f t="shared" si="29"/>
        <v>296</v>
      </c>
      <c r="I268" s="1230">
        <f t="shared" si="31"/>
        <v>296</v>
      </c>
      <c r="J268" s="1219"/>
      <c r="U268" s="1217"/>
      <c r="V268" s="166"/>
    </row>
    <row r="269" spans="1:22">
      <c r="A269" s="1226">
        <f t="shared" si="30"/>
        <v>44286</v>
      </c>
      <c r="B269" s="1227">
        <f t="shared" si="28"/>
        <v>2021</v>
      </c>
      <c r="C269" s="1215">
        <v>109.7</v>
      </c>
      <c r="D269" s="1215">
        <v>296.89999999999998</v>
      </c>
      <c r="E269" s="1228" t="e">
        <f>IF($A269&lt;DATE(2018,7,1),"-",INDEX(#REF!, MATCH(YEAR(EOMONTH($A269,6)),#REF!, 0)))</f>
        <v>#REF!</v>
      </c>
      <c r="F269" s="1228" t="e">
        <f>IF($A269&lt;DATE(2018,7,1),"-",INDEX(#REF!, MATCH(YEAR(EOMONTH($A269,6)),#REF!, 0)))</f>
        <v>#REF!</v>
      </c>
      <c r="G269" s="1229">
        <f t="shared" si="29"/>
        <v>109.7</v>
      </c>
      <c r="H269" s="1229">
        <f t="shared" si="29"/>
        <v>296.89999999999998</v>
      </c>
      <c r="I269" s="1230">
        <f t="shared" si="31"/>
        <v>296.89999999999998</v>
      </c>
      <c r="J269" s="1219"/>
      <c r="U269" s="1217"/>
      <c r="V269" s="166"/>
    </row>
    <row r="270" spans="1:22">
      <c r="A270" s="1226">
        <f t="shared" si="30"/>
        <v>44316</v>
      </c>
      <c r="B270" s="1227">
        <f t="shared" si="28"/>
        <v>2022</v>
      </c>
      <c r="C270" s="1215">
        <v>110.4</v>
      </c>
      <c r="D270" s="1215">
        <v>301.10000000000002</v>
      </c>
      <c r="E270" s="1228" t="e">
        <f>IF($A270&lt;DATE(2018,7,1),"-",INDEX(#REF!, MATCH(YEAR(EOMONTH($A270,6)),#REF!, 0)))</f>
        <v>#REF!</v>
      </c>
      <c r="F270" s="1228" t="e">
        <f>IF($A270&lt;DATE(2018,7,1),"-",INDEX(#REF!, MATCH(YEAR(EOMONTH($A270,6)),#REF!, 0)))</f>
        <v>#REF!</v>
      </c>
      <c r="G270" s="1229">
        <f t="shared" si="29"/>
        <v>110.4</v>
      </c>
      <c r="H270" s="1229">
        <f t="shared" si="29"/>
        <v>301.10000000000002</v>
      </c>
      <c r="I270" s="1230">
        <f t="shared" si="31"/>
        <v>299.94726526891526</v>
      </c>
      <c r="J270" s="1219"/>
      <c r="U270" s="1217"/>
      <c r="V270" s="1218"/>
    </row>
    <row r="271" spans="1:22">
      <c r="A271" s="1226">
        <f t="shared" si="30"/>
        <v>44347</v>
      </c>
      <c r="B271" s="1227">
        <f t="shared" si="28"/>
        <v>2022</v>
      </c>
      <c r="C271" s="1215">
        <v>111</v>
      </c>
      <c r="D271" s="1215">
        <v>301.89999999999998</v>
      </c>
      <c r="E271" s="1228" t="e">
        <f>IF($A271&lt;DATE(2018,7,1),"-",INDEX(#REF!, MATCH(YEAR(EOMONTH($A271,6)),#REF!, 0)))</f>
        <v>#REF!</v>
      </c>
      <c r="F271" s="1228" t="e">
        <f>IF($A271&lt;DATE(2018,7,1),"-",INDEX(#REF!, MATCH(YEAR(EOMONTH($A271,6)),#REF!, 0)))</f>
        <v>#REF!</v>
      </c>
      <c r="G271" s="1229">
        <f t="shared" si="29"/>
        <v>111</v>
      </c>
      <c r="H271" s="1229">
        <f t="shared" si="29"/>
        <v>301.89999999999998</v>
      </c>
      <c r="I271" s="1230">
        <f t="shared" si="31"/>
        <v>301.57741344972453</v>
      </c>
      <c r="J271" s="1219"/>
      <c r="U271" s="1217"/>
      <c r="V271" s="1218"/>
    </row>
    <row r="272" spans="1:22">
      <c r="A272" s="1226">
        <f t="shared" si="30"/>
        <v>44377</v>
      </c>
      <c r="B272" s="1227">
        <f t="shared" si="28"/>
        <v>2022</v>
      </c>
      <c r="C272" s="1215">
        <v>111.4</v>
      </c>
      <c r="D272" s="1215">
        <v>304</v>
      </c>
      <c r="E272" s="1228" t="e">
        <f>IF($A272&lt;DATE(2018,7,1),"-",INDEX(#REF!, MATCH(YEAR(EOMONTH($A272,6)),#REF!, 0)))</f>
        <v>#REF!</v>
      </c>
      <c r="F272" s="1228" t="e">
        <f>IF($A272&lt;DATE(2018,7,1),"-",INDEX(#REF!, MATCH(YEAR(EOMONTH($A272,6)),#REF!, 0)))</f>
        <v>#REF!</v>
      </c>
      <c r="G272" s="1229">
        <f t="shared" si="29"/>
        <v>111.4</v>
      </c>
      <c r="H272" s="1229">
        <f t="shared" si="29"/>
        <v>304</v>
      </c>
      <c r="I272" s="1230">
        <f t="shared" si="31"/>
        <v>302.66417890359742</v>
      </c>
      <c r="J272" s="1219"/>
      <c r="V272" s="1218"/>
    </row>
    <row r="273" spans="1:22">
      <c r="A273" s="1226">
        <f t="shared" si="30"/>
        <v>44408</v>
      </c>
      <c r="B273" s="1227">
        <f t="shared" si="28"/>
        <v>2022</v>
      </c>
      <c r="C273" s="1215">
        <v>111.4</v>
      </c>
      <c r="D273" s="1215">
        <v>305.5</v>
      </c>
      <c r="E273" s="1228" t="e">
        <f>IF($A273&lt;DATE(2018,7,1),"-",INDEX(#REF!, MATCH(YEAR(EOMONTH($A273,6)),#REF!, 0)))</f>
        <v>#REF!</v>
      </c>
      <c r="F273" s="1228" t="e">
        <f>IF($A273&lt;DATE(2018,7,1),"-",INDEX(#REF!, MATCH(YEAR(EOMONTH($A273,6)),#REF!, 0)))</f>
        <v>#REF!</v>
      </c>
      <c r="G273" s="1229">
        <f t="shared" si="29"/>
        <v>111.4</v>
      </c>
      <c r="H273" s="1229">
        <f t="shared" si="29"/>
        <v>305.5</v>
      </c>
      <c r="I273" s="1230">
        <f t="shared" si="31"/>
        <v>302.66417890359742</v>
      </c>
      <c r="J273" s="1219"/>
      <c r="V273" s="1218"/>
    </row>
    <row r="274" spans="1:22">
      <c r="A274" s="1226">
        <f t="shared" si="30"/>
        <v>44439</v>
      </c>
      <c r="B274" s="1227">
        <f t="shared" si="28"/>
        <v>2022</v>
      </c>
      <c r="C274" s="1215">
        <v>112.1</v>
      </c>
      <c r="D274" s="1215">
        <v>307.39999999999998</v>
      </c>
      <c r="E274" s="1228" t="e">
        <f>IF($A274&lt;DATE(2018,7,1),"-",INDEX(#REF!, MATCH(YEAR(EOMONTH($A274,6)),#REF!, 0)))</f>
        <v>#REF!</v>
      </c>
      <c r="F274" s="1228" t="e">
        <f>IF($A274&lt;DATE(2018,7,1),"-",INDEX(#REF!, MATCH(YEAR(EOMONTH($A274,6)),#REF!, 0)))</f>
        <v>#REF!</v>
      </c>
      <c r="G274" s="1229">
        <f t="shared" si="29"/>
        <v>112.1</v>
      </c>
      <c r="H274" s="1229">
        <f t="shared" si="29"/>
        <v>307.39999999999998</v>
      </c>
      <c r="I274" s="1230">
        <f t="shared" si="31"/>
        <v>304.56601844787491</v>
      </c>
      <c r="J274" s="1219"/>
      <c r="V274" s="1218"/>
    </row>
    <row r="275" spans="1:22">
      <c r="A275" s="1226">
        <f t="shared" si="30"/>
        <v>44469</v>
      </c>
      <c r="B275" s="1227">
        <f t="shared" si="28"/>
        <v>2022</v>
      </c>
      <c r="C275" s="1215">
        <v>112.4</v>
      </c>
      <c r="D275" s="1215">
        <v>308.60000000000002</v>
      </c>
      <c r="E275" s="1228" t="e">
        <f>IF($A275&lt;DATE(2018,7,1),"-",INDEX(#REF!, MATCH(YEAR(EOMONTH($A275,6)),#REF!, 0)))</f>
        <v>#REF!</v>
      </c>
      <c r="F275" s="1228" t="e">
        <f>IF($A275&lt;DATE(2018,7,1),"-",INDEX(#REF!, MATCH(YEAR(EOMONTH($A275,6)),#REF!, 0)))</f>
        <v>#REF!</v>
      </c>
      <c r="G275" s="1229">
        <f t="shared" si="29"/>
        <v>112.4</v>
      </c>
      <c r="H275" s="1229">
        <f t="shared" si="29"/>
        <v>308.60000000000002</v>
      </c>
      <c r="I275" s="1230">
        <f t="shared" si="31"/>
        <v>305.38109253827957</v>
      </c>
      <c r="J275" s="1219"/>
      <c r="V275" s="1218"/>
    </row>
    <row r="276" spans="1:22">
      <c r="A276" s="1226">
        <f t="shared" si="30"/>
        <v>44500</v>
      </c>
      <c r="B276" s="1227">
        <f t="shared" si="28"/>
        <v>2022</v>
      </c>
      <c r="C276" s="1215">
        <v>113.4</v>
      </c>
      <c r="D276" s="1215">
        <v>312</v>
      </c>
      <c r="E276" s="1228" t="e">
        <f>IF($A276&lt;DATE(2018,7,1),"-",INDEX(#REF!, MATCH(YEAR(EOMONTH($A276,6)),#REF!, 0)))</f>
        <v>#REF!</v>
      </c>
      <c r="F276" s="1228" t="e">
        <f>IF($A276&lt;DATE(2018,7,1),"-",INDEX(#REF!, MATCH(YEAR(EOMONTH($A276,6)),#REF!, 0)))</f>
        <v>#REF!</v>
      </c>
      <c r="G276" s="1229">
        <f t="shared" si="29"/>
        <v>113.4</v>
      </c>
      <c r="H276" s="1229">
        <f t="shared" si="29"/>
        <v>312</v>
      </c>
      <c r="I276" s="1230">
        <f t="shared" si="31"/>
        <v>308.09800617296179</v>
      </c>
      <c r="J276" s="1219"/>
      <c r="V276" s="1218"/>
    </row>
    <row r="277" spans="1:22">
      <c r="A277" s="1226">
        <f t="shared" si="30"/>
        <v>44530</v>
      </c>
      <c r="B277" s="1227">
        <f t="shared" si="28"/>
        <v>2022</v>
      </c>
      <c r="C277" s="1215">
        <v>114.1</v>
      </c>
      <c r="D277" s="1215">
        <v>314.3</v>
      </c>
      <c r="E277" s="1228" t="e">
        <f>IF($A277&lt;DATE(2018,7,1),"-",INDEX(#REF!, MATCH(YEAR(EOMONTH($A277,6)),#REF!, 0)))</f>
        <v>#REF!</v>
      </c>
      <c r="F277" s="1228" t="e">
        <f>IF($A277&lt;DATE(2018,7,1),"-",INDEX(#REF!, MATCH(YEAR(EOMONTH($A277,6)),#REF!, 0)))</f>
        <v>#REF!</v>
      </c>
      <c r="G277" s="1229">
        <f t="shared" si="29"/>
        <v>114.1</v>
      </c>
      <c r="H277" s="1229">
        <f t="shared" si="29"/>
        <v>314.3</v>
      </c>
      <c r="I277" s="1230">
        <f t="shared" si="31"/>
        <v>309.99984571723928</v>
      </c>
      <c r="J277" s="1219"/>
      <c r="V277" s="1218"/>
    </row>
    <row r="278" spans="1:22">
      <c r="A278" s="1226">
        <f t="shared" si="30"/>
        <v>44561</v>
      </c>
      <c r="B278" s="1227">
        <f t="shared" si="28"/>
        <v>2022</v>
      </c>
      <c r="C278" s="1215">
        <v>114.7</v>
      </c>
      <c r="D278" s="1215">
        <v>317.7</v>
      </c>
      <c r="E278" s="1228" t="e">
        <f>IF($A278&lt;DATE(2018,7,1),"-",INDEX(#REF!, MATCH(YEAR(EOMONTH($A278,6)),#REF!, 0)))</f>
        <v>#REF!</v>
      </c>
      <c r="F278" s="1228" t="e">
        <f>IF($A278&lt;DATE(2018,7,1),"-",INDEX(#REF!, MATCH(YEAR(EOMONTH($A278,6)),#REF!, 0)))</f>
        <v>#REF!</v>
      </c>
      <c r="G278" s="1229">
        <f t="shared" ref="G278:H293" si="32">IF(ISBLANK(C278),G277*((1+E278)^(1/12)),C278)</f>
        <v>114.7</v>
      </c>
      <c r="H278" s="1229">
        <f t="shared" si="32"/>
        <v>317.7</v>
      </c>
      <c r="I278" s="1230">
        <f t="shared" si="31"/>
        <v>311.62999389804861</v>
      </c>
      <c r="J278" s="1219"/>
      <c r="V278" s="1218"/>
    </row>
    <row r="279" spans="1:22">
      <c r="A279" s="1226">
        <f t="shared" si="30"/>
        <v>44592</v>
      </c>
      <c r="B279" s="1227">
        <f t="shared" si="28"/>
        <v>2022</v>
      </c>
      <c r="C279" s="1215">
        <v>114.6</v>
      </c>
      <c r="D279" s="1215">
        <v>317.7</v>
      </c>
      <c r="E279" s="1228" t="e">
        <f>IF($A279&lt;DATE(2018,7,1),"-",INDEX(#REF!, MATCH(YEAR(EOMONTH($A279,6)),#REF!, 0)))</f>
        <v>#REF!</v>
      </c>
      <c r="F279" s="1228" t="e">
        <f>IF($A279&lt;DATE(2018,7,1),"-",INDEX(#REF!, MATCH(YEAR(EOMONTH($A279,6)),#REF!, 0)))</f>
        <v>#REF!</v>
      </c>
      <c r="G279" s="1229">
        <f t="shared" si="32"/>
        <v>114.6</v>
      </c>
      <c r="H279" s="1229">
        <f t="shared" si="32"/>
        <v>317.7</v>
      </c>
      <c r="I279" s="1230">
        <f t="shared" si="31"/>
        <v>311.35830253458039</v>
      </c>
      <c r="J279" s="1219"/>
      <c r="V279" s="1218"/>
    </row>
    <row r="280" spans="1:22">
      <c r="A280" s="1226">
        <f t="shared" si="30"/>
        <v>44620</v>
      </c>
      <c r="B280" s="1227">
        <f t="shared" si="28"/>
        <v>2022</v>
      </c>
      <c r="C280" s="1215">
        <v>115.4</v>
      </c>
      <c r="D280" s="1215">
        <v>320.2</v>
      </c>
      <c r="E280" s="1228" t="e">
        <f>IF($A280&lt;DATE(2018,7,1),"-",INDEX(#REF!, MATCH(YEAR(EOMONTH($A280,6)),#REF!, 0)))</f>
        <v>#REF!</v>
      </c>
      <c r="F280" s="1228" t="e">
        <f>IF($A280&lt;DATE(2018,7,1),"-",INDEX(#REF!, MATCH(YEAR(EOMONTH($A280,6)),#REF!, 0)))</f>
        <v>#REF!</v>
      </c>
      <c r="G280" s="1229">
        <f t="shared" si="32"/>
        <v>115.4</v>
      </c>
      <c r="H280" s="1229">
        <f t="shared" si="32"/>
        <v>320.2</v>
      </c>
      <c r="I280" s="1230">
        <f t="shared" si="31"/>
        <v>313.53183344232622</v>
      </c>
      <c r="V280" s="1218"/>
    </row>
    <row r="281" spans="1:22">
      <c r="A281" s="1226">
        <f t="shared" si="30"/>
        <v>44651</v>
      </c>
      <c r="B281" s="1227">
        <f t="shared" si="28"/>
        <v>2022</v>
      </c>
      <c r="C281" s="1215">
        <v>116.5</v>
      </c>
      <c r="D281" s="1215">
        <v>323.5</v>
      </c>
      <c r="E281" s="1228" t="e">
        <f>IF($A281&lt;DATE(2018,7,1),"-",INDEX(#REF!, MATCH(YEAR(EOMONTH($A281,6)),#REF!, 0)))</f>
        <v>#REF!</v>
      </c>
      <c r="F281" s="1228" t="e">
        <f>IF($A281&lt;DATE(2018,7,1),"-",INDEX(#REF!, MATCH(YEAR(EOMONTH($A281,6)),#REF!, 0)))</f>
        <v>#REF!</v>
      </c>
      <c r="G281" s="1229">
        <f t="shared" si="32"/>
        <v>116.5</v>
      </c>
      <c r="H281" s="1229">
        <f t="shared" si="32"/>
        <v>323.5</v>
      </c>
      <c r="I281" s="1230">
        <f t="shared" si="31"/>
        <v>316.5204384404766</v>
      </c>
      <c r="V281" s="1218"/>
    </row>
    <row r="282" spans="1:22">
      <c r="A282" s="1226">
        <f t="shared" si="30"/>
        <v>44681</v>
      </c>
      <c r="B282" s="1227">
        <f t="shared" si="28"/>
        <v>2023</v>
      </c>
      <c r="C282" s="1215">
        <v>119</v>
      </c>
      <c r="D282" s="1215">
        <v>334.6</v>
      </c>
      <c r="E282" s="1228" t="e">
        <f>IF($A282&lt;DATE(2018,7,1),"-",INDEX(#REF!, MATCH(YEAR(EOMONTH($A282,6)),#REF!, 0)))</f>
        <v>#REF!</v>
      </c>
      <c r="F282" s="1228" t="e">
        <f>IF($A282&lt;DATE(2018,7,1),"-",INDEX(#REF!, MATCH(YEAR(EOMONTH($A282,6)),#REF!, 0)))</f>
        <v>#REF!</v>
      </c>
      <c r="G282" s="1229">
        <f t="shared" si="32"/>
        <v>119</v>
      </c>
      <c r="H282" s="1229">
        <f t="shared" si="32"/>
        <v>334.6</v>
      </c>
      <c r="I282" s="1230">
        <f t="shared" si="31"/>
        <v>323.31272252718207</v>
      </c>
      <c r="V282" s="166"/>
    </row>
    <row r="283" spans="1:22">
      <c r="A283" s="1226">
        <f t="shared" si="30"/>
        <v>44712</v>
      </c>
      <c r="B283" s="1227">
        <f t="shared" si="28"/>
        <v>2023</v>
      </c>
      <c r="C283" s="1215">
        <v>119.7</v>
      </c>
      <c r="D283" s="1215">
        <v>337.1</v>
      </c>
      <c r="E283" s="1228" t="e">
        <f>IF($A283&lt;DATE(2018,7,1),"-",INDEX(#REF!, MATCH(YEAR(EOMONTH($A283,6)),#REF!, 0)))</f>
        <v>#REF!</v>
      </c>
      <c r="F283" s="1228" t="e">
        <f>IF($A283&lt;DATE(2018,7,1),"-",INDEX(#REF!, MATCH(YEAR(EOMONTH($A283,6)),#REF!, 0)))</f>
        <v>#REF!</v>
      </c>
      <c r="G283" s="1229">
        <f t="shared" si="32"/>
        <v>119.7</v>
      </c>
      <c r="H283" s="1229">
        <f t="shared" si="32"/>
        <v>337.1</v>
      </c>
      <c r="I283" s="1230">
        <f t="shared" si="31"/>
        <v>325.21456207145962</v>
      </c>
      <c r="V283" s="166"/>
    </row>
    <row r="284" spans="1:22">
      <c r="A284" s="1226">
        <f t="shared" si="30"/>
        <v>44742</v>
      </c>
      <c r="B284" s="1227">
        <f t="shared" si="28"/>
        <v>2023</v>
      </c>
      <c r="C284" s="1215">
        <v>120.5</v>
      </c>
      <c r="D284" s="1215">
        <v>340</v>
      </c>
      <c r="E284" s="1228" t="e">
        <f>IF($A284&lt;DATE(2018,7,1),"-",INDEX(#REF!, MATCH(YEAR(EOMONTH($A284,6)),#REF!, 0)))</f>
        <v>#REF!</v>
      </c>
      <c r="F284" s="1228" t="e">
        <f>IF($A284&lt;DATE(2018,7,1),"-",INDEX(#REF!, MATCH(YEAR(EOMONTH($A284,6)),#REF!, 0)))</f>
        <v>#REF!</v>
      </c>
      <c r="G284" s="1229">
        <f t="shared" si="32"/>
        <v>120.5</v>
      </c>
      <c r="H284" s="1229">
        <f t="shared" si="32"/>
        <v>340</v>
      </c>
      <c r="I284" s="1230">
        <f t="shared" si="31"/>
        <v>327.3880929792054</v>
      </c>
      <c r="V284" s="166"/>
    </row>
    <row r="285" spans="1:22">
      <c r="A285" s="1226">
        <f t="shared" si="30"/>
        <v>44773</v>
      </c>
      <c r="B285" s="1227">
        <f t="shared" si="28"/>
        <v>2023</v>
      </c>
      <c r="C285" s="1215">
        <v>121.2</v>
      </c>
      <c r="D285" s="1215">
        <v>343.2</v>
      </c>
      <c r="E285" s="1228" t="e">
        <f>IF($A285&lt;DATE(2018,7,1),"-",INDEX(#REF!, MATCH(YEAR(EOMONTH($A285,6)),#REF!, 0)))</f>
        <v>#REF!</v>
      </c>
      <c r="F285" s="1228" t="e">
        <f>IF($A285&lt;DATE(2018,7,1),"-",INDEX(#REF!, MATCH(YEAR(EOMONTH($A285,6)),#REF!, 0)))</f>
        <v>#REF!</v>
      </c>
      <c r="G285" s="1229">
        <f t="shared" si="32"/>
        <v>121.2</v>
      </c>
      <c r="H285" s="1229">
        <f t="shared" si="32"/>
        <v>343.2</v>
      </c>
      <c r="I285" s="1230">
        <f t="shared" si="31"/>
        <v>329.28993252348295</v>
      </c>
      <c r="V285" s="166"/>
    </row>
    <row r="286" spans="1:22">
      <c r="A286" s="1226">
        <f t="shared" si="30"/>
        <v>44804</v>
      </c>
      <c r="B286" s="1227">
        <f t="shared" si="28"/>
        <v>2023</v>
      </c>
      <c r="C286" s="1215">
        <v>121.8</v>
      </c>
      <c r="D286" s="1215">
        <v>345.2</v>
      </c>
      <c r="E286" s="1228" t="e">
        <f>IF($A286&lt;DATE(2018,7,1),"-",INDEX(#REF!, MATCH(YEAR(EOMONTH($A286,6)),#REF!, 0)))</f>
        <v>#REF!</v>
      </c>
      <c r="F286" s="1228" t="e">
        <f>IF($A286&lt;DATE(2018,7,1),"-",INDEX(#REF!, MATCH(YEAR(EOMONTH($A286,6)),#REF!, 0)))</f>
        <v>#REF!</v>
      </c>
      <c r="G286" s="1229">
        <f t="shared" si="32"/>
        <v>121.8</v>
      </c>
      <c r="H286" s="1229">
        <f t="shared" si="32"/>
        <v>345.2</v>
      </c>
      <c r="I286" s="1230">
        <f t="shared" si="31"/>
        <v>330.92008070429227</v>
      </c>
      <c r="V286" s="166"/>
    </row>
    <row r="287" spans="1:22">
      <c r="A287" s="1226">
        <f t="shared" si="30"/>
        <v>44834</v>
      </c>
      <c r="B287" s="1227">
        <f t="shared" si="28"/>
        <v>2023</v>
      </c>
      <c r="C287" s="1215">
        <v>122.3</v>
      </c>
      <c r="D287" s="1215">
        <v>347.6</v>
      </c>
      <c r="E287" s="1228" t="e">
        <f>IF($A287&lt;DATE(2018,7,1),"-",INDEX(#REF!, MATCH(YEAR(EOMONTH($A287,6)),#REF!, 0)))</f>
        <v>#REF!</v>
      </c>
      <c r="F287" s="1228" t="e">
        <f>IF($A287&lt;DATE(2018,7,1),"-",INDEX(#REF!, MATCH(YEAR(EOMONTH($A287,6)),#REF!, 0)))</f>
        <v>#REF!</v>
      </c>
      <c r="G287" s="1229">
        <f t="shared" si="32"/>
        <v>122.3</v>
      </c>
      <c r="H287" s="1229">
        <f t="shared" si="32"/>
        <v>347.6</v>
      </c>
      <c r="I287" s="1230">
        <f t="shared" si="31"/>
        <v>332.27853752163338</v>
      </c>
      <c r="V287" s="166"/>
    </row>
    <row r="288" spans="1:22">
      <c r="A288" s="1226">
        <f t="shared" si="30"/>
        <v>44865</v>
      </c>
      <c r="B288" s="1227">
        <f t="shared" si="28"/>
        <v>2023</v>
      </c>
      <c r="C288" s="1215">
        <v>124.3</v>
      </c>
      <c r="D288" s="1215">
        <v>356.2</v>
      </c>
      <c r="E288" s="1228" t="e">
        <f>IF($A288&lt;DATE(2018,7,1),"-",INDEX(#REF!, MATCH(YEAR(EOMONTH($A288,6)),#REF!, 0)))</f>
        <v>#REF!</v>
      </c>
      <c r="F288" s="1228" t="e">
        <f>IF($A288&lt;DATE(2018,7,1),"-",INDEX(#REF!, MATCH(YEAR(EOMONTH($A288,6)),#REF!, 0)))</f>
        <v>#REF!</v>
      </c>
      <c r="G288" s="1229">
        <f t="shared" si="32"/>
        <v>124.3</v>
      </c>
      <c r="H288" s="1229">
        <f t="shared" si="32"/>
        <v>356.2</v>
      </c>
      <c r="I288" s="1230">
        <f t="shared" si="31"/>
        <v>337.71236479099775</v>
      </c>
      <c r="V288" s="166"/>
    </row>
    <row r="289" spans="1:22">
      <c r="A289" s="1226">
        <f t="shared" si="30"/>
        <v>44895</v>
      </c>
      <c r="B289" s="1227">
        <f t="shared" si="28"/>
        <v>2023</v>
      </c>
      <c r="C289" s="1215">
        <v>124.8</v>
      </c>
      <c r="D289" s="1215">
        <v>358.3</v>
      </c>
      <c r="E289" s="1228" t="e">
        <f>IF($A289&lt;DATE(2018,7,1),"-",INDEX(#REF!, MATCH(YEAR(EOMONTH($A289,6)),#REF!, 0)))</f>
        <v>#REF!</v>
      </c>
      <c r="F289" s="1228" t="e">
        <f>IF($A289&lt;DATE(2018,7,1),"-",INDEX(#REF!, MATCH(YEAR(EOMONTH($A289,6)),#REF!, 0)))</f>
        <v>#REF!</v>
      </c>
      <c r="G289" s="1229">
        <f t="shared" si="32"/>
        <v>124.8</v>
      </c>
      <c r="H289" s="1229">
        <f t="shared" si="32"/>
        <v>358.3</v>
      </c>
      <c r="I289" s="1230">
        <f t="shared" si="31"/>
        <v>339.07082160833886</v>
      </c>
      <c r="V289" s="166"/>
    </row>
    <row r="290" spans="1:22">
      <c r="A290" s="1226">
        <f t="shared" si="30"/>
        <v>44926</v>
      </c>
      <c r="B290" s="1227">
        <f t="shared" si="28"/>
        <v>2023</v>
      </c>
      <c r="C290" s="1215">
        <v>125.3</v>
      </c>
      <c r="D290" s="1215">
        <v>360.4</v>
      </c>
      <c r="E290" s="1228" t="e">
        <f>IF($A290&lt;DATE(2018,7,1),"-",INDEX(#REF!, MATCH(YEAR(EOMONTH($A290,6)),#REF!, 0)))</f>
        <v>#REF!</v>
      </c>
      <c r="F290" s="1228" t="e">
        <f>IF($A290&lt;DATE(2018,7,1),"-",INDEX(#REF!, MATCH(YEAR(EOMONTH($A290,6)),#REF!, 0)))</f>
        <v>#REF!</v>
      </c>
      <c r="G290" s="1229">
        <f t="shared" si="32"/>
        <v>125.3</v>
      </c>
      <c r="H290" s="1229">
        <f t="shared" si="32"/>
        <v>360.4</v>
      </c>
      <c r="I290" s="1230">
        <f t="shared" si="31"/>
        <v>340.42927842567997</v>
      </c>
      <c r="V290" s="166"/>
    </row>
    <row r="291" spans="1:22">
      <c r="A291" s="1226">
        <f t="shared" si="30"/>
        <v>44957</v>
      </c>
      <c r="B291" s="1227">
        <f t="shared" si="28"/>
        <v>2023</v>
      </c>
      <c r="C291" s="1215">
        <v>124.8</v>
      </c>
      <c r="D291" s="1215">
        <v>360.3</v>
      </c>
      <c r="E291" s="1228" t="e">
        <f>IF($A291&lt;DATE(2018,7,1),"-",INDEX(#REF!, MATCH(YEAR(EOMONTH($A291,6)),#REF!, 0)))</f>
        <v>#REF!</v>
      </c>
      <c r="F291" s="1228" t="e">
        <f>IF($A291&lt;DATE(2018,7,1),"-",INDEX(#REF!, MATCH(YEAR(EOMONTH($A291,6)),#REF!, 0)))</f>
        <v>#REF!</v>
      </c>
      <c r="G291" s="1229">
        <f t="shared" si="32"/>
        <v>124.8</v>
      </c>
      <c r="H291" s="1229">
        <f t="shared" si="32"/>
        <v>360.3</v>
      </c>
      <c r="I291" s="1230">
        <f t="shared" si="31"/>
        <v>339.07082160833886</v>
      </c>
      <c r="V291" s="166"/>
    </row>
    <row r="292" spans="1:22">
      <c r="A292" s="1226">
        <f t="shared" si="30"/>
        <v>44985</v>
      </c>
      <c r="B292" s="1227">
        <f t="shared" si="28"/>
        <v>2023</v>
      </c>
      <c r="C292" s="1215">
        <v>126</v>
      </c>
      <c r="D292" s="1215">
        <v>364.5</v>
      </c>
      <c r="E292" s="1228" t="e">
        <f>IF($A292&lt;DATE(2018,7,1),"-",INDEX(#REF!, MATCH(YEAR(EOMONTH($A292,6)),#REF!, 0)))</f>
        <v>#REF!</v>
      </c>
      <c r="F292" s="1228" t="e">
        <f>IF($A292&lt;DATE(2018,7,1),"-",INDEX(#REF!, MATCH(YEAR(EOMONTH($A292,6)),#REF!, 0)))</f>
        <v>#REF!</v>
      </c>
      <c r="G292" s="1229">
        <f t="shared" si="32"/>
        <v>126</v>
      </c>
      <c r="H292" s="1229">
        <f t="shared" si="32"/>
        <v>364.5</v>
      </c>
      <c r="I292" s="1230">
        <f t="shared" si="31"/>
        <v>342.33111796995752</v>
      </c>
      <c r="V292" s="166"/>
    </row>
    <row r="293" spans="1:22">
      <c r="A293" s="1226">
        <f t="shared" si="30"/>
        <v>45016</v>
      </c>
      <c r="B293" s="1227">
        <f t="shared" si="28"/>
        <v>2023</v>
      </c>
      <c r="C293" s="1215">
        <v>126.8</v>
      </c>
      <c r="D293" s="1215">
        <v>367.2</v>
      </c>
      <c r="E293" s="1228" t="e">
        <f>IF($A293&lt;DATE(2018,7,1),"-",INDEX(#REF!, MATCH(YEAR(EOMONTH($A293,6)),#REF!, 0)))</f>
        <v>#REF!</v>
      </c>
      <c r="F293" s="1228" t="e">
        <f>IF($A293&lt;DATE(2018,7,1),"-",INDEX(#REF!, MATCH(YEAR(EOMONTH($A293,6)),#REF!, 0)))</f>
        <v>#REF!</v>
      </c>
      <c r="G293" s="1229">
        <f t="shared" si="32"/>
        <v>126.8</v>
      </c>
      <c r="H293" s="1229">
        <f t="shared" si="32"/>
        <v>367.2</v>
      </c>
      <c r="I293" s="1230">
        <f t="shared" si="31"/>
        <v>344.50464887770329</v>
      </c>
      <c r="V293" s="166"/>
    </row>
    <row r="294" spans="1:22">
      <c r="A294" s="1226">
        <f t="shared" si="30"/>
        <v>45046</v>
      </c>
      <c r="B294" s="1227">
        <f t="shared" si="28"/>
        <v>2024</v>
      </c>
      <c r="C294" s="1220"/>
      <c r="D294" s="1220"/>
      <c r="E294" s="1228" t="e">
        <f>IF($A294&lt;DATE(2018,7,1),"-",INDEX(#REF!, MATCH(YEAR(EOMONTH($A294,6)),#REF!, 0)))</f>
        <v>#REF!</v>
      </c>
      <c r="F294" s="1228" t="e">
        <f>IF($A294&lt;DATE(2018,7,1),"-",INDEX(#REF!, MATCH(YEAR(EOMONTH($A294,6)),#REF!, 0)))</f>
        <v>#REF!</v>
      </c>
      <c r="G294" s="1229" t="e">
        <f t="shared" ref="G294:H309" si="33">IF(ISBLANK(C294),G293*((1+E294)^(1/12)),C294)</f>
        <v>#REF!</v>
      </c>
      <c r="H294" s="1229" t="e">
        <f t="shared" si="33"/>
        <v>#REF!</v>
      </c>
      <c r="I294" s="1230" t="e">
        <f t="shared" si="31"/>
        <v>#REF!</v>
      </c>
      <c r="V294" s="1216"/>
    </row>
    <row r="295" spans="1:22">
      <c r="A295" s="1226">
        <f t="shared" si="30"/>
        <v>45077</v>
      </c>
      <c r="B295" s="1227">
        <f t="shared" si="28"/>
        <v>2024</v>
      </c>
      <c r="C295" s="1220"/>
      <c r="D295" s="1220"/>
      <c r="E295" s="1228" t="e">
        <f>IF($A295&lt;DATE(2018,7,1),"-",INDEX(#REF!, MATCH(YEAR(EOMONTH($A295,6)),#REF!, 0)))</f>
        <v>#REF!</v>
      </c>
      <c r="F295" s="1228" t="e">
        <f>IF($A295&lt;DATE(2018,7,1),"-",INDEX(#REF!, MATCH(YEAR(EOMONTH($A295,6)),#REF!, 0)))</f>
        <v>#REF!</v>
      </c>
      <c r="G295" s="1229" t="e">
        <f t="shared" si="33"/>
        <v>#REF!</v>
      </c>
      <c r="H295" s="1229" t="e">
        <f t="shared" si="33"/>
        <v>#REF!</v>
      </c>
      <c r="I295" s="1230" t="e">
        <f t="shared" si="31"/>
        <v>#REF!</v>
      </c>
      <c r="V295" s="1216"/>
    </row>
    <row r="296" spans="1:22">
      <c r="A296" s="1226">
        <f t="shared" si="30"/>
        <v>45107</v>
      </c>
      <c r="B296" s="1227">
        <f t="shared" si="28"/>
        <v>2024</v>
      </c>
      <c r="C296" s="1220"/>
      <c r="D296" s="1220"/>
      <c r="E296" s="1228" t="e">
        <f>IF($A296&lt;DATE(2018,7,1),"-",INDEX(#REF!, MATCH(YEAR(EOMONTH($A296,6)),#REF!, 0)))</f>
        <v>#REF!</v>
      </c>
      <c r="F296" s="1228" t="e">
        <f>IF($A296&lt;DATE(2018,7,1),"-",INDEX(#REF!, MATCH(YEAR(EOMONTH($A296,6)),#REF!, 0)))</f>
        <v>#REF!</v>
      </c>
      <c r="G296" s="1229" t="e">
        <f t="shared" si="33"/>
        <v>#REF!</v>
      </c>
      <c r="H296" s="1229" t="e">
        <f t="shared" si="33"/>
        <v>#REF!</v>
      </c>
      <c r="I296" s="1230" t="e">
        <f t="shared" si="31"/>
        <v>#REF!</v>
      </c>
      <c r="V296" s="1216"/>
    </row>
    <row r="297" spans="1:22">
      <c r="A297" s="1226">
        <f t="shared" si="30"/>
        <v>45138</v>
      </c>
      <c r="B297" s="1227">
        <f t="shared" si="28"/>
        <v>2024</v>
      </c>
      <c r="C297" s="1220"/>
      <c r="D297" s="1220"/>
      <c r="E297" s="1228" t="e">
        <f>IF($A297&lt;DATE(2018,7,1),"-",INDEX(#REF!, MATCH(YEAR(EOMONTH($A297,6)),#REF!, 0)))</f>
        <v>#REF!</v>
      </c>
      <c r="F297" s="1228" t="e">
        <f>IF($A297&lt;DATE(2018,7,1),"-",INDEX(#REF!, MATCH(YEAR(EOMONTH($A297,6)),#REF!, 0)))</f>
        <v>#REF!</v>
      </c>
      <c r="G297" s="1229" t="e">
        <f t="shared" si="33"/>
        <v>#REF!</v>
      </c>
      <c r="H297" s="1229" t="e">
        <f t="shared" si="33"/>
        <v>#REF!</v>
      </c>
      <c r="I297" s="1230" t="e">
        <f t="shared" si="31"/>
        <v>#REF!</v>
      </c>
      <c r="V297" s="1216"/>
    </row>
    <row r="298" spans="1:22">
      <c r="A298" s="1226">
        <f t="shared" si="30"/>
        <v>45169</v>
      </c>
      <c r="B298" s="1227">
        <f t="shared" si="28"/>
        <v>2024</v>
      </c>
      <c r="C298" s="1220"/>
      <c r="D298" s="1220"/>
      <c r="E298" s="1228" t="e">
        <f>IF($A298&lt;DATE(2018,7,1),"-",INDEX(#REF!, MATCH(YEAR(EOMONTH($A298,6)),#REF!, 0)))</f>
        <v>#REF!</v>
      </c>
      <c r="F298" s="1228" t="e">
        <f>IF($A298&lt;DATE(2018,7,1),"-",INDEX(#REF!, MATCH(YEAR(EOMONTH($A298,6)),#REF!, 0)))</f>
        <v>#REF!</v>
      </c>
      <c r="G298" s="1229" t="e">
        <f t="shared" si="33"/>
        <v>#REF!</v>
      </c>
      <c r="H298" s="1229" t="e">
        <f t="shared" si="33"/>
        <v>#REF!</v>
      </c>
      <c r="I298" s="1230" t="e">
        <f t="shared" si="31"/>
        <v>#REF!</v>
      </c>
      <c r="V298" s="1216"/>
    </row>
    <row r="299" spans="1:22">
      <c r="A299" s="1226">
        <f t="shared" si="30"/>
        <v>45199</v>
      </c>
      <c r="B299" s="1227">
        <f t="shared" si="28"/>
        <v>2024</v>
      </c>
      <c r="C299" s="1220"/>
      <c r="D299" s="1220"/>
      <c r="E299" s="1228" t="e">
        <f>IF($A299&lt;DATE(2018,7,1),"-",INDEX(#REF!, MATCH(YEAR(EOMONTH($A299,6)),#REF!, 0)))</f>
        <v>#REF!</v>
      </c>
      <c r="F299" s="1228" t="e">
        <f>IF($A299&lt;DATE(2018,7,1),"-",INDEX(#REF!, MATCH(YEAR(EOMONTH($A299,6)),#REF!, 0)))</f>
        <v>#REF!</v>
      </c>
      <c r="G299" s="1229" t="e">
        <f t="shared" si="33"/>
        <v>#REF!</v>
      </c>
      <c r="H299" s="1229" t="e">
        <f t="shared" si="33"/>
        <v>#REF!</v>
      </c>
      <c r="I299" s="1230" t="e">
        <f t="shared" si="31"/>
        <v>#REF!</v>
      </c>
      <c r="V299" s="1216"/>
    </row>
    <row r="300" spans="1:22">
      <c r="A300" s="1226">
        <f t="shared" si="30"/>
        <v>45230</v>
      </c>
      <c r="B300" s="1227">
        <f t="shared" si="28"/>
        <v>2024</v>
      </c>
      <c r="C300" s="1220"/>
      <c r="D300" s="1220"/>
      <c r="E300" s="1228" t="e">
        <f>IF($A300&lt;DATE(2018,7,1),"-",INDEX(#REF!, MATCH(YEAR(EOMONTH($A300,6)),#REF!, 0)))</f>
        <v>#REF!</v>
      </c>
      <c r="F300" s="1228" t="e">
        <f>IF($A300&lt;DATE(2018,7,1),"-",INDEX(#REF!, MATCH(YEAR(EOMONTH($A300,6)),#REF!, 0)))</f>
        <v>#REF!</v>
      </c>
      <c r="G300" s="1229" t="e">
        <f t="shared" si="33"/>
        <v>#REF!</v>
      </c>
      <c r="H300" s="1229" t="e">
        <f t="shared" si="33"/>
        <v>#REF!</v>
      </c>
      <c r="I300" s="1230" t="e">
        <f t="shared" si="31"/>
        <v>#REF!</v>
      </c>
      <c r="V300" s="1216"/>
    </row>
    <row r="301" spans="1:22">
      <c r="A301" s="1226">
        <f t="shared" si="30"/>
        <v>45260</v>
      </c>
      <c r="B301" s="1227">
        <f t="shared" si="28"/>
        <v>2024</v>
      </c>
      <c r="C301" s="1220"/>
      <c r="D301" s="1220"/>
      <c r="E301" s="1228" t="e">
        <f>IF($A301&lt;DATE(2018,7,1),"-",INDEX(#REF!, MATCH(YEAR(EOMONTH($A301,6)),#REF!, 0)))</f>
        <v>#REF!</v>
      </c>
      <c r="F301" s="1228" t="e">
        <f>IF($A301&lt;DATE(2018,7,1),"-",INDEX(#REF!, MATCH(YEAR(EOMONTH($A301,6)),#REF!, 0)))</f>
        <v>#REF!</v>
      </c>
      <c r="G301" s="1229" t="e">
        <f t="shared" si="33"/>
        <v>#REF!</v>
      </c>
      <c r="H301" s="1229" t="e">
        <f t="shared" si="33"/>
        <v>#REF!</v>
      </c>
      <c r="I301" s="1230" t="e">
        <f t="shared" si="31"/>
        <v>#REF!</v>
      </c>
      <c r="V301" s="1216"/>
    </row>
    <row r="302" spans="1:22">
      <c r="A302" s="1226">
        <f t="shared" si="30"/>
        <v>45291</v>
      </c>
      <c r="B302" s="1227">
        <f t="shared" si="28"/>
        <v>2024</v>
      </c>
      <c r="C302" s="1220"/>
      <c r="D302" s="1220"/>
      <c r="E302" s="1228" t="e">
        <f>IF($A302&lt;DATE(2018,7,1),"-",INDEX(#REF!, MATCH(YEAR(EOMONTH($A302,6)),#REF!, 0)))</f>
        <v>#REF!</v>
      </c>
      <c r="F302" s="1228" t="e">
        <f>IF($A302&lt;DATE(2018,7,1),"-",INDEX(#REF!, MATCH(YEAR(EOMONTH($A302,6)),#REF!, 0)))</f>
        <v>#REF!</v>
      </c>
      <c r="G302" s="1229" t="e">
        <f t="shared" si="33"/>
        <v>#REF!</v>
      </c>
      <c r="H302" s="1229" t="e">
        <f t="shared" si="33"/>
        <v>#REF!</v>
      </c>
      <c r="I302" s="1230" t="e">
        <f t="shared" si="31"/>
        <v>#REF!</v>
      </c>
      <c r="V302" s="1216"/>
    </row>
    <row r="303" spans="1:22">
      <c r="A303" s="1226">
        <f t="shared" si="30"/>
        <v>45322</v>
      </c>
      <c r="B303" s="1227">
        <f t="shared" si="28"/>
        <v>2024</v>
      </c>
      <c r="C303" s="1220"/>
      <c r="D303" s="1220"/>
      <c r="E303" s="1228" t="e">
        <f>IF($A303&lt;DATE(2018,7,1),"-",INDEX(#REF!, MATCH(YEAR(EOMONTH($A303,6)),#REF!, 0)))</f>
        <v>#REF!</v>
      </c>
      <c r="F303" s="1228" t="e">
        <f>IF($A303&lt;DATE(2018,7,1),"-",INDEX(#REF!, MATCH(YEAR(EOMONTH($A303,6)),#REF!, 0)))</f>
        <v>#REF!</v>
      </c>
      <c r="G303" s="1229" t="e">
        <f t="shared" si="33"/>
        <v>#REF!</v>
      </c>
      <c r="H303" s="1229" t="e">
        <f t="shared" si="33"/>
        <v>#REF!</v>
      </c>
      <c r="I303" s="1230" t="e">
        <f t="shared" si="31"/>
        <v>#REF!</v>
      </c>
      <c r="V303" s="1216"/>
    </row>
    <row r="304" spans="1:22">
      <c r="A304" s="1226">
        <f t="shared" si="30"/>
        <v>45351</v>
      </c>
      <c r="B304" s="1227">
        <f t="shared" si="28"/>
        <v>2024</v>
      </c>
      <c r="C304" s="1220"/>
      <c r="D304" s="1220"/>
      <c r="E304" s="1228" t="e">
        <f>IF($A304&lt;DATE(2018,7,1),"-",INDEX(#REF!, MATCH(YEAR(EOMONTH($A304,6)),#REF!, 0)))</f>
        <v>#REF!</v>
      </c>
      <c r="F304" s="1228" t="e">
        <f>IF($A304&lt;DATE(2018,7,1),"-",INDEX(#REF!, MATCH(YEAR(EOMONTH($A304,6)),#REF!, 0)))</f>
        <v>#REF!</v>
      </c>
      <c r="G304" s="1229" t="e">
        <f t="shared" si="33"/>
        <v>#REF!</v>
      </c>
      <c r="H304" s="1229" t="e">
        <f t="shared" si="33"/>
        <v>#REF!</v>
      </c>
      <c r="I304" s="1230" t="e">
        <f t="shared" si="31"/>
        <v>#REF!</v>
      </c>
      <c r="V304" s="1216"/>
    </row>
    <row r="305" spans="1:22">
      <c r="A305" s="1226">
        <f t="shared" si="30"/>
        <v>45382</v>
      </c>
      <c r="B305" s="1227">
        <f t="shared" si="28"/>
        <v>2024</v>
      </c>
      <c r="C305" s="1220"/>
      <c r="D305" s="1220"/>
      <c r="E305" s="1228" t="e">
        <f>IF($A305&lt;DATE(2018,7,1),"-",INDEX(#REF!, MATCH(YEAR(EOMONTH($A305,6)),#REF!, 0)))</f>
        <v>#REF!</v>
      </c>
      <c r="F305" s="1228" t="e">
        <f>IF($A305&lt;DATE(2018,7,1),"-",INDEX(#REF!, MATCH(YEAR(EOMONTH($A305,6)),#REF!, 0)))</f>
        <v>#REF!</v>
      </c>
      <c r="G305" s="1229" t="e">
        <f t="shared" si="33"/>
        <v>#REF!</v>
      </c>
      <c r="H305" s="1229" t="e">
        <f t="shared" si="33"/>
        <v>#REF!</v>
      </c>
      <c r="I305" s="1230" t="e">
        <f t="shared" si="31"/>
        <v>#REF!</v>
      </c>
      <c r="V305" s="1216"/>
    </row>
    <row r="306" spans="1:22">
      <c r="A306" s="1226">
        <f t="shared" si="30"/>
        <v>45412</v>
      </c>
      <c r="B306" s="1227">
        <f t="shared" si="28"/>
        <v>2025</v>
      </c>
      <c r="C306" s="1220"/>
      <c r="D306" s="1220"/>
      <c r="E306" s="1228" t="e">
        <f>IF($A306&lt;DATE(2018,7,1),"-",INDEX(#REF!, MATCH(YEAR(EOMONTH($A306,6)),#REF!, 0)))</f>
        <v>#REF!</v>
      </c>
      <c r="F306" s="1228" t="e">
        <f>IF($A306&lt;DATE(2018,7,1),"-",INDEX(#REF!, MATCH(YEAR(EOMONTH($A306,6)),#REF!, 0)))</f>
        <v>#REF!</v>
      </c>
      <c r="G306" s="1229" t="e">
        <f t="shared" si="33"/>
        <v>#REF!</v>
      </c>
      <c r="H306" s="1229" t="e">
        <f t="shared" si="33"/>
        <v>#REF!</v>
      </c>
      <c r="I306" s="1230" t="e">
        <f t="shared" si="31"/>
        <v>#REF!</v>
      </c>
      <c r="V306" s="1216"/>
    </row>
    <row r="307" spans="1:22">
      <c r="A307" s="1226">
        <f t="shared" si="30"/>
        <v>45443</v>
      </c>
      <c r="B307" s="1227">
        <f t="shared" si="28"/>
        <v>2025</v>
      </c>
      <c r="C307" s="1220"/>
      <c r="D307" s="1220"/>
      <c r="E307" s="1228" t="e">
        <f>IF($A307&lt;DATE(2018,7,1),"-",INDEX(#REF!, MATCH(YEAR(EOMONTH($A307,6)),#REF!, 0)))</f>
        <v>#REF!</v>
      </c>
      <c r="F307" s="1228" t="e">
        <f>IF($A307&lt;DATE(2018,7,1),"-",INDEX(#REF!, MATCH(YEAR(EOMONTH($A307,6)),#REF!, 0)))</f>
        <v>#REF!</v>
      </c>
      <c r="G307" s="1229" t="e">
        <f t="shared" si="33"/>
        <v>#REF!</v>
      </c>
      <c r="H307" s="1229" t="e">
        <f t="shared" si="33"/>
        <v>#REF!</v>
      </c>
      <c r="I307" s="1230" t="e">
        <f t="shared" si="31"/>
        <v>#REF!</v>
      </c>
      <c r="V307" s="1216"/>
    </row>
    <row r="308" spans="1:22">
      <c r="A308" s="1226">
        <f t="shared" si="30"/>
        <v>45473</v>
      </c>
      <c r="B308" s="1227">
        <f t="shared" si="28"/>
        <v>2025</v>
      </c>
      <c r="C308" s="1220"/>
      <c r="D308" s="1220"/>
      <c r="E308" s="1228" t="e">
        <f>IF($A308&lt;DATE(2018,7,1),"-",INDEX(#REF!, MATCH(YEAR(EOMONTH($A308,6)),#REF!, 0)))</f>
        <v>#REF!</v>
      </c>
      <c r="F308" s="1228" t="e">
        <f>IF($A308&lt;DATE(2018,7,1),"-",INDEX(#REF!, MATCH(YEAR(EOMONTH($A308,6)),#REF!, 0)))</f>
        <v>#REF!</v>
      </c>
      <c r="G308" s="1229" t="e">
        <f t="shared" si="33"/>
        <v>#REF!</v>
      </c>
      <c r="H308" s="1229" t="e">
        <f t="shared" si="33"/>
        <v>#REF!</v>
      </c>
      <c r="I308" s="1230" t="e">
        <f t="shared" si="31"/>
        <v>#REF!</v>
      </c>
      <c r="V308" s="1216"/>
    </row>
    <row r="309" spans="1:22">
      <c r="A309" s="1226">
        <f t="shared" si="30"/>
        <v>45504</v>
      </c>
      <c r="B309" s="1227">
        <f t="shared" si="28"/>
        <v>2025</v>
      </c>
      <c r="C309" s="1220"/>
      <c r="D309" s="1220"/>
      <c r="E309" s="1228" t="e">
        <f>IF($A309&lt;DATE(2018,7,1),"-",INDEX(#REF!, MATCH(YEAR(EOMONTH($A309,6)),#REF!, 0)))</f>
        <v>#REF!</v>
      </c>
      <c r="F309" s="1228" t="e">
        <f>IF($A309&lt;DATE(2018,7,1),"-",INDEX(#REF!, MATCH(YEAR(EOMONTH($A309,6)),#REF!, 0)))</f>
        <v>#REF!</v>
      </c>
      <c r="G309" s="1229" t="e">
        <f t="shared" si="33"/>
        <v>#REF!</v>
      </c>
      <c r="H309" s="1229" t="e">
        <f t="shared" si="33"/>
        <v>#REF!</v>
      </c>
      <c r="I309" s="1230" t="e">
        <f t="shared" si="31"/>
        <v>#REF!</v>
      </c>
      <c r="V309" s="1216"/>
    </row>
    <row r="310" spans="1:22">
      <c r="A310" s="1226">
        <f t="shared" si="30"/>
        <v>45535</v>
      </c>
      <c r="B310" s="1227">
        <f t="shared" si="28"/>
        <v>2025</v>
      </c>
      <c r="C310" s="1220"/>
      <c r="D310" s="1220"/>
      <c r="E310" s="1228" t="e">
        <f>IF($A310&lt;DATE(2018,7,1),"-",INDEX(#REF!, MATCH(YEAR(EOMONTH($A310,6)),#REF!, 0)))</f>
        <v>#REF!</v>
      </c>
      <c r="F310" s="1228" t="e">
        <f>IF($A310&lt;DATE(2018,7,1),"-",INDEX(#REF!, MATCH(YEAR(EOMONTH($A310,6)),#REF!, 0)))</f>
        <v>#REF!</v>
      </c>
      <c r="G310" s="1229" t="e">
        <f t="shared" ref="G310:H325" si="34">IF(ISBLANK(C310),G309*((1+E310)^(1/12)),C310)</f>
        <v>#REF!</v>
      </c>
      <c r="H310" s="1229" t="e">
        <f t="shared" si="34"/>
        <v>#REF!</v>
      </c>
      <c r="I310" s="1230" t="e">
        <f t="shared" si="31"/>
        <v>#REF!</v>
      </c>
      <c r="V310" s="1216"/>
    </row>
    <row r="311" spans="1:22">
      <c r="A311" s="1226">
        <f t="shared" si="30"/>
        <v>45565</v>
      </c>
      <c r="B311" s="1227">
        <f t="shared" si="28"/>
        <v>2025</v>
      </c>
      <c r="C311" s="1220"/>
      <c r="D311" s="1220"/>
      <c r="E311" s="1228" t="e">
        <f>IF($A311&lt;DATE(2018,7,1),"-",INDEX(#REF!, MATCH(YEAR(EOMONTH($A311,6)),#REF!, 0)))</f>
        <v>#REF!</v>
      </c>
      <c r="F311" s="1228" t="e">
        <f>IF($A311&lt;DATE(2018,7,1),"-",INDEX(#REF!, MATCH(YEAR(EOMONTH($A311,6)),#REF!, 0)))</f>
        <v>#REF!</v>
      </c>
      <c r="G311" s="1229" t="e">
        <f t="shared" si="34"/>
        <v>#REF!</v>
      </c>
      <c r="H311" s="1229" t="e">
        <f t="shared" si="34"/>
        <v>#REF!</v>
      </c>
      <c r="I311" s="1230" t="e">
        <f t="shared" si="31"/>
        <v>#REF!</v>
      </c>
      <c r="V311" s="1216"/>
    </row>
    <row r="312" spans="1:22">
      <c r="A312" s="1226">
        <f t="shared" si="30"/>
        <v>45596</v>
      </c>
      <c r="B312" s="1227">
        <f t="shared" si="28"/>
        <v>2025</v>
      </c>
      <c r="C312" s="1220"/>
      <c r="D312" s="1220"/>
      <c r="E312" s="1228" t="e">
        <f>IF($A312&lt;DATE(2018,7,1),"-",INDEX(#REF!, MATCH(YEAR(EOMONTH($A312,6)),#REF!, 0)))</f>
        <v>#REF!</v>
      </c>
      <c r="F312" s="1228" t="e">
        <f>IF($A312&lt;DATE(2018,7,1),"-",INDEX(#REF!, MATCH(YEAR(EOMONTH($A312,6)),#REF!, 0)))</f>
        <v>#REF!</v>
      </c>
      <c r="G312" s="1229" t="e">
        <f t="shared" si="34"/>
        <v>#REF!</v>
      </c>
      <c r="H312" s="1229" t="e">
        <f t="shared" si="34"/>
        <v>#REF!</v>
      </c>
      <c r="I312" s="1230" t="e">
        <f t="shared" si="31"/>
        <v>#REF!</v>
      </c>
      <c r="V312" s="1216"/>
    </row>
    <row r="313" spans="1:22">
      <c r="A313" s="1226">
        <f t="shared" si="30"/>
        <v>45626</v>
      </c>
      <c r="B313" s="1227">
        <f t="shared" si="28"/>
        <v>2025</v>
      </c>
      <c r="C313" s="1220"/>
      <c r="D313" s="1220"/>
      <c r="E313" s="1228" t="e">
        <f>IF($A313&lt;DATE(2018,7,1),"-",INDEX(#REF!, MATCH(YEAR(EOMONTH($A313,6)),#REF!, 0)))</f>
        <v>#REF!</v>
      </c>
      <c r="F313" s="1228" t="e">
        <f>IF($A313&lt;DATE(2018,7,1),"-",INDEX(#REF!, MATCH(YEAR(EOMONTH($A313,6)),#REF!, 0)))</f>
        <v>#REF!</v>
      </c>
      <c r="G313" s="1229" t="e">
        <f t="shared" si="34"/>
        <v>#REF!</v>
      </c>
      <c r="H313" s="1229" t="e">
        <f t="shared" si="34"/>
        <v>#REF!</v>
      </c>
      <c r="I313" s="1230" t="e">
        <f t="shared" si="31"/>
        <v>#REF!</v>
      </c>
      <c r="V313" s="1216"/>
    </row>
    <row r="314" spans="1:22">
      <c r="A314" s="1226">
        <f t="shared" si="30"/>
        <v>45657</v>
      </c>
      <c r="B314" s="1227">
        <f t="shared" si="28"/>
        <v>2025</v>
      </c>
      <c r="C314" s="1220"/>
      <c r="D314" s="1220"/>
      <c r="E314" s="1228" t="e">
        <f>IF($A314&lt;DATE(2018,7,1),"-",INDEX(#REF!, MATCH(YEAR(EOMONTH($A314,6)),#REF!, 0)))</f>
        <v>#REF!</v>
      </c>
      <c r="F314" s="1228" t="e">
        <f>IF($A314&lt;DATE(2018,7,1),"-",INDEX(#REF!, MATCH(YEAR(EOMONTH($A314,6)),#REF!, 0)))</f>
        <v>#REF!</v>
      </c>
      <c r="G314" s="1229" t="e">
        <f t="shared" si="34"/>
        <v>#REF!</v>
      </c>
      <c r="H314" s="1229" t="e">
        <f t="shared" si="34"/>
        <v>#REF!</v>
      </c>
      <c r="I314" s="1230" t="e">
        <f t="shared" si="31"/>
        <v>#REF!</v>
      </c>
      <c r="V314" s="1216"/>
    </row>
    <row r="315" spans="1:22">
      <c r="A315" s="1226">
        <f t="shared" si="30"/>
        <v>45688</v>
      </c>
      <c r="B315" s="1227">
        <f t="shared" si="28"/>
        <v>2025</v>
      </c>
      <c r="C315" s="1220"/>
      <c r="D315" s="1220"/>
      <c r="E315" s="1228" t="e">
        <f>IF($A315&lt;DATE(2018,7,1),"-",INDEX(#REF!, MATCH(YEAR(EOMONTH($A315,6)),#REF!, 0)))</f>
        <v>#REF!</v>
      </c>
      <c r="F315" s="1228" t="e">
        <f>IF($A315&lt;DATE(2018,7,1),"-",INDEX(#REF!, MATCH(YEAR(EOMONTH($A315,6)),#REF!, 0)))</f>
        <v>#REF!</v>
      </c>
      <c r="G315" s="1229" t="e">
        <f t="shared" si="34"/>
        <v>#REF!</v>
      </c>
      <c r="H315" s="1229" t="e">
        <f t="shared" si="34"/>
        <v>#REF!</v>
      </c>
      <c r="I315" s="1230" t="e">
        <f t="shared" si="31"/>
        <v>#REF!</v>
      </c>
      <c r="V315" s="1216"/>
    </row>
    <row r="316" spans="1:22">
      <c r="A316" s="1226">
        <f t="shared" si="30"/>
        <v>45716</v>
      </c>
      <c r="B316" s="1227">
        <f t="shared" si="28"/>
        <v>2025</v>
      </c>
      <c r="C316" s="1220"/>
      <c r="D316" s="1220"/>
      <c r="E316" s="1228" t="e">
        <f>IF($A316&lt;DATE(2018,7,1),"-",INDEX(#REF!, MATCH(YEAR(EOMONTH($A316,6)),#REF!, 0)))</f>
        <v>#REF!</v>
      </c>
      <c r="F316" s="1228" t="e">
        <f>IF($A316&lt;DATE(2018,7,1),"-",INDEX(#REF!, MATCH(YEAR(EOMONTH($A316,6)),#REF!, 0)))</f>
        <v>#REF!</v>
      </c>
      <c r="G316" s="1229" t="e">
        <f t="shared" si="34"/>
        <v>#REF!</v>
      </c>
      <c r="H316" s="1229" t="e">
        <f t="shared" si="34"/>
        <v>#REF!</v>
      </c>
      <c r="I316" s="1230" t="e">
        <f t="shared" si="31"/>
        <v>#REF!</v>
      </c>
      <c r="V316" s="1216"/>
    </row>
    <row r="317" spans="1:22">
      <c r="A317" s="1226">
        <f t="shared" si="30"/>
        <v>45747</v>
      </c>
      <c r="B317" s="1227">
        <f t="shared" si="28"/>
        <v>2025</v>
      </c>
      <c r="C317" s="1220"/>
      <c r="D317" s="1220"/>
      <c r="E317" s="1228" t="e">
        <f>IF($A317&lt;DATE(2018,7,1),"-",INDEX(#REF!, MATCH(YEAR(EOMONTH($A317,6)),#REF!, 0)))</f>
        <v>#REF!</v>
      </c>
      <c r="F317" s="1228" t="e">
        <f>IF($A317&lt;DATE(2018,7,1),"-",INDEX(#REF!, MATCH(YEAR(EOMONTH($A317,6)),#REF!, 0)))</f>
        <v>#REF!</v>
      </c>
      <c r="G317" s="1229" t="e">
        <f t="shared" si="34"/>
        <v>#REF!</v>
      </c>
      <c r="H317" s="1229" t="e">
        <f t="shared" si="34"/>
        <v>#REF!</v>
      </c>
      <c r="I317" s="1230" t="e">
        <f t="shared" si="31"/>
        <v>#REF!</v>
      </c>
      <c r="V317" s="1216"/>
    </row>
    <row r="318" spans="1:22">
      <c r="A318" s="1226">
        <f t="shared" si="30"/>
        <v>45777</v>
      </c>
      <c r="B318" s="1227">
        <f t="shared" si="28"/>
        <v>2026</v>
      </c>
      <c r="C318" s="1220"/>
      <c r="D318" s="1220"/>
      <c r="E318" s="1228" t="e">
        <f>IF($A318&lt;DATE(2018,7,1),"-",INDEX(#REF!, MATCH(YEAR(EOMONTH($A318,6)),#REF!, 0)))</f>
        <v>#REF!</v>
      </c>
      <c r="F318" s="1228" t="e">
        <f>IF($A318&lt;DATE(2018,7,1),"-",INDEX(#REF!, MATCH(YEAR(EOMONTH($A318,6)),#REF!, 0)))</f>
        <v>#REF!</v>
      </c>
      <c r="G318" s="1229" t="e">
        <f t="shared" si="34"/>
        <v>#REF!</v>
      </c>
      <c r="H318" s="1229" t="e">
        <f t="shared" si="34"/>
        <v>#REF!</v>
      </c>
      <c r="I318" s="1230" t="e">
        <f t="shared" si="31"/>
        <v>#REF!</v>
      </c>
      <c r="V318" s="1216"/>
    </row>
    <row r="319" spans="1:22">
      <c r="A319" s="1226">
        <f t="shared" si="30"/>
        <v>45808</v>
      </c>
      <c r="B319" s="1227">
        <f t="shared" si="28"/>
        <v>2026</v>
      </c>
      <c r="C319" s="1220"/>
      <c r="D319" s="1220"/>
      <c r="E319" s="1228" t="e">
        <f>IF($A319&lt;DATE(2018,7,1),"-",INDEX(#REF!, MATCH(YEAR(EOMONTH($A319,6)),#REF!, 0)))</f>
        <v>#REF!</v>
      </c>
      <c r="F319" s="1228" t="e">
        <f>IF($A319&lt;DATE(2018,7,1),"-",INDEX(#REF!, MATCH(YEAR(EOMONTH($A319,6)),#REF!, 0)))</f>
        <v>#REF!</v>
      </c>
      <c r="G319" s="1229" t="e">
        <f t="shared" si="34"/>
        <v>#REF!</v>
      </c>
      <c r="H319" s="1229" t="e">
        <f t="shared" si="34"/>
        <v>#REF!</v>
      </c>
      <c r="I319" s="1230" t="e">
        <f t="shared" si="31"/>
        <v>#REF!</v>
      </c>
      <c r="V319" s="1216"/>
    </row>
    <row r="320" spans="1:22">
      <c r="A320" s="1226">
        <f t="shared" si="30"/>
        <v>45838</v>
      </c>
      <c r="B320" s="1227">
        <f t="shared" si="28"/>
        <v>2026</v>
      </c>
      <c r="C320" s="1220"/>
      <c r="D320" s="1220"/>
      <c r="E320" s="1228" t="e">
        <f>IF($A320&lt;DATE(2018,7,1),"-",INDEX(#REF!, MATCH(YEAR(EOMONTH($A320,6)),#REF!, 0)))</f>
        <v>#REF!</v>
      </c>
      <c r="F320" s="1228" t="e">
        <f>IF($A320&lt;DATE(2018,7,1),"-",INDEX(#REF!, MATCH(YEAR(EOMONTH($A320,6)),#REF!, 0)))</f>
        <v>#REF!</v>
      </c>
      <c r="G320" s="1229" t="e">
        <f t="shared" si="34"/>
        <v>#REF!</v>
      </c>
      <c r="H320" s="1229" t="e">
        <f t="shared" si="34"/>
        <v>#REF!</v>
      </c>
      <c r="I320" s="1230" t="e">
        <f t="shared" si="31"/>
        <v>#REF!</v>
      </c>
      <c r="V320" s="1216"/>
    </row>
    <row r="321" spans="1:22">
      <c r="A321" s="1226">
        <f t="shared" si="30"/>
        <v>45869</v>
      </c>
      <c r="B321" s="1227">
        <f t="shared" si="28"/>
        <v>2026</v>
      </c>
      <c r="C321" s="1220"/>
      <c r="D321" s="1220"/>
      <c r="E321" s="1228" t="e">
        <f>IF($A321&lt;DATE(2018,7,1),"-",INDEX(#REF!, MATCH(YEAR(EOMONTH($A321,6)),#REF!, 0)))</f>
        <v>#REF!</v>
      </c>
      <c r="F321" s="1228" t="e">
        <f>IF($A321&lt;DATE(2018,7,1),"-",INDEX(#REF!, MATCH(YEAR(EOMONTH($A321,6)),#REF!, 0)))</f>
        <v>#REF!</v>
      </c>
      <c r="G321" s="1229" t="e">
        <f t="shared" si="34"/>
        <v>#REF!</v>
      </c>
      <c r="H321" s="1229" t="e">
        <f t="shared" si="34"/>
        <v>#REF!</v>
      </c>
      <c r="I321" s="1230" t="e">
        <f t="shared" si="31"/>
        <v>#REF!</v>
      </c>
      <c r="V321" s="1216"/>
    </row>
    <row r="322" spans="1:22">
      <c r="A322" s="1226">
        <f t="shared" si="30"/>
        <v>45900</v>
      </c>
      <c r="B322" s="1227">
        <f t="shared" si="28"/>
        <v>2026</v>
      </c>
      <c r="C322" s="1220"/>
      <c r="D322" s="1220"/>
      <c r="E322" s="1228" t="e">
        <f>IF($A322&lt;DATE(2018,7,1),"-",INDEX(#REF!, MATCH(YEAR(EOMONTH($A322,6)),#REF!, 0)))</f>
        <v>#REF!</v>
      </c>
      <c r="F322" s="1228" t="e">
        <f>IF($A322&lt;DATE(2018,7,1),"-",INDEX(#REF!, MATCH(YEAR(EOMONTH($A322,6)),#REF!, 0)))</f>
        <v>#REF!</v>
      </c>
      <c r="G322" s="1229" t="e">
        <f t="shared" si="34"/>
        <v>#REF!</v>
      </c>
      <c r="H322" s="1229" t="e">
        <f t="shared" si="34"/>
        <v>#REF!</v>
      </c>
      <c r="I322" s="1230" t="e">
        <f t="shared" si="31"/>
        <v>#REF!</v>
      </c>
      <c r="V322" s="1216"/>
    </row>
    <row r="323" spans="1:22">
      <c r="A323" s="1226">
        <f t="shared" si="30"/>
        <v>45930</v>
      </c>
      <c r="B323" s="1227">
        <f t="shared" si="28"/>
        <v>2026</v>
      </c>
      <c r="C323" s="1220"/>
      <c r="D323" s="1220"/>
      <c r="E323" s="1228" t="e">
        <f>IF($A323&lt;DATE(2018,7,1),"-",INDEX(#REF!, MATCH(YEAR(EOMONTH($A323,6)),#REF!, 0)))</f>
        <v>#REF!</v>
      </c>
      <c r="F323" s="1228" t="e">
        <f>IF($A323&lt;DATE(2018,7,1),"-",INDEX(#REF!, MATCH(YEAR(EOMONTH($A323,6)),#REF!, 0)))</f>
        <v>#REF!</v>
      </c>
      <c r="G323" s="1229" t="e">
        <f t="shared" si="34"/>
        <v>#REF!</v>
      </c>
      <c r="H323" s="1229" t="e">
        <f t="shared" si="34"/>
        <v>#REF!</v>
      </c>
      <c r="I323" s="1230" t="e">
        <f t="shared" si="31"/>
        <v>#REF!</v>
      </c>
      <c r="V323" s="1216"/>
    </row>
    <row r="324" spans="1:22">
      <c r="A324" s="1226">
        <f t="shared" si="30"/>
        <v>45961</v>
      </c>
      <c r="B324" s="1227">
        <f t="shared" si="28"/>
        <v>2026</v>
      </c>
      <c r="C324" s="1220"/>
      <c r="D324" s="1220"/>
      <c r="E324" s="1228" t="e">
        <f>IF($A324&lt;DATE(2018,7,1),"-",INDEX(#REF!, MATCH(YEAR(EOMONTH($A324,6)),#REF!, 0)))</f>
        <v>#REF!</v>
      </c>
      <c r="F324" s="1228" t="e">
        <f>IF($A324&lt;DATE(2018,7,1),"-",INDEX(#REF!, MATCH(YEAR(EOMONTH($A324,6)),#REF!, 0)))</f>
        <v>#REF!</v>
      </c>
      <c r="G324" s="1229" t="e">
        <f t="shared" si="34"/>
        <v>#REF!</v>
      </c>
      <c r="H324" s="1229" t="e">
        <f t="shared" si="34"/>
        <v>#REF!</v>
      </c>
      <c r="I324" s="1230" t="e">
        <f t="shared" si="31"/>
        <v>#REF!</v>
      </c>
      <c r="V324" s="1216"/>
    </row>
    <row r="325" spans="1:22">
      <c r="A325" s="1226">
        <f t="shared" si="30"/>
        <v>45991</v>
      </c>
      <c r="B325" s="1227">
        <f t="shared" si="28"/>
        <v>2026</v>
      </c>
      <c r="C325" s="1220"/>
      <c r="D325" s="1220"/>
      <c r="E325" s="1228" t="e">
        <f>IF($A325&lt;DATE(2018,7,1),"-",INDEX(#REF!, MATCH(YEAR(EOMONTH($A325,6)),#REF!, 0)))</f>
        <v>#REF!</v>
      </c>
      <c r="F325" s="1228" t="e">
        <f>IF($A325&lt;DATE(2018,7,1),"-",INDEX(#REF!, MATCH(YEAR(EOMONTH($A325,6)),#REF!, 0)))</f>
        <v>#REF!</v>
      </c>
      <c r="G325" s="1229" t="e">
        <f t="shared" si="34"/>
        <v>#REF!</v>
      </c>
      <c r="H325" s="1229" t="e">
        <f t="shared" si="34"/>
        <v>#REF!</v>
      </c>
      <c r="I325" s="1230" t="e">
        <f t="shared" si="31"/>
        <v>#REF!</v>
      </c>
      <c r="V325" s="1216"/>
    </row>
    <row r="326" spans="1:22">
      <c r="A326" s="1226">
        <f t="shared" si="30"/>
        <v>46022</v>
      </c>
      <c r="B326" s="1227">
        <f t="shared" ref="B326:B389" si="35">IF(MONTH(A326)&gt;=4,YEAR(A326)+1,YEAR(A326))</f>
        <v>2026</v>
      </c>
      <c r="C326" s="1220"/>
      <c r="D326" s="1220"/>
      <c r="E326" s="1228" t="e">
        <f>IF($A326&lt;DATE(2018,7,1),"-",INDEX(#REF!, MATCH(YEAR(EOMONTH($A326,6)),#REF!, 0)))</f>
        <v>#REF!</v>
      </c>
      <c r="F326" s="1228" t="e">
        <f>IF($A326&lt;DATE(2018,7,1),"-",INDEX(#REF!, MATCH(YEAR(EOMONTH($A326,6)),#REF!, 0)))</f>
        <v>#REF!</v>
      </c>
      <c r="G326" s="1229" t="e">
        <f t="shared" ref="G326:H341" si="36">IF(ISBLANK(C326),G325*((1+E326)^(1/12)),C326)</f>
        <v>#REF!</v>
      </c>
      <c r="H326" s="1229" t="e">
        <f t="shared" si="36"/>
        <v>#REF!</v>
      </c>
      <c r="I326" s="1230" t="e">
        <f t="shared" si="31"/>
        <v>#REF!</v>
      </c>
      <c r="V326" s="1216"/>
    </row>
    <row r="327" spans="1:22">
      <c r="A327" s="1226">
        <f t="shared" ref="A327:A390" si="37">IF(MONTH(A326) = 12, EOMONTH(DATE(YEAR(A326) + 1, 1, 1), 0), EOMONTH(DATE(YEAR(A326), MONTH(A326) + 1, 1), 0))</f>
        <v>46053</v>
      </c>
      <c r="B327" s="1227">
        <f t="shared" si="35"/>
        <v>2026</v>
      </c>
      <c r="C327" s="1220"/>
      <c r="D327" s="1220"/>
      <c r="E327" s="1228" t="e">
        <f>IF($A327&lt;DATE(2018,7,1),"-",INDEX(#REF!, MATCH(YEAR(EOMONTH($A327,6)),#REF!, 0)))</f>
        <v>#REF!</v>
      </c>
      <c r="F327" s="1228" t="e">
        <f>IF($A327&lt;DATE(2018,7,1),"-",INDEX(#REF!, MATCH(YEAR(EOMONTH($A327,6)),#REF!, 0)))</f>
        <v>#REF!</v>
      </c>
      <c r="G327" s="1229" t="e">
        <f t="shared" si="36"/>
        <v>#REF!</v>
      </c>
      <c r="H327" s="1229" t="e">
        <f t="shared" si="36"/>
        <v>#REF!</v>
      </c>
      <c r="I327" s="1230" t="e">
        <f t="shared" ref="I327:I390" si="38">IF($A327 &lt; DATE(2021, 4, 1), H327, IF($A327 = DATE(2021, 4, 30), I326 * ((0.5*G327/G326) + (0.5*H327/H326)),I326*(G327/G326)))</f>
        <v>#REF!</v>
      </c>
      <c r="V327" s="1216"/>
    </row>
    <row r="328" spans="1:22">
      <c r="A328" s="1226">
        <f t="shared" si="37"/>
        <v>46081</v>
      </c>
      <c r="B328" s="1227">
        <f t="shared" si="35"/>
        <v>2026</v>
      </c>
      <c r="C328" s="1220"/>
      <c r="D328" s="1220"/>
      <c r="E328" s="1228" t="e">
        <f>IF($A328&lt;DATE(2018,7,1),"-",INDEX(#REF!, MATCH(YEAR(EOMONTH($A328,6)),#REF!, 0)))</f>
        <v>#REF!</v>
      </c>
      <c r="F328" s="1228" t="e">
        <f>IF($A328&lt;DATE(2018,7,1),"-",INDEX(#REF!, MATCH(YEAR(EOMONTH($A328,6)),#REF!, 0)))</f>
        <v>#REF!</v>
      </c>
      <c r="G328" s="1229" t="e">
        <f t="shared" si="36"/>
        <v>#REF!</v>
      </c>
      <c r="H328" s="1229" t="e">
        <f t="shared" si="36"/>
        <v>#REF!</v>
      </c>
      <c r="I328" s="1230" t="e">
        <f t="shared" si="38"/>
        <v>#REF!</v>
      </c>
      <c r="V328" s="1216"/>
    </row>
    <row r="329" spans="1:22">
      <c r="A329" s="1226">
        <f t="shared" si="37"/>
        <v>46112</v>
      </c>
      <c r="B329" s="1227">
        <f t="shared" si="35"/>
        <v>2026</v>
      </c>
      <c r="C329" s="1220"/>
      <c r="D329" s="1220"/>
      <c r="E329" s="1228" t="e">
        <f>IF($A329&lt;DATE(2018,7,1),"-",INDEX(#REF!, MATCH(YEAR(EOMONTH($A329,6)),#REF!, 0)))</f>
        <v>#REF!</v>
      </c>
      <c r="F329" s="1228" t="e">
        <f>IF($A329&lt;DATE(2018,7,1),"-",INDEX(#REF!, MATCH(YEAR(EOMONTH($A329,6)),#REF!, 0)))</f>
        <v>#REF!</v>
      </c>
      <c r="G329" s="1229" t="e">
        <f t="shared" si="36"/>
        <v>#REF!</v>
      </c>
      <c r="H329" s="1229" t="e">
        <f t="shared" si="36"/>
        <v>#REF!</v>
      </c>
      <c r="I329" s="1230" t="e">
        <f t="shared" si="38"/>
        <v>#REF!</v>
      </c>
      <c r="V329" s="1216"/>
    </row>
    <row r="330" spans="1:22">
      <c r="A330" s="1226">
        <f t="shared" si="37"/>
        <v>46142</v>
      </c>
      <c r="B330" s="1227">
        <f t="shared" si="35"/>
        <v>2027</v>
      </c>
      <c r="C330" s="1220"/>
      <c r="D330" s="1220"/>
      <c r="E330" s="1228" t="e">
        <f>IF($A330&lt;DATE(2018,7,1),"-",INDEX(#REF!, MATCH(YEAR(EOMONTH($A330,6)),#REF!, 0)))</f>
        <v>#REF!</v>
      </c>
      <c r="F330" s="1228" t="e">
        <f>IF($A330&lt;DATE(2018,7,1),"-",INDEX(#REF!, MATCH(YEAR(EOMONTH($A330,6)),#REF!, 0)))</f>
        <v>#REF!</v>
      </c>
      <c r="G330" s="1229" t="e">
        <f t="shared" si="36"/>
        <v>#REF!</v>
      </c>
      <c r="H330" s="1229" t="e">
        <f t="shared" si="36"/>
        <v>#REF!</v>
      </c>
      <c r="I330" s="1230" t="e">
        <f t="shared" si="38"/>
        <v>#REF!</v>
      </c>
      <c r="V330" s="1216"/>
    </row>
    <row r="331" spans="1:22">
      <c r="A331" s="1226">
        <f t="shared" si="37"/>
        <v>46173</v>
      </c>
      <c r="B331" s="1227">
        <f t="shared" si="35"/>
        <v>2027</v>
      </c>
      <c r="C331" s="1220"/>
      <c r="D331" s="1220"/>
      <c r="E331" s="1228" t="e">
        <f>IF($A331&lt;DATE(2018,7,1),"-",INDEX(#REF!, MATCH(YEAR(EOMONTH($A331,6)),#REF!, 0)))</f>
        <v>#REF!</v>
      </c>
      <c r="F331" s="1228" t="e">
        <f>IF($A331&lt;DATE(2018,7,1),"-",INDEX(#REF!, MATCH(YEAR(EOMONTH($A331,6)),#REF!, 0)))</f>
        <v>#REF!</v>
      </c>
      <c r="G331" s="1229" t="e">
        <f t="shared" si="36"/>
        <v>#REF!</v>
      </c>
      <c r="H331" s="1229" t="e">
        <f t="shared" si="36"/>
        <v>#REF!</v>
      </c>
      <c r="I331" s="1230" t="e">
        <f t="shared" si="38"/>
        <v>#REF!</v>
      </c>
      <c r="V331" s="1216"/>
    </row>
    <row r="332" spans="1:22">
      <c r="A332" s="1226">
        <f t="shared" si="37"/>
        <v>46203</v>
      </c>
      <c r="B332" s="1227">
        <f t="shared" si="35"/>
        <v>2027</v>
      </c>
      <c r="C332" s="1220"/>
      <c r="D332" s="1220"/>
      <c r="E332" s="1228" t="e">
        <f>IF($A332&lt;DATE(2018,7,1),"-",INDEX(#REF!, MATCH(YEAR(EOMONTH($A332,6)),#REF!, 0)))</f>
        <v>#REF!</v>
      </c>
      <c r="F332" s="1228" t="e">
        <f>IF($A332&lt;DATE(2018,7,1),"-",INDEX(#REF!, MATCH(YEAR(EOMONTH($A332,6)),#REF!, 0)))</f>
        <v>#REF!</v>
      </c>
      <c r="G332" s="1229" t="e">
        <f t="shared" si="36"/>
        <v>#REF!</v>
      </c>
      <c r="H332" s="1229" t="e">
        <f t="shared" si="36"/>
        <v>#REF!</v>
      </c>
      <c r="I332" s="1230" t="e">
        <f t="shared" si="38"/>
        <v>#REF!</v>
      </c>
      <c r="V332" s="1216"/>
    </row>
    <row r="333" spans="1:22">
      <c r="A333" s="1226">
        <f t="shared" si="37"/>
        <v>46234</v>
      </c>
      <c r="B333" s="1227">
        <f t="shared" si="35"/>
        <v>2027</v>
      </c>
      <c r="C333" s="1220"/>
      <c r="D333" s="1220"/>
      <c r="E333" s="1228" t="e">
        <f>IF($A333&lt;DATE(2018,7,1),"-",INDEX(#REF!, MATCH(YEAR(EOMONTH($A333,6)),#REF!, 0)))</f>
        <v>#REF!</v>
      </c>
      <c r="F333" s="1228" t="e">
        <f>IF($A333&lt;DATE(2018,7,1),"-",INDEX(#REF!, MATCH(YEAR(EOMONTH($A333,6)),#REF!, 0)))</f>
        <v>#REF!</v>
      </c>
      <c r="G333" s="1229" t="e">
        <f t="shared" si="36"/>
        <v>#REF!</v>
      </c>
      <c r="H333" s="1229" t="e">
        <f t="shared" si="36"/>
        <v>#REF!</v>
      </c>
      <c r="I333" s="1230" t="e">
        <f t="shared" si="38"/>
        <v>#REF!</v>
      </c>
      <c r="V333" s="1216"/>
    </row>
    <row r="334" spans="1:22">
      <c r="A334" s="1226">
        <f t="shared" si="37"/>
        <v>46265</v>
      </c>
      <c r="B334" s="1227">
        <f t="shared" si="35"/>
        <v>2027</v>
      </c>
      <c r="C334" s="1220"/>
      <c r="D334" s="1220"/>
      <c r="E334" s="1228" t="e">
        <f>IF($A334&lt;DATE(2018,7,1),"-",INDEX(#REF!, MATCH(YEAR(EOMONTH($A334,6)),#REF!, 0)))</f>
        <v>#REF!</v>
      </c>
      <c r="F334" s="1228" t="e">
        <f>IF($A334&lt;DATE(2018,7,1),"-",INDEX(#REF!, MATCH(YEAR(EOMONTH($A334,6)),#REF!, 0)))</f>
        <v>#REF!</v>
      </c>
      <c r="G334" s="1229" t="e">
        <f t="shared" si="36"/>
        <v>#REF!</v>
      </c>
      <c r="H334" s="1229" t="e">
        <f t="shared" si="36"/>
        <v>#REF!</v>
      </c>
      <c r="I334" s="1230" t="e">
        <f t="shared" si="38"/>
        <v>#REF!</v>
      </c>
      <c r="V334" s="1216"/>
    </row>
    <row r="335" spans="1:22">
      <c r="A335" s="1226">
        <f t="shared" si="37"/>
        <v>46295</v>
      </c>
      <c r="B335" s="1227">
        <f t="shared" si="35"/>
        <v>2027</v>
      </c>
      <c r="C335" s="1220"/>
      <c r="D335" s="1220"/>
      <c r="E335" s="1228" t="e">
        <f>IF($A335&lt;DATE(2018,7,1),"-",INDEX(#REF!, MATCH(YEAR(EOMONTH($A335,6)),#REF!, 0)))</f>
        <v>#REF!</v>
      </c>
      <c r="F335" s="1228" t="e">
        <f>IF($A335&lt;DATE(2018,7,1),"-",INDEX(#REF!, MATCH(YEAR(EOMONTH($A335,6)),#REF!, 0)))</f>
        <v>#REF!</v>
      </c>
      <c r="G335" s="1229" t="e">
        <f t="shared" si="36"/>
        <v>#REF!</v>
      </c>
      <c r="H335" s="1229" t="e">
        <f t="shared" si="36"/>
        <v>#REF!</v>
      </c>
      <c r="I335" s="1230" t="e">
        <f t="shared" si="38"/>
        <v>#REF!</v>
      </c>
      <c r="V335" s="1216"/>
    </row>
    <row r="336" spans="1:22">
      <c r="A336" s="1226">
        <f t="shared" si="37"/>
        <v>46326</v>
      </c>
      <c r="B336" s="1227">
        <f t="shared" si="35"/>
        <v>2027</v>
      </c>
      <c r="C336" s="1220"/>
      <c r="D336" s="1220"/>
      <c r="E336" s="1228" t="e">
        <f>IF($A336&lt;DATE(2018,7,1),"-",INDEX(#REF!, MATCH(YEAR(EOMONTH($A336,6)),#REF!, 0)))</f>
        <v>#REF!</v>
      </c>
      <c r="F336" s="1228" t="e">
        <f>IF($A336&lt;DATE(2018,7,1),"-",INDEX(#REF!, MATCH(YEAR(EOMONTH($A336,6)),#REF!, 0)))</f>
        <v>#REF!</v>
      </c>
      <c r="G336" s="1229" t="e">
        <f t="shared" si="36"/>
        <v>#REF!</v>
      </c>
      <c r="H336" s="1229" t="e">
        <f t="shared" si="36"/>
        <v>#REF!</v>
      </c>
      <c r="I336" s="1230" t="e">
        <f t="shared" si="38"/>
        <v>#REF!</v>
      </c>
      <c r="V336" s="1216"/>
    </row>
    <row r="337" spans="1:22">
      <c r="A337" s="1226">
        <f t="shared" si="37"/>
        <v>46356</v>
      </c>
      <c r="B337" s="1227">
        <f t="shared" si="35"/>
        <v>2027</v>
      </c>
      <c r="C337" s="1220"/>
      <c r="D337" s="1220"/>
      <c r="E337" s="1228" t="e">
        <f>IF($A337&lt;DATE(2018,7,1),"-",INDEX(#REF!, MATCH(YEAR(EOMONTH($A337,6)),#REF!, 0)))</f>
        <v>#REF!</v>
      </c>
      <c r="F337" s="1228" t="e">
        <f>IF($A337&lt;DATE(2018,7,1),"-",INDEX(#REF!, MATCH(YEAR(EOMONTH($A337,6)),#REF!, 0)))</f>
        <v>#REF!</v>
      </c>
      <c r="G337" s="1229" t="e">
        <f t="shared" si="36"/>
        <v>#REF!</v>
      </c>
      <c r="H337" s="1229" t="e">
        <f t="shared" si="36"/>
        <v>#REF!</v>
      </c>
      <c r="I337" s="1230" t="e">
        <f t="shared" si="38"/>
        <v>#REF!</v>
      </c>
      <c r="V337" s="1216"/>
    </row>
    <row r="338" spans="1:22">
      <c r="A338" s="1226">
        <f t="shared" si="37"/>
        <v>46387</v>
      </c>
      <c r="B338" s="1227">
        <f t="shared" si="35"/>
        <v>2027</v>
      </c>
      <c r="C338" s="1220"/>
      <c r="D338" s="1220"/>
      <c r="E338" s="1228" t="e">
        <f>IF($A338&lt;DATE(2018,7,1),"-",INDEX(#REF!, MATCH(YEAR(EOMONTH($A338,6)),#REF!, 0)))</f>
        <v>#REF!</v>
      </c>
      <c r="F338" s="1228" t="e">
        <f>IF($A338&lt;DATE(2018,7,1),"-",INDEX(#REF!, MATCH(YEAR(EOMONTH($A338,6)),#REF!, 0)))</f>
        <v>#REF!</v>
      </c>
      <c r="G338" s="1229" t="e">
        <f t="shared" si="36"/>
        <v>#REF!</v>
      </c>
      <c r="H338" s="1229" t="e">
        <f t="shared" si="36"/>
        <v>#REF!</v>
      </c>
      <c r="I338" s="1230" t="e">
        <f t="shared" si="38"/>
        <v>#REF!</v>
      </c>
      <c r="V338" s="1216"/>
    </row>
    <row r="339" spans="1:22">
      <c r="A339" s="1226">
        <f t="shared" si="37"/>
        <v>46418</v>
      </c>
      <c r="B339" s="1227">
        <f t="shared" si="35"/>
        <v>2027</v>
      </c>
      <c r="C339" s="1220"/>
      <c r="D339" s="1220"/>
      <c r="E339" s="1228" t="e">
        <f>IF($A339&lt;DATE(2018,7,1),"-",INDEX(#REF!, MATCH(YEAR(EOMONTH($A339,6)),#REF!, 0)))</f>
        <v>#REF!</v>
      </c>
      <c r="F339" s="1228" t="e">
        <f>IF($A339&lt;DATE(2018,7,1),"-",INDEX(#REF!, MATCH(YEAR(EOMONTH($A339,6)),#REF!, 0)))</f>
        <v>#REF!</v>
      </c>
      <c r="G339" s="1229" t="e">
        <f t="shared" si="36"/>
        <v>#REF!</v>
      </c>
      <c r="H339" s="1229" t="e">
        <f t="shared" si="36"/>
        <v>#REF!</v>
      </c>
      <c r="I339" s="1230" t="e">
        <f t="shared" si="38"/>
        <v>#REF!</v>
      </c>
    </row>
    <row r="340" spans="1:22">
      <c r="A340" s="1226">
        <f t="shared" si="37"/>
        <v>46446</v>
      </c>
      <c r="B340" s="1227">
        <f t="shared" si="35"/>
        <v>2027</v>
      </c>
      <c r="C340" s="1220"/>
      <c r="D340" s="1220"/>
      <c r="E340" s="1228" t="e">
        <f>IF($A340&lt;DATE(2018,7,1),"-",INDEX(#REF!, MATCH(YEAR(EOMONTH($A340,6)),#REF!, 0)))</f>
        <v>#REF!</v>
      </c>
      <c r="F340" s="1228" t="e">
        <f>IF($A340&lt;DATE(2018,7,1),"-",INDEX(#REF!, MATCH(YEAR(EOMONTH($A340,6)),#REF!, 0)))</f>
        <v>#REF!</v>
      </c>
      <c r="G340" s="1229" t="e">
        <f t="shared" si="36"/>
        <v>#REF!</v>
      </c>
      <c r="H340" s="1229" t="e">
        <f t="shared" si="36"/>
        <v>#REF!</v>
      </c>
      <c r="I340" s="1230" t="e">
        <f t="shared" si="38"/>
        <v>#REF!</v>
      </c>
    </row>
    <row r="341" spans="1:22" s="530" customFormat="1">
      <c r="A341" s="1226">
        <f t="shared" si="37"/>
        <v>46477</v>
      </c>
      <c r="B341" s="1227">
        <f t="shared" si="35"/>
        <v>2027</v>
      </c>
      <c r="C341" s="1220"/>
      <c r="D341" s="1220"/>
      <c r="E341" s="1228" t="e">
        <f>IF($A341&lt;DATE(2018,7,1),"-",INDEX(#REF!, MATCH(YEAR(EOMONTH($A341,6)),#REF!, 0)))</f>
        <v>#REF!</v>
      </c>
      <c r="F341" s="1228" t="e">
        <f>IF($A341&lt;DATE(2018,7,1),"-",INDEX(#REF!, MATCH(YEAR(EOMONTH($A341,6)),#REF!, 0)))</f>
        <v>#REF!</v>
      </c>
      <c r="G341" s="1229" t="e">
        <f t="shared" si="36"/>
        <v>#REF!</v>
      </c>
      <c r="H341" s="1229" t="e">
        <f t="shared" si="36"/>
        <v>#REF!</v>
      </c>
      <c r="I341" s="1230" t="e">
        <f t="shared" si="38"/>
        <v>#REF!</v>
      </c>
      <c r="U341" s="166"/>
      <c r="V341" s="529"/>
    </row>
    <row r="342" spans="1:22" s="530" customFormat="1">
      <c r="A342" s="1226">
        <f t="shared" si="37"/>
        <v>46507</v>
      </c>
      <c r="B342" s="1227">
        <f t="shared" si="35"/>
        <v>2028</v>
      </c>
      <c r="C342" s="1220"/>
      <c r="D342" s="1220"/>
      <c r="E342" s="1228" t="e">
        <f>IF($A342&lt;DATE(2018,7,1),"-",INDEX(#REF!, MATCH(YEAR(EOMONTH($A342,6)),#REF!, 0)))</f>
        <v>#REF!</v>
      </c>
      <c r="F342" s="1228" t="e">
        <f>IF($A342&lt;DATE(2018,7,1),"-",INDEX(#REF!, MATCH(YEAR(EOMONTH($A342,6)),#REF!, 0)))</f>
        <v>#REF!</v>
      </c>
      <c r="G342" s="1229" t="e">
        <f t="shared" ref="G342:H357" si="39">IF(ISBLANK(C342),G341*((1+E342)^(1/12)),C342)</f>
        <v>#REF!</v>
      </c>
      <c r="H342" s="1229" t="e">
        <f t="shared" si="39"/>
        <v>#REF!</v>
      </c>
      <c r="I342" s="1230" t="e">
        <f t="shared" si="38"/>
        <v>#REF!</v>
      </c>
      <c r="U342" s="166"/>
      <c r="V342" s="529"/>
    </row>
    <row r="343" spans="1:22" s="530" customFormat="1">
      <c r="A343" s="1226">
        <f t="shared" si="37"/>
        <v>46538</v>
      </c>
      <c r="B343" s="1227">
        <f t="shared" si="35"/>
        <v>2028</v>
      </c>
      <c r="C343" s="1220"/>
      <c r="D343" s="1220"/>
      <c r="E343" s="1228" t="e">
        <f>IF($A343&lt;DATE(2018,7,1),"-",INDEX(#REF!, MATCH(YEAR(EOMONTH($A343,6)),#REF!, 0)))</f>
        <v>#REF!</v>
      </c>
      <c r="F343" s="1228" t="e">
        <f>IF($A343&lt;DATE(2018,7,1),"-",INDEX(#REF!, MATCH(YEAR(EOMONTH($A343,6)),#REF!, 0)))</f>
        <v>#REF!</v>
      </c>
      <c r="G343" s="1229" t="e">
        <f t="shared" si="39"/>
        <v>#REF!</v>
      </c>
      <c r="H343" s="1229" t="e">
        <f t="shared" si="39"/>
        <v>#REF!</v>
      </c>
      <c r="I343" s="1230" t="e">
        <f t="shared" si="38"/>
        <v>#REF!</v>
      </c>
      <c r="U343" s="166"/>
      <c r="V343" s="529"/>
    </row>
    <row r="344" spans="1:22" s="530" customFormat="1">
      <c r="A344" s="1226">
        <f t="shared" si="37"/>
        <v>46568</v>
      </c>
      <c r="B344" s="1227">
        <f t="shared" si="35"/>
        <v>2028</v>
      </c>
      <c r="C344" s="1220"/>
      <c r="D344" s="1220"/>
      <c r="E344" s="1228" t="e">
        <f>IF($A344&lt;DATE(2018,7,1),"-",INDEX(#REF!, MATCH(YEAR(EOMONTH($A344,6)),#REF!, 0)))</f>
        <v>#REF!</v>
      </c>
      <c r="F344" s="1228" t="e">
        <f>IF($A344&lt;DATE(2018,7,1),"-",INDEX(#REF!, MATCH(YEAR(EOMONTH($A344,6)),#REF!, 0)))</f>
        <v>#REF!</v>
      </c>
      <c r="G344" s="1229" t="e">
        <f t="shared" si="39"/>
        <v>#REF!</v>
      </c>
      <c r="H344" s="1229" t="e">
        <f t="shared" si="39"/>
        <v>#REF!</v>
      </c>
      <c r="I344" s="1230" t="e">
        <f t="shared" si="38"/>
        <v>#REF!</v>
      </c>
      <c r="U344" s="166"/>
      <c r="V344" s="529"/>
    </row>
    <row r="345" spans="1:22" s="530" customFormat="1">
      <c r="A345" s="1226">
        <f t="shared" si="37"/>
        <v>46599</v>
      </c>
      <c r="B345" s="1227">
        <f t="shared" si="35"/>
        <v>2028</v>
      </c>
      <c r="C345" s="1220"/>
      <c r="D345" s="1220"/>
      <c r="E345" s="1228" t="e">
        <f>IF($A345&lt;DATE(2018,7,1),"-",INDEX(#REF!, MATCH(YEAR(EOMONTH($A345,6)),#REF!, 0)))</f>
        <v>#REF!</v>
      </c>
      <c r="F345" s="1228" t="e">
        <f>IF($A345&lt;DATE(2018,7,1),"-",INDEX(#REF!, MATCH(YEAR(EOMONTH($A345,6)),#REF!, 0)))</f>
        <v>#REF!</v>
      </c>
      <c r="G345" s="1229" t="e">
        <f t="shared" si="39"/>
        <v>#REF!</v>
      </c>
      <c r="H345" s="1229" t="e">
        <f t="shared" si="39"/>
        <v>#REF!</v>
      </c>
      <c r="I345" s="1230" t="e">
        <f t="shared" si="38"/>
        <v>#REF!</v>
      </c>
      <c r="U345" s="166"/>
      <c r="V345" s="529"/>
    </row>
    <row r="346" spans="1:22" s="530" customFormat="1">
      <c r="A346" s="1226">
        <f t="shared" si="37"/>
        <v>46630</v>
      </c>
      <c r="B346" s="1227">
        <f t="shared" si="35"/>
        <v>2028</v>
      </c>
      <c r="C346" s="1220"/>
      <c r="D346" s="1220"/>
      <c r="E346" s="1228" t="e">
        <f>IF($A346&lt;DATE(2018,7,1),"-",INDEX(#REF!, MATCH(YEAR(EOMONTH($A346,6)),#REF!, 0)))</f>
        <v>#REF!</v>
      </c>
      <c r="F346" s="1228" t="e">
        <f>IF($A346&lt;DATE(2018,7,1),"-",INDEX(#REF!, MATCH(YEAR(EOMONTH($A346,6)),#REF!, 0)))</f>
        <v>#REF!</v>
      </c>
      <c r="G346" s="1229" t="e">
        <f t="shared" si="39"/>
        <v>#REF!</v>
      </c>
      <c r="H346" s="1229" t="e">
        <f t="shared" si="39"/>
        <v>#REF!</v>
      </c>
      <c r="I346" s="1230" t="e">
        <f t="shared" si="38"/>
        <v>#REF!</v>
      </c>
      <c r="U346" s="166"/>
      <c r="V346" s="529"/>
    </row>
    <row r="347" spans="1:22" s="530" customFormat="1">
      <c r="A347" s="1226">
        <f t="shared" si="37"/>
        <v>46660</v>
      </c>
      <c r="B347" s="1227">
        <f t="shared" si="35"/>
        <v>2028</v>
      </c>
      <c r="C347" s="1220"/>
      <c r="D347" s="1220"/>
      <c r="E347" s="1228" t="e">
        <f>IF($A347&lt;DATE(2018,7,1),"-",INDEX(#REF!, MATCH(YEAR(EOMONTH($A347,6)),#REF!, 0)))</f>
        <v>#REF!</v>
      </c>
      <c r="F347" s="1228" t="e">
        <f>IF($A347&lt;DATE(2018,7,1),"-",INDEX(#REF!, MATCH(YEAR(EOMONTH($A347,6)),#REF!, 0)))</f>
        <v>#REF!</v>
      </c>
      <c r="G347" s="1229" t="e">
        <f t="shared" si="39"/>
        <v>#REF!</v>
      </c>
      <c r="H347" s="1229" t="e">
        <f t="shared" si="39"/>
        <v>#REF!</v>
      </c>
      <c r="I347" s="1230" t="e">
        <f t="shared" si="38"/>
        <v>#REF!</v>
      </c>
      <c r="U347" s="166"/>
      <c r="V347" s="529"/>
    </row>
    <row r="348" spans="1:22" s="530" customFormat="1">
      <c r="A348" s="1226">
        <f t="shared" si="37"/>
        <v>46691</v>
      </c>
      <c r="B348" s="1227">
        <f t="shared" si="35"/>
        <v>2028</v>
      </c>
      <c r="C348" s="1220"/>
      <c r="D348" s="1220"/>
      <c r="E348" s="1228" t="e">
        <f>IF($A348&lt;DATE(2018,7,1),"-",INDEX(#REF!, MATCH(YEAR(EOMONTH($A348,6)),#REF!, 0)))</f>
        <v>#REF!</v>
      </c>
      <c r="F348" s="1228" t="e">
        <f>IF($A348&lt;DATE(2018,7,1),"-",INDEX(#REF!, MATCH(YEAR(EOMONTH($A348,6)),#REF!, 0)))</f>
        <v>#REF!</v>
      </c>
      <c r="G348" s="1229" t="e">
        <f t="shared" si="39"/>
        <v>#REF!</v>
      </c>
      <c r="H348" s="1229" t="e">
        <f t="shared" si="39"/>
        <v>#REF!</v>
      </c>
      <c r="I348" s="1230" t="e">
        <f t="shared" si="38"/>
        <v>#REF!</v>
      </c>
      <c r="U348" s="166"/>
      <c r="V348" s="529"/>
    </row>
    <row r="349" spans="1:22" s="530" customFormat="1">
      <c r="A349" s="1226">
        <f t="shared" si="37"/>
        <v>46721</v>
      </c>
      <c r="B349" s="1227">
        <f t="shared" si="35"/>
        <v>2028</v>
      </c>
      <c r="C349" s="1220"/>
      <c r="D349" s="1220"/>
      <c r="E349" s="1228" t="e">
        <f>IF($A349&lt;DATE(2018,7,1),"-",INDEX(#REF!, MATCH(YEAR(EOMONTH($A349,6)),#REF!, 0)))</f>
        <v>#REF!</v>
      </c>
      <c r="F349" s="1228" t="e">
        <f>IF($A349&lt;DATE(2018,7,1),"-",INDEX(#REF!, MATCH(YEAR(EOMONTH($A349,6)),#REF!, 0)))</f>
        <v>#REF!</v>
      </c>
      <c r="G349" s="1229" t="e">
        <f t="shared" si="39"/>
        <v>#REF!</v>
      </c>
      <c r="H349" s="1229" t="e">
        <f t="shared" si="39"/>
        <v>#REF!</v>
      </c>
      <c r="I349" s="1230" t="e">
        <f t="shared" si="38"/>
        <v>#REF!</v>
      </c>
      <c r="U349" s="166"/>
      <c r="V349" s="529"/>
    </row>
    <row r="350" spans="1:22" s="530" customFormat="1">
      <c r="A350" s="1226">
        <f t="shared" si="37"/>
        <v>46752</v>
      </c>
      <c r="B350" s="1227">
        <f t="shared" si="35"/>
        <v>2028</v>
      </c>
      <c r="C350" s="1220"/>
      <c r="D350" s="1220"/>
      <c r="E350" s="1228" t="e">
        <f>IF($A350&lt;DATE(2018,7,1),"-",INDEX(#REF!, MATCH(YEAR(EOMONTH($A350,6)),#REF!, 0)))</f>
        <v>#REF!</v>
      </c>
      <c r="F350" s="1228" t="e">
        <f>IF($A350&lt;DATE(2018,7,1),"-",INDEX(#REF!, MATCH(YEAR(EOMONTH($A350,6)),#REF!, 0)))</f>
        <v>#REF!</v>
      </c>
      <c r="G350" s="1229" t="e">
        <f t="shared" si="39"/>
        <v>#REF!</v>
      </c>
      <c r="H350" s="1229" t="e">
        <f t="shared" si="39"/>
        <v>#REF!</v>
      </c>
      <c r="I350" s="1230" t="e">
        <f t="shared" si="38"/>
        <v>#REF!</v>
      </c>
      <c r="U350" s="166"/>
      <c r="V350" s="529"/>
    </row>
    <row r="351" spans="1:22" s="530" customFormat="1">
      <c r="A351" s="1226">
        <f t="shared" si="37"/>
        <v>46783</v>
      </c>
      <c r="B351" s="1227">
        <f t="shared" si="35"/>
        <v>2028</v>
      </c>
      <c r="C351" s="1220"/>
      <c r="D351" s="1220"/>
      <c r="E351" s="1228" t="e">
        <f>IF($A351&lt;DATE(2018,7,1),"-",INDEX(#REF!, MATCH(YEAR(EOMONTH($A351,6)),#REF!, 0)))</f>
        <v>#REF!</v>
      </c>
      <c r="F351" s="1228" t="e">
        <f>IF($A351&lt;DATE(2018,7,1),"-",INDEX(#REF!, MATCH(YEAR(EOMONTH($A351,6)),#REF!, 0)))</f>
        <v>#REF!</v>
      </c>
      <c r="G351" s="1229" t="e">
        <f t="shared" si="39"/>
        <v>#REF!</v>
      </c>
      <c r="H351" s="1229" t="e">
        <f t="shared" si="39"/>
        <v>#REF!</v>
      </c>
      <c r="I351" s="1230" t="e">
        <f t="shared" si="38"/>
        <v>#REF!</v>
      </c>
      <c r="U351" s="166"/>
      <c r="V351" s="529"/>
    </row>
    <row r="352" spans="1:22" s="530" customFormat="1">
      <c r="A352" s="1226">
        <f t="shared" si="37"/>
        <v>46812</v>
      </c>
      <c r="B352" s="1227">
        <f t="shared" si="35"/>
        <v>2028</v>
      </c>
      <c r="C352" s="1220"/>
      <c r="D352" s="1220"/>
      <c r="E352" s="1228" t="e">
        <f>IF($A352&lt;DATE(2018,7,1),"-",INDEX(#REF!, MATCH(YEAR(EOMONTH($A352,6)),#REF!, 0)))</f>
        <v>#REF!</v>
      </c>
      <c r="F352" s="1228" t="e">
        <f>IF($A352&lt;DATE(2018,7,1),"-",INDEX(#REF!, MATCH(YEAR(EOMONTH($A352,6)),#REF!, 0)))</f>
        <v>#REF!</v>
      </c>
      <c r="G352" s="1229" t="e">
        <f t="shared" si="39"/>
        <v>#REF!</v>
      </c>
      <c r="H352" s="1229" t="e">
        <f t="shared" si="39"/>
        <v>#REF!</v>
      </c>
      <c r="I352" s="1230" t="e">
        <f t="shared" si="38"/>
        <v>#REF!</v>
      </c>
      <c r="U352" s="166"/>
      <c r="V352" s="529"/>
    </row>
    <row r="353" spans="1:22" s="530" customFormat="1">
      <c r="A353" s="1226">
        <f t="shared" si="37"/>
        <v>46843</v>
      </c>
      <c r="B353" s="1227">
        <f t="shared" si="35"/>
        <v>2028</v>
      </c>
      <c r="C353" s="1220"/>
      <c r="D353" s="1220"/>
      <c r="E353" s="1228" t="e">
        <f>IF($A353&lt;DATE(2018,7,1),"-",INDEX(#REF!, MATCH(YEAR(EOMONTH($A353,6)),#REF!, 0)))</f>
        <v>#REF!</v>
      </c>
      <c r="F353" s="1228" t="e">
        <f>IF($A353&lt;DATE(2018,7,1),"-",INDEX(#REF!, MATCH(YEAR(EOMONTH($A353,6)),#REF!, 0)))</f>
        <v>#REF!</v>
      </c>
      <c r="G353" s="1229" t="e">
        <f t="shared" si="39"/>
        <v>#REF!</v>
      </c>
      <c r="H353" s="1229" t="e">
        <f t="shared" si="39"/>
        <v>#REF!</v>
      </c>
      <c r="I353" s="1230" t="e">
        <f t="shared" si="38"/>
        <v>#REF!</v>
      </c>
      <c r="U353" s="166"/>
      <c r="V353" s="529"/>
    </row>
    <row r="354" spans="1:22" s="530" customFormat="1">
      <c r="A354" s="1226">
        <f t="shared" si="37"/>
        <v>46873</v>
      </c>
      <c r="B354" s="1227">
        <f t="shared" si="35"/>
        <v>2029</v>
      </c>
      <c r="C354" s="1220"/>
      <c r="D354" s="1220"/>
      <c r="E354" s="1228" t="e">
        <f>IF($A354&lt;DATE(2018,7,1),"-",INDEX(#REF!, MATCH(YEAR(EOMONTH($A354,6)),#REF!, 0)))</f>
        <v>#REF!</v>
      </c>
      <c r="F354" s="1228" t="e">
        <f>IF($A354&lt;DATE(2018,7,1),"-",INDEX(#REF!, MATCH(YEAR(EOMONTH($A354,6)),#REF!, 0)))</f>
        <v>#REF!</v>
      </c>
      <c r="G354" s="1229" t="e">
        <f t="shared" si="39"/>
        <v>#REF!</v>
      </c>
      <c r="H354" s="1229" t="e">
        <f t="shared" si="39"/>
        <v>#REF!</v>
      </c>
      <c r="I354" s="1230" t="e">
        <f t="shared" si="38"/>
        <v>#REF!</v>
      </c>
      <c r="U354" s="166"/>
      <c r="V354" s="529"/>
    </row>
    <row r="355" spans="1:22" s="530" customFormat="1">
      <c r="A355" s="1226">
        <f t="shared" si="37"/>
        <v>46904</v>
      </c>
      <c r="B355" s="1227">
        <f t="shared" si="35"/>
        <v>2029</v>
      </c>
      <c r="C355" s="1220"/>
      <c r="D355" s="1220"/>
      <c r="E355" s="1228" t="e">
        <f>IF($A355&lt;DATE(2018,7,1),"-",INDEX(#REF!, MATCH(YEAR(EOMONTH($A355,6)),#REF!, 0)))</f>
        <v>#REF!</v>
      </c>
      <c r="F355" s="1228" t="e">
        <f>IF($A355&lt;DATE(2018,7,1),"-",INDEX(#REF!, MATCH(YEAR(EOMONTH($A355,6)),#REF!, 0)))</f>
        <v>#REF!</v>
      </c>
      <c r="G355" s="1229" t="e">
        <f t="shared" si="39"/>
        <v>#REF!</v>
      </c>
      <c r="H355" s="1229" t="e">
        <f t="shared" si="39"/>
        <v>#REF!</v>
      </c>
      <c r="I355" s="1230" t="e">
        <f t="shared" si="38"/>
        <v>#REF!</v>
      </c>
      <c r="U355" s="166"/>
      <c r="V355" s="529"/>
    </row>
    <row r="356" spans="1:22" s="530" customFormat="1">
      <c r="A356" s="1226">
        <f t="shared" si="37"/>
        <v>46934</v>
      </c>
      <c r="B356" s="1227">
        <f t="shared" si="35"/>
        <v>2029</v>
      </c>
      <c r="C356" s="1220"/>
      <c r="D356" s="1220"/>
      <c r="E356" s="1228" t="e">
        <f>IF($A356&lt;DATE(2018,7,1),"-",INDEX(#REF!, MATCH(YEAR(EOMONTH($A356,6)),#REF!, 0)))</f>
        <v>#REF!</v>
      </c>
      <c r="F356" s="1228" t="e">
        <f>IF($A356&lt;DATE(2018,7,1),"-",INDEX(#REF!, MATCH(YEAR(EOMONTH($A356,6)),#REF!, 0)))</f>
        <v>#REF!</v>
      </c>
      <c r="G356" s="1229" t="e">
        <f t="shared" si="39"/>
        <v>#REF!</v>
      </c>
      <c r="H356" s="1229" t="e">
        <f t="shared" si="39"/>
        <v>#REF!</v>
      </c>
      <c r="I356" s="1230" t="e">
        <f t="shared" si="38"/>
        <v>#REF!</v>
      </c>
      <c r="U356" s="166"/>
      <c r="V356" s="529"/>
    </row>
    <row r="357" spans="1:22">
      <c r="A357" s="1226">
        <f t="shared" si="37"/>
        <v>46965</v>
      </c>
      <c r="B357" s="1227">
        <f t="shared" si="35"/>
        <v>2029</v>
      </c>
      <c r="C357" s="1220"/>
      <c r="D357" s="1220"/>
      <c r="E357" s="1228" t="e">
        <f>IF($A357&lt;DATE(2018,7,1),"-",INDEX(#REF!, MATCH(YEAR(EOMONTH($A357,6)),#REF!, 0)))</f>
        <v>#REF!</v>
      </c>
      <c r="F357" s="1228" t="e">
        <f>IF($A357&lt;DATE(2018,7,1),"-",INDEX(#REF!, MATCH(YEAR(EOMONTH($A357,6)),#REF!, 0)))</f>
        <v>#REF!</v>
      </c>
      <c r="G357" s="1229" t="e">
        <f t="shared" si="39"/>
        <v>#REF!</v>
      </c>
      <c r="H357" s="1229" t="e">
        <f t="shared" si="39"/>
        <v>#REF!</v>
      </c>
      <c r="I357" s="1230" t="e">
        <f t="shared" si="38"/>
        <v>#REF!</v>
      </c>
    </row>
    <row r="358" spans="1:22">
      <c r="A358" s="1226">
        <f t="shared" si="37"/>
        <v>46996</v>
      </c>
      <c r="B358" s="1227">
        <f t="shared" si="35"/>
        <v>2029</v>
      </c>
      <c r="C358" s="1220"/>
      <c r="D358" s="1220"/>
      <c r="E358" s="1228" t="e">
        <f>IF($A358&lt;DATE(2018,7,1),"-",INDEX(#REF!, MATCH(YEAR(EOMONTH($A358,6)),#REF!, 0)))</f>
        <v>#REF!</v>
      </c>
      <c r="F358" s="1228" t="e">
        <f>IF($A358&lt;DATE(2018,7,1),"-",INDEX(#REF!, MATCH(YEAR(EOMONTH($A358,6)),#REF!, 0)))</f>
        <v>#REF!</v>
      </c>
      <c r="G358" s="1229" t="e">
        <f t="shared" ref="G358:H373" si="40">IF(ISBLANK(C358),G357*((1+E358)^(1/12)),C358)</f>
        <v>#REF!</v>
      </c>
      <c r="H358" s="1229" t="e">
        <f t="shared" si="40"/>
        <v>#REF!</v>
      </c>
      <c r="I358" s="1230" t="e">
        <f t="shared" si="38"/>
        <v>#REF!</v>
      </c>
    </row>
    <row r="359" spans="1:22">
      <c r="A359" s="1226">
        <f t="shared" si="37"/>
        <v>47026</v>
      </c>
      <c r="B359" s="1227">
        <f t="shared" si="35"/>
        <v>2029</v>
      </c>
      <c r="C359" s="1220"/>
      <c r="D359" s="1220"/>
      <c r="E359" s="1228" t="e">
        <f>IF($A359&lt;DATE(2018,7,1),"-",INDEX(#REF!, MATCH(YEAR(EOMONTH($A359,6)),#REF!, 0)))</f>
        <v>#REF!</v>
      </c>
      <c r="F359" s="1228" t="e">
        <f>IF($A359&lt;DATE(2018,7,1),"-",INDEX(#REF!, MATCH(YEAR(EOMONTH($A359,6)),#REF!, 0)))</f>
        <v>#REF!</v>
      </c>
      <c r="G359" s="1229" t="e">
        <f t="shared" si="40"/>
        <v>#REF!</v>
      </c>
      <c r="H359" s="1229" t="e">
        <f t="shared" si="40"/>
        <v>#REF!</v>
      </c>
      <c r="I359" s="1230" t="e">
        <f t="shared" si="38"/>
        <v>#REF!</v>
      </c>
    </row>
    <row r="360" spans="1:22">
      <c r="A360" s="1226">
        <f t="shared" si="37"/>
        <v>47057</v>
      </c>
      <c r="B360" s="1227">
        <f t="shared" si="35"/>
        <v>2029</v>
      </c>
      <c r="C360" s="1220"/>
      <c r="D360" s="1220"/>
      <c r="E360" s="1228" t="e">
        <f>IF($A360&lt;DATE(2018,7,1),"-",INDEX(#REF!, MATCH(YEAR(EOMONTH($A360,6)),#REF!, 0)))</f>
        <v>#REF!</v>
      </c>
      <c r="F360" s="1228" t="e">
        <f>IF($A360&lt;DATE(2018,7,1),"-",INDEX(#REF!, MATCH(YEAR(EOMONTH($A360,6)),#REF!, 0)))</f>
        <v>#REF!</v>
      </c>
      <c r="G360" s="1229" t="e">
        <f t="shared" si="40"/>
        <v>#REF!</v>
      </c>
      <c r="H360" s="1229" t="e">
        <f t="shared" si="40"/>
        <v>#REF!</v>
      </c>
      <c r="I360" s="1230" t="e">
        <f t="shared" si="38"/>
        <v>#REF!</v>
      </c>
    </row>
    <row r="361" spans="1:22">
      <c r="A361" s="1226">
        <f t="shared" si="37"/>
        <v>47087</v>
      </c>
      <c r="B361" s="1227">
        <f t="shared" si="35"/>
        <v>2029</v>
      </c>
      <c r="C361" s="1220"/>
      <c r="D361" s="1220"/>
      <c r="E361" s="1228" t="e">
        <f>IF($A361&lt;DATE(2018,7,1),"-",INDEX(#REF!, MATCH(YEAR(EOMONTH($A361,6)),#REF!, 0)))</f>
        <v>#REF!</v>
      </c>
      <c r="F361" s="1228" t="e">
        <f>IF($A361&lt;DATE(2018,7,1),"-",INDEX(#REF!, MATCH(YEAR(EOMONTH($A361,6)),#REF!, 0)))</f>
        <v>#REF!</v>
      </c>
      <c r="G361" s="1229" t="e">
        <f t="shared" si="40"/>
        <v>#REF!</v>
      </c>
      <c r="H361" s="1229" t="e">
        <f t="shared" si="40"/>
        <v>#REF!</v>
      </c>
      <c r="I361" s="1230" t="e">
        <f t="shared" si="38"/>
        <v>#REF!</v>
      </c>
    </row>
    <row r="362" spans="1:22">
      <c r="A362" s="1226">
        <f t="shared" si="37"/>
        <v>47118</v>
      </c>
      <c r="B362" s="1227">
        <f t="shared" si="35"/>
        <v>2029</v>
      </c>
      <c r="C362" s="1220"/>
      <c r="D362" s="1220"/>
      <c r="E362" s="1228" t="e">
        <f>IF($A362&lt;DATE(2018,7,1),"-",INDEX(#REF!, MATCH(YEAR(EOMONTH($A362,6)),#REF!, 0)))</f>
        <v>#REF!</v>
      </c>
      <c r="F362" s="1228" t="e">
        <f>IF($A362&lt;DATE(2018,7,1),"-",INDEX(#REF!, MATCH(YEAR(EOMONTH($A362,6)),#REF!, 0)))</f>
        <v>#REF!</v>
      </c>
      <c r="G362" s="1229" t="e">
        <f t="shared" si="40"/>
        <v>#REF!</v>
      </c>
      <c r="H362" s="1229" t="e">
        <f t="shared" si="40"/>
        <v>#REF!</v>
      </c>
      <c r="I362" s="1230" t="e">
        <f t="shared" si="38"/>
        <v>#REF!</v>
      </c>
    </row>
    <row r="363" spans="1:22">
      <c r="A363" s="1226">
        <f t="shared" si="37"/>
        <v>47149</v>
      </c>
      <c r="B363" s="1227">
        <f t="shared" si="35"/>
        <v>2029</v>
      </c>
      <c r="C363" s="1220"/>
      <c r="D363" s="1220"/>
      <c r="E363" s="1228" t="e">
        <f>IF($A363&lt;DATE(2018,7,1),"-",INDEX(#REF!, MATCH(YEAR(EOMONTH($A363,6)),#REF!, 0)))</f>
        <v>#REF!</v>
      </c>
      <c r="F363" s="1228" t="e">
        <f>IF($A363&lt;DATE(2018,7,1),"-",INDEX(#REF!, MATCH(YEAR(EOMONTH($A363,6)),#REF!, 0)))</f>
        <v>#REF!</v>
      </c>
      <c r="G363" s="1229" t="e">
        <f t="shared" si="40"/>
        <v>#REF!</v>
      </c>
      <c r="H363" s="1229" t="e">
        <f t="shared" si="40"/>
        <v>#REF!</v>
      </c>
      <c r="I363" s="1230" t="e">
        <f t="shared" si="38"/>
        <v>#REF!</v>
      </c>
    </row>
    <row r="364" spans="1:22">
      <c r="A364" s="1226">
        <f t="shared" si="37"/>
        <v>47177</v>
      </c>
      <c r="B364" s="1227">
        <f t="shared" si="35"/>
        <v>2029</v>
      </c>
      <c r="C364" s="1220"/>
      <c r="D364" s="1220"/>
      <c r="E364" s="1228" t="e">
        <f>IF($A364&lt;DATE(2018,7,1),"-",INDEX(#REF!, MATCH(YEAR(EOMONTH($A364,6)),#REF!, 0)))</f>
        <v>#REF!</v>
      </c>
      <c r="F364" s="1228" t="e">
        <f>IF($A364&lt;DATE(2018,7,1),"-",INDEX(#REF!, MATCH(YEAR(EOMONTH($A364,6)),#REF!, 0)))</f>
        <v>#REF!</v>
      </c>
      <c r="G364" s="1229" t="e">
        <f t="shared" si="40"/>
        <v>#REF!</v>
      </c>
      <c r="H364" s="1229" t="e">
        <f t="shared" si="40"/>
        <v>#REF!</v>
      </c>
      <c r="I364" s="1230" t="e">
        <f t="shared" si="38"/>
        <v>#REF!</v>
      </c>
    </row>
    <row r="365" spans="1:22">
      <c r="A365" s="1226">
        <f t="shared" si="37"/>
        <v>47208</v>
      </c>
      <c r="B365" s="1227">
        <f t="shared" si="35"/>
        <v>2029</v>
      </c>
      <c r="C365" s="1220"/>
      <c r="D365" s="1220"/>
      <c r="E365" s="1228" t="e">
        <f>IF($A365&lt;DATE(2018,7,1),"-",INDEX(#REF!, MATCH(YEAR(EOMONTH($A365,6)),#REF!, 0)))</f>
        <v>#REF!</v>
      </c>
      <c r="F365" s="1228" t="e">
        <f>IF($A365&lt;DATE(2018,7,1),"-",INDEX(#REF!, MATCH(YEAR(EOMONTH($A365,6)),#REF!, 0)))</f>
        <v>#REF!</v>
      </c>
      <c r="G365" s="1229" t="e">
        <f t="shared" si="40"/>
        <v>#REF!</v>
      </c>
      <c r="H365" s="1229" t="e">
        <f t="shared" si="40"/>
        <v>#REF!</v>
      </c>
      <c r="I365" s="1230" t="e">
        <f t="shared" si="38"/>
        <v>#REF!</v>
      </c>
    </row>
    <row r="366" spans="1:22">
      <c r="A366" s="1226">
        <f t="shared" si="37"/>
        <v>47238</v>
      </c>
      <c r="B366" s="1227">
        <f t="shared" si="35"/>
        <v>2030</v>
      </c>
      <c r="C366" s="1220"/>
      <c r="D366" s="1220"/>
      <c r="E366" s="1228" t="e">
        <f>IF($A366&lt;DATE(2018,7,1),"-",INDEX(#REF!, MATCH(YEAR(EOMONTH($A366,6)),#REF!, 0)))</f>
        <v>#REF!</v>
      </c>
      <c r="F366" s="1228" t="e">
        <f>IF($A366&lt;DATE(2018,7,1),"-",INDEX(#REF!, MATCH(YEAR(EOMONTH($A366,6)),#REF!, 0)))</f>
        <v>#REF!</v>
      </c>
      <c r="G366" s="1229" t="e">
        <f t="shared" si="40"/>
        <v>#REF!</v>
      </c>
      <c r="H366" s="1229" t="e">
        <f t="shared" si="40"/>
        <v>#REF!</v>
      </c>
      <c r="I366" s="1230" t="e">
        <f t="shared" si="38"/>
        <v>#REF!</v>
      </c>
    </row>
    <row r="367" spans="1:22">
      <c r="A367" s="1226">
        <f t="shared" si="37"/>
        <v>47269</v>
      </c>
      <c r="B367" s="1227">
        <f t="shared" si="35"/>
        <v>2030</v>
      </c>
      <c r="C367" s="1220"/>
      <c r="D367" s="1220"/>
      <c r="E367" s="1228" t="e">
        <f>IF($A367&lt;DATE(2018,7,1),"-",INDEX(#REF!, MATCH(YEAR(EOMONTH($A367,6)),#REF!, 0)))</f>
        <v>#REF!</v>
      </c>
      <c r="F367" s="1228" t="e">
        <f>IF($A367&lt;DATE(2018,7,1),"-",INDEX(#REF!, MATCH(YEAR(EOMONTH($A367,6)),#REF!, 0)))</f>
        <v>#REF!</v>
      </c>
      <c r="G367" s="1229" t="e">
        <f t="shared" si="40"/>
        <v>#REF!</v>
      </c>
      <c r="H367" s="1229" t="e">
        <f t="shared" si="40"/>
        <v>#REF!</v>
      </c>
      <c r="I367" s="1230" t="e">
        <f t="shared" si="38"/>
        <v>#REF!</v>
      </c>
    </row>
    <row r="368" spans="1:22">
      <c r="A368" s="1226">
        <f t="shared" si="37"/>
        <v>47299</v>
      </c>
      <c r="B368" s="1227">
        <f t="shared" si="35"/>
        <v>2030</v>
      </c>
      <c r="C368" s="1220"/>
      <c r="D368" s="1220"/>
      <c r="E368" s="1228" t="e">
        <f>IF($A368&lt;DATE(2018,7,1),"-",INDEX(#REF!, MATCH(YEAR(EOMONTH($A368,6)),#REF!, 0)))</f>
        <v>#REF!</v>
      </c>
      <c r="F368" s="1228" t="e">
        <f>IF($A368&lt;DATE(2018,7,1),"-",INDEX(#REF!, MATCH(YEAR(EOMONTH($A368,6)),#REF!, 0)))</f>
        <v>#REF!</v>
      </c>
      <c r="G368" s="1229" t="e">
        <f t="shared" si="40"/>
        <v>#REF!</v>
      </c>
      <c r="H368" s="1229" t="e">
        <f t="shared" si="40"/>
        <v>#REF!</v>
      </c>
      <c r="I368" s="1230" t="e">
        <f t="shared" si="38"/>
        <v>#REF!</v>
      </c>
    </row>
    <row r="369" spans="1:9">
      <c r="A369" s="1226">
        <f t="shared" si="37"/>
        <v>47330</v>
      </c>
      <c r="B369" s="1227">
        <f t="shared" si="35"/>
        <v>2030</v>
      </c>
      <c r="C369" s="1220"/>
      <c r="D369" s="1220"/>
      <c r="E369" s="1228" t="e">
        <f>IF($A369&lt;DATE(2018,7,1),"-",INDEX(#REF!, MATCH(YEAR(EOMONTH($A369,6)),#REF!, 0)))</f>
        <v>#REF!</v>
      </c>
      <c r="F369" s="1228" t="e">
        <f>IF($A369&lt;DATE(2018,7,1),"-",INDEX(#REF!, MATCH(YEAR(EOMONTH($A369,6)),#REF!, 0)))</f>
        <v>#REF!</v>
      </c>
      <c r="G369" s="1229" t="e">
        <f t="shared" si="40"/>
        <v>#REF!</v>
      </c>
      <c r="H369" s="1229" t="e">
        <f t="shared" si="40"/>
        <v>#REF!</v>
      </c>
      <c r="I369" s="1230" t="e">
        <f t="shared" si="38"/>
        <v>#REF!</v>
      </c>
    </row>
    <row r="370" spans="1:9">
      <c r="A370" s="1226">
        <f t="shared" si="37"/>
        <v>47361</v>
      </c>
      <c r="B370" s="1227">
        <f t="shared" si="35"/>
        <v>2030</v>
      </c>
      <c r="C370" s="1220"/>
      <c r="D370" s="1220"/>
      <c r="E370" s="1228" t="e">
        <f>IF($A370&lt;DATE(2018,7,1),"-",INDEX(#REF!, MATCH(YEAR(EOMONTH($A370,6)),#REF!, 0)))</f>
        <v>#REF!</v>
      </c>
      <c r="F370" s="1228" t="e">
        <f>IF($A370&lt;DATE(2018,7,1),"-",INDEX(#REF!, MATCH(YEAR(EOMONTH($A370,6)),#REF!, 0)))</f>
        <v>#REF!</v>
      </c>
      <c r="G370" s="1229" t="e">
        <f t="shared" si="40"/>
        <v>#REF!</v>
      </c>
      <c r="H370" s="1229" t="e">
        <f t="shared" si="40"/>
        <v>#REF!</v>
      </c>
      <c r="I370" s="1230" t="e">
        <f t="shared" si="38"/>
        <v>#REF!</v>
      </c>
    </row>
    <row r="371" spans="1:9">
      <c r="A371" s="1226">
        <f t="shared" si="37"/>
        <v>47391</v>
      </c>
      <c r="B371" s="1227">
        <f t="shared" si="35"/>
        <v>2030</v>
      </c>
      <c r="C371" s="1220"/>
      <c r="D371" s="1220"/>
      <c r="E371" s="1228" t="e">
        <f>IF($A371&lt;DATE(2018,7,1),"-",INDEX(#REF!, MATCH(YEAR(EOMONTH($A371,6)),#REF!, 0)))</f>
        <v>#REF!</v>
      </c>
      <c r="F371" s="1228" t="e">
        <f>IF($A371&lt;DATE(2018,7,1),"-",INDEX(#REF!, MATCH(YEAR(EOMONTH($A371,6)),#REF!, 0)))</f>
        <v>#REF!</v>
      </c>
      <c r="G371" s="1229" t="e">
        <f t="shared" si="40"/>
        <v>#REF!</v>
      </c>
      <c r="H371" s="1229" t="e">
        <f t="shared" si="40"/>
        <v>#REF!</v>
      </c>
      <c r="I371" s="1230" t="e">
        <f t="shared" si="38"/>
        <v>#REF!</v>
      </c>
    </row>
    <row r="372" spans="1:9">
      <c r="A372" s="1226">
        <f t="shared" si="37"/>
        <v>47422</v>
      </c>
      <c r="B372" s="1227">
        <f t="shared" si="35"/>
        <v>2030</v>
      </c>
      <c r="C372" s="1220"/>
      <c r="D372" s="1220"/>
      <c r="E372" s="1228" t="e">
        <f>IF($A372&lt;DATE(2018,7,1),"-",INDEX(#REF!, MATCH(YEAR(EOMONTH($A372,6)),#REF!, 0)))</f>
        <v>#REF!</v>
      </c>
      <c r="F372" s="1228" t="e">
        <f>IF($A372&lt;DATE(2018,7,1),"-",INDEX(#REF!, MATCH(YEAR(EOMONTH($A372,6)),#REF!, 0)))</f>
        <v>#REF!</v>
      </c>
      <c r="G372" s="1229" t="e">
        <f t="shared" si="40"/>
        <v>#REF!</v>
      </c>
      <c r="H372" s="1229" t="e">
        <f t="shared" si="40"/>
        <v>#REF!</v>
      </c>
      <c r="I372" s="1230" t="e">
        <f t="shared" si="38"/>
        <v>#REF!</v>
      </c>
    </row>
    <row r="373" spans="1:9">
      <c r="A373" s="1226">
        <f t="shared" si="37"/>
        <v>47452</v>
      </c>
      <c r="B373" s="1227">
        <f t="shared" si="35"/>
        <v>2030</v>
      </c>
      <c r="C373" s="1220"/>
      <c r="D373" s="1220"/>
      <c r="E373" s="1228" t="e">
        <f>IF($A373&lt;DATE(2018,7,1),"-",INDEX(#REF!, MATCH(YEAR(EOMONTH($A373,6)),#REF!, 0)))</f>
        <v>#REF!</v>
      </c>
      <c r="F373" s="1228" t="e">
        <f>IF($A373&lt;DATE(2018,7,1),"-",INDEX(#REF!, MATCH(YEAR(EOMONTH($A373,6)),#REF!, 0)))</f>
        <v>#REF!</v>
      </c>
      <c r="G373" s="1229" t="e">
        <f t="shared" si="40"/>
        <v>#REF!</v>
      </c>
      <c r="H373" s="1229" t="e">
        <f t="shared" si="40"/>
        <v>#REF!</v>
      </c>
      <c r="I373" s="1230" t="e">
        <f t="shared" si="38"/>
        <v>#REF!</v>
      </c>
    </row>
    <row r="374" spans="1:9">
      <c r="A374" s="1226">
        <f t="shared" si="37"/>
        <v>47483</v>
      </c>
      <c r="B374" s="1227">
        <f t="shared" si="35"/>
        <v>2030</v>
      </c>
      <c r="C374" s="1220"/>
      <c r="D374" s="1220"/>
      <c r="E374" s="1228" t="e">
        <f>IF($A374&lt;DATE(2018,7,1),"-",INDEX(#REF!, MATCH(YEAR(EOMONTH($A374,6)),#REF!, 0)))</f>
        <v>#REF!</v>
      </c>
      <c r="F374" s="1228" t="e">
        <f>IF($A374&lt;DATE(2018,7,1),"-",INDEX(#REF!, MATCH(YEAR(EOMONTH($A374,6)),#REF!, 0)))</f>
        <v>#REF!</v>
      </c>
      <c r="G374" s="1229" t="e">
        <f t="shared" ref="G374:H389" si="41">IF(ISBLANK(C374),G373*((1+E374)^(1/12)),C374)</f>
        <v>#REF!</v>
      </c>
      <c r="H374" s="1229" t="e">
        <f t="shared" si="41"/>
        <v>#REF!</v>
      </c>
      <c r="I374" s="1230" t="e">
        <f t="shared" si="38"/>
        <v>#REF!</v>
      </c>
    </row>
    <row r="375" spans="1:9">
      <c r="A375" s="1226">
        <f t="shared" si="37"/>
        <v>47514</v>
      </c>
      <c r="B375" s="1227">
        <f t="shared" si="35"/>
        <v>2030</v>
      </c>
      <c r="C375" s="1220"/>
      <c r="D375" s="1220"/>
      <c r="E375" s="1228" t="e">
        <f>IF($A375&lt;DATE(2018,7,1),"-",INDEX(#REF!, MATCH(YEAR(EOMONTH($A375,6)),#REF!, 0)))</f>
        <v>#REF!</v>
      </c>
      <c r="F375" s="1228" t="e">
        <f>IF($A375&lt;DATE(2018,7,1),"-",INDEX(#REF!, MATCH(YEAR(EOMONTH($A375,6)),#REF!, 0)))</f>
        <v>#REF!</v>
      </c>
      <c r="G375" s="1229" t="e">
        <f t="shared" si="41"/>
        <v>#REF!</v>
      </c>
      <c r="H375" s="1229" t="e">
        <f t="shared" si="41"/>
        <v>#REF!</v>
      </c>
      <c r="I375" s="1230" t="e">
        <f t="shared" si="38"/>
        <v>#REF!</v>
      </c>
    </row>
    <row r="376" spans="1:9">
      <c r="A376" s="1226">
        <f t="shared" si="37"/>
        <v>47542</v>
      </c>
      <c r="B376" s="1227">
        <f t="shared" si="35"/>
        <v>2030</v>
      </c>
      <c r="C376" s="1220"/>
      <c r="D376" s="1220"/>
      <c r="E376" s="1228" t="e">
        <f>IF($A376&lt;DATE(2018,7,1),"-",INDEX(#REF!, MATCH(YEAR(EOMONTH($A376,6)),#REF!, 0)))</f>
        <v>#REF!</v>
      </c>
      <c r="F376" s="1228" t="e">
        <f>IF($A376&lt;DATE(2018,7,1),"-",INDEX(#REF!, MATCH(YEAR(EOMONTH($A376,6)),#REF!, 0)))</f>
        <v>#REF!</v>
      </c>
      <c r="G376" s="1229" t="e">
        <f t="shared" si="41"/>
        <v>#REF!</v>
      </c>
      <c r="H376" s="1229" t="e">
        <f t="shared" si="41"/>
        <v>#REF!</v>
      </c>
      <c r="I376" s="1230" t="e">
        <f t="shared" si="38"/>
        <v>#REF!</v>
      </c>
    </row>
    <row r="377" spans="1:9">
      <c r="A377" s="1226">
        <f t="shared" si="37"/>
        <v>47573</v>
      </c>
      <c r="B377" s="1227">
        <f t="shared" si="35"/>
        <v>2030</v>
      </c>
      <c r="C377" s="1220"/>
      <c r="D377" s="1220"/>
      <c r="E377" s="1228" t="e">
        <f>IF($A377&lt;DATE(2018,7,1),"-",INDEX(#REF!, MATCH(YEAR(EOMONTH($A377,6)),#REF!, 0)))</f>
        <v>#REF!</v>
      </c>
      <c r="F377" s="1228" t="e">
        <f>IF($A377&lt;DATE(2018,7,1),"-",INDEX(#REF!, MATCH(YEAR(EOMONTH($A377,6)),#REF!, 0)))</f>
        <v>#REF!</v>
      </c>
      <c r="G377" s="1229" t="e">
        <f t="shared" si="41"/>
        <v>#REF!</v>
      </c>
      <c r="H377" s="1229" t="e">
        <f t="shared" si="41"/>
        <v>#REF!</v>
      </c>
      <c r="I377" s="1230" t="e">
        <f t="shared" si="38"/>
        <v>#REF!</v>
      </c>
    </row>
    <row r="378" spans="1:9">
      <c r="A378" s="1226">
        <f t="shared" si="37"/>
        <v>47603</v>
      </c>
      <c r="B378" s="1227">
        <f t="shared" si="35"/>
        <v>2031</v>
      </c>
      <c r="C378" s="1220"/>
      <c r="D378" s="1220"/>
      <c r="E378" s="1228" t="e">
        <f>IF($A378&lt;DATE(2018,7,1),"-",INDEX(#REF!, MATCH(YEAR(EOMONTH($A378,6)),#REF!, 0)))</f>
        <v>#REF!</v>
      </c>
      <c r="F378" s="1228" t="e">
        <f>IF($A378&lt;DATE(2018,7,1),"-",INDEX(#REF!, MATCH(YEAR(EOMONTH($A378,6)),#REF!, 0)))</f>
        <v>#REF!</v>
      </c>
      <c r="G378" s="1229" t="e">
        <f t="shared" si="41"/>
        <v>#REF!</v>
      </c>
      <c r="H378" s="1229" t="e">
        <f t="shared" si="41"/>
        <v>#REF!</v>
      </c>
      <c r="I378" s="1230" t="e">
        <f t="shared" si="38"/>
        <v>#REF!</v>
      </c>
    </row>
    <row r="379" spans="1:9">
      <c r="A379" s="1226">
        <f t="shared" si="37"/>
        <v>47634</v>
      </c>
      <c r="B379" s="1227">
        <f t="shared" si="35"/>
        <v>2031</v>
      </c>
      <c r="C379" s="1220"/>
      <c r="D379" s="1220"/>
      <c r="E379" s="1228" t="e">
        <f>IF($A379&lt;DATE(2018,7,1),"-",INDEX(#REF!, MATCH(YEAR(EOMONTH($A379,6)),#REF!, 0)))</f>
        <v>#REF!</v>
      </c>
      <c r="F379" s="1228" t="e">
        <f>IF($A379&lt;DATE(2018,7,1),"-",INDEX(#REF!, MATCH(YEAR(EOMONTH($A379,6)),#REF!, 0)))</f>
        <v>#REF!</v>
      </c>
      <c r="G379" s="1229" t="e">
        <f t="shared" si="41"/>
        <v>#REF!</v>
      </c>
      <c r="H379" s="1229" t="e">
        <f t="shared" si="41"/>
        <v>#REF!</v>
      </c>
      <c r="I379" s="1230" t="e">
        <f t="shared" si="38"/>
        <v>#REF!</v>
      </c>
    </row>
    <row r="380" spans="1:9">
      <c r="A380" s="1226">
        <f t="shared" si="37"/>
        <v>47664</v>
      </c>
      <c r="B380" s="1227">
        <f t="shared" si="35"/>
        <v>2031</v>
      </c>
      <c r="C380" s="1220"/>
      <c r="D380" s="1220"/>
      <c r="E380" s="1228" t="e">
        <f>IF($A380&lt;DATE(2018,7,1),"-",INDEX(#REF!, MATCH(YEAR(EOMONTH($A380,6)),#REF!, 0)))</f>
        <v>#REF!</v>
      </c>
      <c r="F380" s="1228" t="e">
        <f>IF($A380&lt;DATE(2018,7,1),"-",INDEX(#REF!, MATCH(YEAR(EOMONTH($A380,6)),#REF!, 0)))</f>
        <v>#REF!</v>
      </c>
      <c r="G380" s="1229" t="e">
        <f t="shared" si="41"/>
        <v>#REF!</v>
      </c>
      <c r="H380" s="1229" t="e">
        <f t="shared" si="41"/>
        <v>#REF!</v>
      </c>
      <c r="I380" s="1230" t="e">
        <f t="shared" si="38"/>
        <v>#REF!</v>
      </c>
    </row>
    <row r="381" spans="1:9">
      <c r="A381" s="1226">
        <f t="shared" si="37"/>
        <v>47695</v>
      </c>
      <c r="B381" s="1227">
        <f t="shared" si="35"/>
        <v>2031</v>
      </c>
      <c r="C381" s="1220"/>
      <c r="D381" s="1220"/>
      <c r="E381" s="1228" t="e">
        <f>IF($A381&lt;DATE(2018,7,1),"-",INDEX(#REF!, MATCH(YEAR(EOMONTH($A381,6)),#REF!, 0)))</f>
        <v>#REF!</v>
      </c>
      <c r="F381" s="1228" t="e">
        <f>IF($A381&lt;DATE(2018,7,1),"-",INDEX(#REF!, MATCH(YEAR(EOMONTH($A381,6)),#REF!, 0)))</f>
        <v>#REF!</v>
      </c>
      <c r="G381" s="1229" t="e">
        <f t="shared" si="41"/>
        <v>#REF!</v>
      </c>
      <c r="H381" s="1229" t="e">
        <f t="shared" si="41"/>
        <v>#REF!</v>
      </c>
      <c r="I381" s="1230" t="e">
        <f t="shared" si="38"/>
        <v>#REF!</v>
      </c>
    </row>
    <row r="382" spans="1:9">
      <c r="A382" s="1226">
        <f t="shared" si="37"/>
        <v>47726</v>
      </c>
      <c r="B382" s="1227">
        <f t="shared" si="35"/>
        <v>2031</v>
      </c>
      <c r="C382" s="1220"/>
      <c r="D382" s="1220"/>
      <c r="E382" s="1228" t="e">
        <f>IF($A382&lt;DATE(2018,7,1),"-",INDEX(#REF!, MATCH(YEAR(EOMONTH($A382,6)),#REF!, 0)))</f>
        <v>#REF!</v>
      </c>
      <c r="F382" s="1228" t="e">
        <f>IF($A382&lt;DATE(2018,7,1),"-",INDEX(#REF!, MATCH(YEAR(EOMONTH($A382,6)),#REF!, 0)))</f>
        <v>#REF!</v>
      </c>
      <c r="G382" s="1229" t="e">
        <f t="shared" si="41"/>
        <v>#REF!</v>
      </c>
      <c r="H382" s="1229" t="e">
        <f t="shared" si="41"/>
        <v>#REF!</v>
      </c>
      <c r="I382" s="1230" t="e">
        <f t="shared" si="38"/>
        <v>#REF!</v>
      </c>
    </row>
    <row r="383" spans="1:9">
      <c r="A383" s="1226">
        <f t="shared" si="37"/>
        <v>47756</v>
      </c>
      <c r="B383" s="1227">
        <f t="shared" si="35"/>
        <v>2031</v>
      </c>
      <c r="C383" s="1220"/>
      <c r="D383" s="1220"/>
      <c r="E383" s="1228" t="e">
        <f>IF($A383&lt;DATE(2018,7,1),"-",INDEX(#REF!, MATCH(YEAR(EOMONTH($A383,6)),#REF!, 0)))</f>
        <v>#REF!</v>
      </c>
      <c r="F383" s="1228" t="e">
        <f>IF($A383&lt;DATE(2018,7,1),"-",INDEX(#REF!, MATCH(YEAR(EOMONTH($A383,6)),#REF!, 0)))</f>
        <v>#REF!</v>
      </c>
      <c r="G383" s="1229" t="e">
        <f t="shared" si="41"/>
        <v>#REF!</v>
      </c>
      <c r="H383" s="1229" t="e">
        <f t="shared" si="41"/>
        <v>#REF!</v>
      </c>
      <c r="I383" s="1230" t="e">
        <f t="shared" si="38"/>
        <v>#REF!</v>
      </c>
    </row>
    <row r="384" spans="1:9">
      <c r="A384" s="1226">
        <f t="shared" si="37"/>
        <v>47787</v>
      </c>
      <c r="B384" s="1227">
        <f t="shared" si="35"/>
        <v>2031</v>
      </c>
      <c r="C384" s="1220"/>
      <c r="D384" s="1220"/>
      <c r="E384" s="1228" t="e">
        <f>IF($A384&lt;DATE(2018,7,1),"-",INDEX(#REF!, MATCH(YEAR(EOMONTH($A384,6)),#REF!, 0)))</f>
        <v>#REF!</v>
      </c>
      <c r="F384" s="1228" t="e">
        <f>IF($A384&lt;DATE(2018,7,1),"-",INDEX(#REF!, MATCH(YEAR(EOMONTH($A384,6)),#REF!, 0)))</f>
        <v>#REF!</v>
      </c>
      <c r="G384" s="1229" t="e">
        <f t="shared" si="41"/>
        <v>#REF!</v>
      </c>
      <c r="H384" s="1229" t="e">
        <f t="shared" si="41"/>
        <v>#REF!</v>
      </c>
      <c r="I384" s="1230" t="e">
        <f t="shared" si="38"/>
        <v>#REF!</v>
      </c>
    </row>
    <row r="385" spans="1:9">
      <c r="A385" s="1226">
        <f t="shared" si="37"/>
        <v>47817</v>
      </c>
      <c r="B385" s="1227">
        <f t="shared" si="35"/>
        <v>2031</v>
      </c>
      <c r="C385" s="1220"/>
      <c r="D385" s="1220"/>
      <c r="E385" s="1228" t="e">
        <f>IF($A385&lt;DATE(2018,7,1),"-",INDEX(#REF!, MATCH(YEAR(EOMONTH($A385,6)),#REF!, 0)))</f>
        <v>#REF!</v>
      </c>
      <c r="F385" s="1228" t="e">
        <f>IF($A385&lt;DATE(2018,7,1),"-",INDEX(#REF!, MATCH(YEAR(EOMONTH($A385,6)),#REF!, 0)))</f>
        <v>#REF!</v>
      </c>
      <c r="G385" s="1229" t="e">
        <f t="shared" si="41"/>
        <v>#REF!</v>
      </c>
      <c r="H385" s="1229" t="e">
        <f t="shared" si="41"/>
        <v>#REF!</v>
      </c>
      <c r="I385" s="1230" t="e">
        <f t="shared" si="38"/>
        <v>#REF!</v>
      </c>
    </row>
    <row r="386" spans="1:9">
      <c r="A386" s="1226">
        <f t="shared" si="37"/>
        <v>47848</v>
      </c>
      <c r="B386" s="1227">
        <f t="shared" si="35"/>
        <v>2031</v>
      </c>
      <c r="C386" s="1220"/>
      <c r="D386" s="1220"/>
      <c r="E386" s="1228" t="e">
        <f>IF($A386&lt;DATE(2018,7,1),"-",INDEX(#REF!, MATCH(YEAR(EOMONTH($A386,6)),#REF!, 0)))</f>
        <v>#REF!</v>
      </c>
      <c r="F386" s="1228" t="e">
        <f>IF($A386&lt;DATE(2018,7,1),"-",INDEX(#REF!, MATCH(YEAR(EOMONTH($A386,6)),#REF!, 0)))</f>
        <v>#REF!</v>
      </c>
      <c r="G386" s="1229" t="e">
        <f t="shared" si="41"/>
        <v>#REF!</v>
      </c>
      <c r="H386" s="1229" t="e">
        <f t="shared" si="41"/>
        <v>#REF!</v>
      </c>
      <c r="I386" s="1230" t="e">
        <f t="shared" si="38"/>
        <v>#REF!</v>
      </c>
    </row>
    <row r="387" spans="1:9">
      <c r="A387" s="1226">
        <f t="shared" si="37"/>
        <v>47879</v>
      </c>
      <c r="B387" s="1227">
        <f t="shared" si="35"/>
        <v>2031</v>
      </c>
      <c r="C387" s="1220"/>
      <c r="D387" s="1220"/>
      <c r="E387" s="1228" t="e">
        <f>IF($A387&lt;DATE(2018,7,1),"-",INDEX(#REF!, MATCH(YEAR(EOMONTH($A387,6)),#REF!, 0)))</f>
        <v>#REF!</v>
      </c>
      <c r="F387" s="1228" t="e">
        <f>IF($A387&lt;DATE(2018,7,1),"-",INDEX(#REF!, MATCH(YEAR(EOMONTH($A387,6)),#REF!, 0)))</f>
        <v>#REF!</v>
      </c>
      <c r="G387" s="1229" t="e">
        <f t="shared" si="41"/>
        <v>#REF!</v>
      </c>
      <c r="H387" s="1229" t="e">
        <f t="shared" si="41"/>
        <v>#REF!</v>
      </c>
      <c r="I387" s="1230" t="e">
        <f t="shared" si="38"/>
        <v>#REF!</v>
      </c>
    </row>
    <row r="388" spans="1:9">
      <c r="A388" s="1226">
        <f t="shared" si="37"/>
        <v>47907</v>
      </c>
      <c r="B388" s="1227">
        <f t="shared" si="35"/>
        <v>2031</v>
      </c>
      <c r="C388" s="1220"/>
      <c r="D388" s="1220"/>
      <c r="E388" s="1228" t="e">
        <f>IF($A388&lt;DATE(2018,7,1),"-",INDEX(#REF!, MATCH(YEAR(EOMONTH($A388,6)),#REF!, 0)))</f>
        <v>#REF!</v>
      </c>
      <c r="F388" s="1228" t="e">
        <f>IF($A388&lt;DATE(2018,7,1),"-",INDEX(#REF!, MATCH(YEAR(EOMONTH($A388,6)),#REF!, 0)))</f>
        <v>#REF!</v>
      </c>
      <c r="G388" s="1229" t="e">
        <f t="shared" si="41"/>
        <v>#REF!</v>
      </c>
      <c r="H388" s="1229" t="e">
        <f t="shared" si="41"/>
        <v>#REF!</v>
      </c>
      <c r="I388" s="1230" t="e">
        <f t="shared" si="38"/>
        <v>#REF!</v>
      </c>
    </row>
    <row r="389" spans="1:9">
      <c r="A389" s="1226">
        <f t="shared" si="37"/>
        <v>47938</v>
      </c>
      <c r="B389" s="1227">
        <f t="shared" si="35"/>
        <v>2031</v>
      </c>
      <c r="C389" s="1220"/>
      <c r="D389" s="1220"/>
      <c r="E389" s="1228" t="e">
        <f>IF($A389&lt;DATE(2018,7,1),"-",INDEX(#REF!, MATCH(YEAR(EOMONTH($A389,6)),#REF!, 0)))</f>
        <v>#REF!</v>
      </c>
      <c r="F389" s="1228" t="e">
        <f>IF($A389&lt;DATE(2018,7,1),"-",INDEX(#REF!, MATCH(YEAR(EOMONTH($A389,6)),#REF!, 0)))</f>
        <v>#REF!</v>
      </c>
      <c r="G389" s="1229" t="e">
        <f t="shared" si="41"/>
        <v>#REF!</v>
      </c>
      <c r="H389" s="1229" t="e">
        <f t="shared" si="41"/>
        <v>#REF!</v>
      </c>
      <c r="I389" s="1230" t="e">
        <f t="shared" si="38"/>
        <v>#REF!</v>
      </c>
    </row>
    <row r="390" spans="1:9">
      <c r="A390" s="1226">
        <f t="shared" si="37"/>
        <v>47968</v>
      </c>
      <c r="B390" s="1227">
        <f t="shared" ref="B390:B413" si="42">IF(MONTH(A390)&gt;=4,YEAR(A390)+1,YEAR(A390))</f>
        <v>2032</v>
      </c>
      <c r="C390" s="1220"/>
      <c r="D390" s="1220"/>
      <c r="E390" s="1228" t="e">
        <f>IF($A390&lt;DATE(2018,7,1),"-",INDEX(#REF!, MATCH(YEAR(EOMONTH($A390,6)),#REF!, 0)))</f>
        <v>#REF!</v>
      </c>
      <c r="F390" s="1228" t="e">
        <f>IF($A390&lt;DATE(2018,7,1),"-",INDEX(#REF!, MATCH(YEAR(EOMONTH($A390,6)),#REF!, 0)))</f>
        <v>#REF!</v>
      </c>
      <c r="G390" s="1229" t="e">
        <f t="shared" ref="G390:H405" si="43">IF(ISBLANK(C390),G389*((1+E390)^(1/12)),C390)</f>
        <v>#REF!</v>
      </c>
      <c r="H390" s="1229" t="e">
        <f t="shared" si="43"/>
        <v>#REF!</v>
      </c>
      <c r="I390" s="1230" t="e">
        <f t="shared" si="38"/>
        <v>#REF!</v>
      </c>
    </row>
    <row r="391" spans="1:9">
      <c r="A391" s="1226">
        <f t="shared" ref="A391:A413" si="44">IF(MONTH(A390) = 12, EOMONTH(DATE(YEAR(A390) + 1, 1, 1), 0), EOMONTH(DATE(YEAR(A390), MONTH(A390) + 1, 1), 0))</f>
        <v>47999</v>
      </c>
      <c r="B391" s="1227">
        <f t="shared" si="42"/>
        <v>2032</v>
      </c>
      <c r="C391" s="1220"/>
      <c r="D391" s="1220"/>
      <c r="E391" s="1228" t="e">
        <f>IF($A391&lt;DATE(2018,7,1),"-",INDEX(#REF!, MATCH(YEAR(EOMONTH($A391,6)),#REF!, 0)))</f>
        <v>#REF!</v>
      </c>
      <c r="F391" s="1228" t="e">
        <f>IF($A391&lt;DATE(2018,7,1),"-",INDEX(#REF!, MATCH(YEAR(EOMONTH($A391,6)),#REF!, 0)))</f>
        <v>#REF!</v>
      </c>
      <c r="G391" s="1229" t="e">
        <f t="shared" si="43"/>
        <v>#REF!</v>
      </c>
      <c r="H391" s="1229" t="e">
        <f t="shared" si="43"/>
        <v>#REF!</v>
      </c>
      <c r="I391" s="1230" t="e">
        <f t="shared" ref="I391:I413" si="45">IF($A391 &lt; DATE(2021, 4, 1), H391, IF($A391 = DATE(2021, 4, 30), I390 * ((0.5*G391/G390) + (0.5*H391/H390)),I390*(G391/G390)))</f>
        <v>#REF!</v>
      </c>
    </row>
    <row r="392" spans="1:9">
      <c r="A392" s="1226">
        <f t="shared" si="44"/>
        <v>48029</v>
      </c>
      <c r="B392" s="1227">
        <f t="shared" si="42"/>
        <v>2032</v>
      </c>
      <c r="C392" s="1220"/>
      <c r="D392" s="1220"/>
      <c r="E392" s="1228" t="e">
        <f>IF($A392&lt;DATE(2018,7,1),"-",INDEX(#REF!, MATCH(YEAR(EOMONTH($A392,6)),#REF!, 0)))</f>
        <v>#REF!</v>
      </c>
      <c r="F392" s="1228" t="e">
        <f>IF($A392&lt;DATE(2018,7,1),"-",INDEX(#REF!, MATCH(YEAR(EOMONTH($A392,6)),#REF!, 0)))</f>
        <v>#REF!</v>
      </c>
      <c r="G392" s="1229" t="e">
        <f t="shared" si="43"/>
        <v>#REF!</v>
      </c>
      <c r="H392" s="1229" t="e">
        <f t="shared" si="43"/>
        <v>#REF!</v>
      </c>
      <c r="I392" s="1230" t="e">
        <f t="shared" si="45"/>
        <v>#REF!</v>
      </c>
    </row>
    <row r="393" spans="1:9">
      <c r="A393" s="1226">
        <f t="shared" si="44"/>
        <v>48060</v>
      </c>
      <c r="B393" s="1227">
        <f t="shared" si="42"/>
        <v>2032</v>
      </c>
      <c r="C393" s="1220"/>
      <c r="D393" s="1220"/>
      <c r="E393" s="1228" t="e">
        <f>IF($A393&lt;DATE(2018,7,1),"-",INDEX(#REF!, MATCH(YEAR(EOMONTH($A393,6)),#REF!, 0)))</f>
        <v>#REF!</v>
      </c>
      <c r="F393" s="1228" t="e">
        <f>IF($A393&lt;DATE(2018,7,1),"-",INDEX(#REF!, MATCH(YEAR(EOMONTH($A393,6)),#REF!, 0)))</f>
        <v>#REF!</v>
      </c>
      <c r="G393" s="1229" t="e">
        <f t="shared" si="43"/>
        <v>#REF!</v>
      </c>
      <c r="H393" s="1229" t="e">
        <f t="shared" si="43"/>
        <v>#REF!</v>
      </c>
      <c r="I393" s="1230" t="e">
        <f t="shared" si="45"/>
        <v>#REF!</v>
      </c>
    </row>
    <row r="394" spans="1:9">
      <c r="A394" s="1226">
        <f t="shared" si="44"/>
        <v>48091</v>
      </c>
      <c r="B394" s="1227">
        <f t="shared" si="42"/>
        <v>2032</v>
      </c>
      <c r="C394" s="1220"/>
      <c r="D394" s="1220"/>
      <c r="E394" s="1228" t="e">
        <f>IF($A394&lt;DATE(2018,7,1),"-",INDEX(#REF!, MATCH(YEAR(EOMONTH($A394,6)),#REF!, 0)))</f>
        <v>#REF!</v>
      </c>
      <c r="F394" s="1228" t="e">
        <f>IF($A394&lt;DATE(2018,7,1),"-",INDEX(#REF!, MATCH(YEAR(EOMONTH($A394,6)),#REF!, 0)))</f>
        <v>#REF!</v>
      </c>
      <c r="G394" s="1229" t="e">
        <f t="shared" si="43"/>
        <v>#REF!</v>
      </c>
      <c r="H394" s="1229" t="e">
        <f t="shared" si="43"/>
        <v>#REF!</v>
      </c>
      <c r="I394" s="1230" t="e">
        <f t="shared" si="45"/>
        <v>#REF!</v>
      </c>
    </row>
    <row r="395" spans="1:9">
      <c r="A395" s="1226">
        <f t="shared" si="44"/>
        <v>48121</v>
      </c>
      <c r="B395" s="1227">
        <f t="shared" si="42"/>
        <v>2032</v>
      </c>
      <c r="C395" s="1220"/>
      <c r="D395" s="1220"/>
      <c r="E395" s="1228" t="e">
        <f>IF($A395&lt;DATE(2018,7,1),"-",INDEX(#REF!, MATCH(YEAR(EOMONTH($A395,6)),#REF!, 0)))</f>
        <v>#REF!</v>
      </c>
      <c r="F395" s="1228" t="e">
        <f>IF($A395&lt;DATE(2018,7,1),"-",INDEX(#REF!, MATCH(YEAR(EOMONTH($A395,6)),#REF!, 0)))</f>
        <v>#REF!</v>
      </c>
      <c r="G395" s="1229" t="e">
        <f t="shared" si="43"/>
        <v>#REF!</v>
      </c>
      <c r="H395" s="1229" t="e">
        <f t="shared" si="43"/>
        <v>#REF!</v>
      </c>
      <c r="I395" s="1230" t="e">
        <f t="shared" si="45"/>
        <v>#REF!</v>
      </c>
    </row>
    <row r="396" spans="1:9">
      <c r="A396" s="1226">
        <f t="shared" si="44"/>
        <v>48152</v>
      </c>
      <c r="B396" s="1227">
        <f t="shared" si="42"/>
        <v>2032</v>
      </c>
      <c r="C396" s="1220"/>
      <c r="D396" s="1220"/>
      <c r="E396" s="1228" t="e">
        <f>IF($A396&lt;DATE(2018,7,1),"-",INDEX(#REF!, MATCH(YEAR(EOMONTH($A396,6)),#REF!, 0)))</f>
        <v>#REF!</v>
      </c>
      <c r="F396" s="1228" t="e">
        <f>IF($A396&lt;DATE(2018,7,1),"-",INDEX(#REF!, MATCH(YEAR(EOMONTH($A396,6)),#REF!, 0)))</f>
        <v>#REF!</v>
      </c>
      <c r="G396" s="1229" t="e">
        <f t="shared" si="43"/>
        <v>#REF!</v>
      </c>
      <c r="H396" s="1229" t="e">
        <f t="shared" si="43"/>
        <v>#REF!</v>
      </c>
      <c r="I396" s="1230" t="e">
        <f t="shared" si="45"/>
        <v>#REF!</v>
      </c>
    </row>
    <row r="397" spans="1:9">
      <c r="A397" s="1226">
        <f t="shared" si="44"/>
        <v>48182</v>
      </c>
      <c r="B397" s="1227">
        <f t="shared" si="42"/>
        <v>2032</v>
      </c>
      <c r="C397" s="1220"/>
      <c r="D397" s="1220"/>
      <c r="E397" s="1228" t="e">
        <f>IF($A397&lt;DATE(2018,7,1),"-",INDEX(#REF!, MATCH(YEAR(EOMONTH($A397,6)),#REF!, 0)))</f>
        <v>#REF!</v>
      </c>
      <c r="F397" s="1228" t="e">
        <f>IF($A397&lt;DATE(2018,7,1),"-",INDEX(#REF!, MATCH(YEAR(EOMONTH($A397,6)),#REF!, 0)))</f>
        <v>#REF!</v>
      </c>
      <c r="G397" s="1229" t="e">
        <f t="shared" si="43"/>
        <v>#REF!</v>
      </c>
      <c r="H397" s="1229" t="e">
        <f t="shared" si="43"/>
        <v>#REF!</v>
      </c>
      <c r="I397" s="1230" t="e">
        <f t="shared" si="45"/>
        <v>#REF!</v>
      </c>
    </row>
    <row r="398" spans="1:9">
      <c r="A398" s="1226">
        <f t="shared" si="44"/>
        <v>48213</v>
      </c>
      <c r="B398" s="1227">
        <f t="shared" si="42"/>
        <v>2032</v>
      </c>
      <c r="C398" s="1220"/>
      <c r="D398" s="1220"/>
      <c r="E398" s="1228" t="e">
        <f>IF($A398&lt;DATE(2018,7,1),"-",INDEX(#REF!, MATCH(YEAR(EOMONTH($A398,6)),#REF!, 0)))</f>
        <v>#REF!</v>
      </c>
      <c r="F398" s="1228" t="e">
        <f>IF($A398&lt;DATE(2018,7,1),"-",INDEX(#REF!, MATCH(YEAR(EOMONTH($A398,6)),#REF!, 0)))</f>
        <v>#REF!</v>
      </c>
      <c r="G398" s="1229" t="e">
        <f t="shared" si="43"/>
        <v>#REF!</v>
      </c>
      <c r="H398" s="1229" t="e">
        <f t="shared" si="43"/>
        <v>#REF!</v>
      </c>
      <c r="I398" s="1230" t="e">
        <f t="shared" si="45"/>
        <v>#REF!</v>
      </c>
    </row>
    <row r="399" spans="1:9">
      <c r="A399" s="1226">
        <f t="shared" si="44"/>
        <v>48244</v>
      </c>
      <c r="B399" s="1227">
        <f t="shared" si="42"/>
        <v>2032</v>
      </c>
      <c r="C399" s="1220"/>
      <c r="D399" s="1220"/>
      <c r="E399" s="1228" t="e">
        <f>IF($A399&lt;DATE(2018,7,1),"-",INDEX(#REF!, MATCH(YEAR(EOMONTH($A399,6)),#REF!, 0)))</f>
        <v>#REF!</v>
      </c>
      <c r="F399" s="1228" t="e">
        <f>IF($A399&lt;DATE(2018,7,1),"-",INDEX(#REF!, MATCH(YEAR(EOMONTH($A399,6)),#REF!, 0)))</f>
        <v>#REF!</v>
      </c>
      <c r="G399" s="1229" t="e">
        <f t="shared" si="43"/>
        <v>#REF!</v>
      </c>
      <c r="H399" s="1229" t="e">
        <f t="shared" si="43"/>
        <v>#REF!</v>
      </c>
      <c r="I399" s="1230" t="e">
        <f t="shared" si="45"/>
        <v>#REF!</v>
      </c>
    </row>
    <row r="400" spans="1:9">
      <c r="A400" s="1226">
        <f t="shared" si="44"/>
        <v>48273</v>
      </c>
      <c r="B400" s="1227">
        <f t="shared" si="42"/>
        <v>2032</v>
      </c>
      <c r="C400" s="1220"/>
      <c r="D400" s="1220"/>
      <c r="E400" s="1228" t="e">
        <f>IF($A400&lt;DATE(2018,7,1),"-",INDEX(#REF!, MATCH(YEAR(EOMONTH($A400,6)),#REF!, 0)))</f>
        <v>#REF!</v>
      </c>
      <c r="F400" s="1228" t="e">
        <f>IF($A400&lt;DATE(2018,7,1),"-",INDEX(#REF!, MATCH(YEAR(EOMONTH($A400,6)),#REF!, 0)))</f>
        <v>#REF!</v>
      </c>
      <c r="G400" s="1229" t="e">
        <f t="shared" si="43"/>
        <v>#REF!</v>
      </c>
      <c r="H400" s="1229" t="e">
        <f t="shared" si="43"/>
        <v>#REF!</v>
      </c>
      <c r="I400" s="1230" t="e">
        <f t="shared" si="45"/>
        <v>#REF!</v>
      </c>
    </row>
    <row r="401" spans="1:9">
      <c r="A401" s="1226">
        <f t="shared" si="44"/>
        <v>48304</v>
      </c>
      <c r="B401" s="1227">
        <f t="shared" si="42"/>
        <v>2032</v>
      </c>
      <c r="C401" s="1220"/>
      <c r="D401" s="1220"/>
      <c r="E401" s="1228" t="e">
        <f>IF($A401&lt;DATE(2018,7,1),"-",INDEX(#REF!, MATCH(YEAR(EOMONTH($A401,6)),#REF!, 0)))</f>
        <v>#REF!</v>
      </c>
      <c r="F401" s="1228" t="e">
        <f>IF($A401&lt;DATE(2018,7,1),"-",INDEX(#REF!, MATCH(YEAR(EOMONTH($A401,6)),#REF!, 0)))</f>
        <v>#REF!</v>
      </c>
      <c r="G401" s="1229" t="e">
        <f t="shared" si="43"/>
        <v>#REF!</v>
      </c>
      <c r="H401" s="1229" t="e">
        <f t="shared" si="43"/>
        <v>#REF!</v>
      </c>
      <c r="I401" s="1230" t="e">
        <f t="shared" si="45"/>
        <v>#REF!</v>
      </c>
    </row>
    <row r="402" spans="1:9">
      <c r="A402" s="1226">
        <f t="shared" si="44"/>
        <v>48334</v>
      </c>
      <c r="B402" s="1227">
        <f t="shared" si="42"/>
        <v>2033</v>
      </c>
      <c r="C402" s="1220"/>
      <c r="D402" s="1220"/>
      <c r="E402" s="1228" t="e">
        <f>IF($A402&lt;DATE(2018,7,1),"-",INDEX(#REF!, MATCH(YEAR(EOMONTH($A402,6)),#REF!, 0)))</f>
        <v>#REF!</v>
      </c>
      <c r="F402" s="1228" t="e">
        <f>IF($A402&lt;DATE(2018,7,1),"-",INDEX(#REF!, MATCH(YEAR(EOMONTH($A402,6)),#REF!, 0)))</f>
        <v>#REF!</v>
      </c>
      <c r="G402" s="1229" t="e">
        <f t="shared" si="43"/>
        <v>#REF!</v>
      </c>
      <c r="H402" s="1229" t="e">
        <f t="shared" si="43"/>
        <v>#REF!</v>
      </c>
      <c r="I402" s="1230" t="e">
        <f t="shared" si="45"/>
        <v>#REF!</v>
      </c>
    </row>
    <row r="403" spans="1:9">
      <c r="A403" s="1226">
        <f t="shared" si="44"/>
        <v>48365</v>
      </c>
      <c r="B403" s="1227">
        <f t="shared" si="42"/>
        <v>2033</v>
      </c>
      <c r="C403" s="1220"/>
      <c r="D403" s="1220"/>
      <c r="E403" s="1228" t="e">
        <f>IF($A403&lt;DATE(2018,7,1),"-",INDEX(#REF!, MATCH(YEAR(EOMONTH($A403,6)),#REF!, 0)))</f>
        <v>#REF!</v>
      </c>
      <c r="F403" s="1228" t="e">
        <f>IF($A403&lt;DATE(2018,7,1),"-",INDEX(#REF!, MATCH(YEAR(EOMONTH($A403,6)),#REF!, 0)))</f>
        <v>#REF!</v>
      </c>
      <c r="G403" s="1229" t="e">
        <f t="shared" si="43"/>
        <v>#REF!</v>
      </c>
      <c r="H403" s="1229" t="e">
        <f t="shared" si="43"/>
        <v>#REF!</v>
      </c>
      <c r="I403" s="1230" t="e">
        <f t="shared" si="45"/>
        <v>#REF!</v>
      </c>
    </row>
    <row r="404" spans="1:9">
      <c r="A404" s="1226">
        <f t="shared" si="44"/>
        <v>48395</v>
      </c>
      <c r="B404" s="1227">
        <f t="shared" si="42"/>
        <v>2033</v>
      </c>
      <c r="C404" s="1220"/>
      <c r="D404" s="1220"/>
      <c r="E404" s="1228" t="e">
        <f>IF($A404&lt;DATE(2018,7,1),"-",INDEX(#REF!, MATCH(YEAR(EOMONTH($A404,6)),#REF!, 0)))</f>
        <v>#REF!</v>
      </c>
      <c r="F404" s="1228" t="e">
        <f>IF($A404&lt;DATE(2018,7,1),"-",INDEX(#REF!, MATCH(YEAR(EOMONTH($A404,6)),#REF!, 0)))</f>
        <v>#REF!</v>
      </c>
      <c r="G404" s="1229" t="e">
        <f t="shared" si="43"/>
        <v>#REF!</v>
      </c>
      <c r="H404" s="1229" t="e">
        <f t="shared" si="43"/>
        <v>#REF!</v>
      </c>
      <c r="I404" s="1230" t="e">
        <f t="shared" si="45"/>
        <v>#REF!</v>
      </c>
    </row>
    <row r="405" spans="1:9">
      <c r="A405" s="1226">
        <f t="shared" si="44"/>
        <v>48426</v>
      </c>
      <c r="B405" s="1227">
        <f t="shared" si="42"/>
        <v>2033</v>
      </c>
      <c r="C405" s="1220"/>
      <c r="D405" s="1220"/>
      <c r="E405" s="1228" t="e">
        <f>IF($A405&lt;DATE(2018,7,1),"-",INDEX(#REF!, MATCH(YEAR(EOMONTH($A405,6)),#REF!, 0)))</f>
        <v>#REF!</v>
      </c>
      <c r="F405" s="1228" t="e">
        <f>IF($A405&lt;DATE(2018,7,1),"-",INDEX(#REF!, MATCH(YEAR(EOMONTH($A405,6)),#REF!, 0)))</f>
        <v>#REF!</v>
      </c>
      <c r="G405" s="1229" t="e">
        <f t="shared" si="43"/>
        <v>#REF!</v>
      </c>
      <c r="H405" s="1229" t="e">
        <f t="shared" si="43"/>
        <v>#REF!</v>
      </c>
      <c r="I405" s="1230" t="e">
        <f t="shared" si="45"/>
        <v>#REF!</v>
      </c>
    </row>
    <row r="406" spans="1:9">
      <c r="A406" s="1226">
        <f t="shared" si="44"/>
        <v>48457</v>
      </c>
      <c r="B406" s="1227">
        <f t="shared" si="42"/>
        <v>2033</v>
      </c>
      <c r="C406" s="1220"/>
      <c r="D406" s="1220"/>
      <c r="E406" s="1228" t="e">
        <f>IF($A406&lt;DATE(2018,7,1),"-",INDEX(#REF!, MATCH(YEAR(EOMONTH($A406,6)),#REF!, 0)))</f>
        <v>#REF!</v>
      </c>
      <c r="F406" s="1228" t="e">
        <f>IF($A406&lt;DATE(2018,7,1),"-",INDEX(#REF!, MATCH(YEAR(EOMONTH($A406,6)),#REF!, 0)))</f>
        <v>#REF!</v>
      </c>
      <c r="G406" s="1229" t="e">
        <f t="shared" ref="G406:H413" si="46">IF(ISBLANK(C406),G405*((1+E406)^(1/12)),C406)</f>
        <v>#REF!</v>
      </c>
      <c r="H406" s="1229" t="e">
        <f t="shared" si="46"/>
        <v>#REF!</v>
      </c>
      <c r="I406" s="1230" t="e">
        <f t="shared" si="45"/>
        <v>#REF!</v>
      </c>
    </row>
    <row r="407" spans="1:9">
      <c r="A407" s="1226">
        <f t="shared" si="44"/>
        <v>48487</v>
      </c>
      <c r="B407" s="1227">
        <f t="shared" si="42"/>
        <v>2033</v>
      </c>
      <c r="C407" s="1220"/>
      <c r="D407" s="1220"/>
      <c r="E407" s="1228" t="e">
        <f>IF($A407&lt;DATE(2018,7,1),"-",INDEX(#REF!, MATCH(YEAR(EOMONTH($A407,6)),#REF!, 0)))</f>
        <v>#REF!</v>
      </c>
      <c r="F407" s="1228" t="e">
        <f>IF($A407&lt;DATE(2018,7,1),"-",INDEX(#REF!, MATCH(YEAR(EOMONTH($A407,6)),#REF!, 0)))</f>
        <v>#REF!</v>
      </c>
      <c r="G407" s="1229" t="e">
        <f t="shared" si="46"/>
        <v>#REF!</v>
      </c>
      <c r="H407" s="1229" t="e">
        <f t="shared" si="46"/>
        <v>#REF!</v>
      </c>
      <c r="I407" s="1230" t="e">
        <f t="shared" si="45"/>
        <v>#REF!</v>
      </c>
    </row>
    <row r="408" spans="1:9">
      <c r="A408" s="1226">
        <f t="shared" si="44"/>
        <v>48518</v>
      </c>
      <c r="B408" s="1227">
        <f t="shared" si="42"/>
        <v>2033</v>
      </c>
      <c r="C408" s="1220"/>
      <c r="D408" s="1220"/>
      <c r="E408" s="1228" t="e">
        <f>IF($A408&lt;DATE(2018,7,1),"-",INDEX(#REF!, MATCH(YEAR(EOMONTH($A408,6)),#REF!, 0)))</f>
        <v>#REF!</v>
      </c>
      <c r="F408" s="1228" t="e">
        <f>IF($A408&lt;DATE(2018,7,1),"-",INDEX(#REF!, MATCH(YEAR(EOMONTH($A408,6)),#REF!, 0)))</f>
        <v>#REF!</v>
      </c>
      <c r="G408" s="1229" t="e">
        <f t="shared" si="46"/>
        <v>#REF!</v>
      </c>
      <c r="H408" s="1229" t="e">
        <f t="shared" si="46"/>
        <v>#REF!</v>
      </c>
      <c r="I408" s="1230" t="e">
        <f t="shared" si="45"/>
        <v>#REF!</v>
      </c>
    </row>
    <row r="409" spans="1:9">
      <c r="A409" s="1226">
        <f t="shared" si="44"/>
        <v>48548</v>
      </c>
      <c r="B409" s="1227">
        <f t="shared" si="42"/>
        <v>2033</v>
      </c>
      <c r="C409" s="1220"/>
      <c r="D409" s="1220"/>
      <c r="E409" s="1228" t="e">
        <f>IF($A409&lt;DATE(2018,7,1),"-",INDEX(#REF!, MATCH(YEAR(EOMONTH($A409,6)),#REF!, 0)))</f>
        <v>#REF!</v>
      </c>
      <c r="F409" s="1228" t="e">
        <f>IF($A409&lt;DATE(2018,7,1),"-",INDEX(#REF!, MATCH(YEAR(EOMONTH($A409,6)),#REF!, 0)))</f>
        <v>#REF!</v>
      </c>
      <c r="G409" s="1229" t="e">
        <f t="shared" si="46"/>
        <v>#REF!</v>
      </c>
      <c r="H409" s="1229" t="e">
        <f t="shared" si="46"/>
        <v>#REF!</v>
      </c>
      <c r="I409" s="1230" t="e">
        <f t="shared" si="45"/>
        <v>#REF!</v>
      </c>
    </row>
    <row r="410" spans="1:9">
      <c r="A410" s="1226">
        <f t="shared" si="44"/>
        <v>48579</v>
      </c>
      <c r="B410" s="1227">
        <f t="shared" si="42"/>
        <v>2033</v>
      </c>
      <c r="C410" s="1220"/>
      <c r="D410" s="1220"/>
      <c r="E410" s="1228" t="e">
        <f>IF($A410&lt;DATE(2018,7,1),"-",INDEX(#REF!, MATCH(YEAR(EOMONTH($A410,6)),#REF!, 0)))</f>
        <v>#REF!</v>
      </c>
      <c r="F410" s="1228" t="e">
        <f>IF($A410&lt;DATE(2018,7,1),"-",INDEX(#REF!, MATCH(YEAR(EOMONTH($A410,6)),#REF!, 0)))</f>
        <v>#REF!</v>
      </c>
      <c r="G410" s="1229" t="e">
        <f t="shared" si="46"/>
        <v>#REF!</v>
      </c>
      <c r="H410" s="1229" t="e">
        <f t="shared" si="46"/>
        <v>#REF!</v>
      </c>
      <c r="I410" s="1230" t="e">
        <f t="shared" si="45"/>
        <v>#REF!</v>
      </c>
    </row>
    <row r="411" spans="1:9">
      <c r="A411" s="1226">
        <f t="shared" si="44"/>
        <v>48610</v>
      </c>
      <c r="B411" s="1227">
        <f t="shared" si="42"/>
        <v>2033</v>
      </c>
      <c r="C411" s="1220"/>
      <c r="D411" s="1220"/>
      <c r="E411" s="1228" t="e">
        <f>IF($A411&lt;DATE(2018,7,1),"-",INDEX(#REF!, MATCH(YEAR(EOMONTH($A411,6)),#REF!, 0)))</f>
        <v>#REF!</v>
      </c>
      <c r="F411" s="1228" t="e">
        <f>IF($A411&lt;DATE(2018,7,1),"-",INDEX(#REF!, MATCH(YEAR(EOMONTH($A411,6)),#REF!, 0)))</f>
        <v>#REF!</v>
      </c>
      <c r="G411" s="1229" t="e">
        <f t="shared" si="46"/>
        <v>#REF!</v>
      </c>
      <c r="H411" s="1229" t="e">
        <f t="shared" si="46"/>
        <v>#REF!</v>
      </c>
      <c r="I411" s="1230" t="e">
        <f t="shared" si="45"/>
        <v>#REF!</v>
      </c>
    </row>
    <row r="412" spans="1:9">
      <c r="A412" s="1226">
        <f t="shared" si="44"/>
        <v>48638</v>
      </c>
      <c r="B412" s="1227">
        <f t="shared" si="42"/>
        <v>2033</v>
      </c>
      <c r="C412" s="1220"/>
      <c r="D412" s="1220"/>
      <c r="E412" s="1228" t="e">
        <f>IF($A412&lt;DATE(2018,7,1),"-",INDEX(#REF!, MATCH(YEAR(EOMONTH($A412,6)),#REF!, 0)))</f>
        <v>#REF!</v>
      </c>
      <c r="F412" s="1228" t="e">
        <f>IF($A412&lt;DATE(2018,7,1),"-",INDEX(#REF!, MATCH(YEAR(EOMONTH($A412,6)),#REF!, 0)))</f>
        <v>#REF!</v>
      </c>
      <c r="G412" s="1229" t="e">
        <f t="shared" si="46"/>
        <v>#REF!</v>
      </c>
      <c r="H412" s="1229" t="e">
        <f t="shared" si="46"/>
        <v>#REF!</v>
      </c>
      <c r="I412" s="1230" t="e">
        <f t="shared" si="45"/>
        <v>#REF!</v>
      </c>
    </row>
    <row r="413" spans="1:9">
      <c r="A413" s="1226">
        <f t="shared" si="44"/>
        <v>48669</v>
      </c>
      <c r="B413" s="1227">
        <f t="shared" si="42"/>
        <v>2033</v>
      </c>
      <c r="C413" s="1220"/>
      <c r="D413" s="1220"/>
      <c r="E413" s="1228" t="e">
        <f>IF($A413&lt;DATE(2018,7,1),"-",INDEX(#REF!, MATCH(YEAR(EOMONTH($A413,6)),#REF!, 0)))</f>
        <v>#REF!</v>
      </c>
      <c r="F413" s="1228" t="e">
        <f>IF($A413&lt;DATE(2018,7,1),"-",INDEX(#REF!, MATCH(YEAR(EOMONTH($A413,6)),#REF!, 0)))</f>
        <v>#REF!</v>
      </c>
      <c r="G413" s="1229" t="e">
        <f t="shared" si="46"/>
        <v>#REF!</v>
      </c>
      <c r="H413" s="1229" t="e">
        <f t="shared" si="46"/>
        <v>#REF!</v>
      </c>
      <c r="I413" s="1230" t="e">
        <f t="shared" si="45"/>
        <v>#REF!</v>
      </c>
    </row>
    <row r="414" spans="1:9">
      <c r="A414" s="1214"/>
    </row>
    <row r="415" spans="1:9">
      <c r="A415" s="1214"/>
    </row>
    <row r="416" spans="1:9" hidden="1">
      <c r="A416" s="1214"/>
    </row>
    <row r="417" spans="1:1" hidden="1">
      <c r="A417" s="1214"/>
    </row>
    <row r="418" spans="1:1" hidden="1">
      <c r="A418" s="1214"/>
    </row>
    <row r="419" spans="1:1" hidden="1">
      <c r="A419" s="1214"/>
    </row>
    <row r="420" spans="1:1" hidden="1">
      <c r="A420" s="1214"/>
    </row>
    <row r="421" spans="1:1" hidden="1">
      <c r="A421" s="1214"/>
    </row>
    <row r="422" spans="1:1" hidden="1">
      <c r="A422" s="1214"/>
    </row>
    <row r="423" spans="1:1" hidden="1">
      <c r="A423" s="1214"/>
    </row>
    <row r="424" spans="1:1" hidden="1">
      <c r="A424" s="1214"/>
    </row>
    <row r="425" spans="1:1" hidden="1">
      <c r="A425" s="1214"/>
    </row>
    <row r="426" spans="1:1" hidden="1">
      <c r="A426" s="1214"/>
    </row>
    <row r="427" spans="1:1" hidden="1">
      <c r="A427" s="1214"/>
    </row>
    <row r="428" spans="1:1" hidden="1">
      <c r="A428" s="1214"/>
    </row>
    <row r="429" spans="1:1"/>
  </sheetData>
  <sheetProtection algorithmName="SHA-512" hashValue="nZoEtvc+BAlrEcK/u6XgSItwuDxkHz5lQJBGsgeT6LiuSf6pfXqICbfEiUKKPte1wGgCSfgiv532EBF2pFZz4g==" saltValue="soJN6rpP7FQNy6ZgTlpFvA==" spinCount="100000" sheet="1" objects="1" scenarios="1"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72"/>
  <sheetViews>
    <sheetView zoomScale="85" zoomScaleNormal="85" workbookViewId="0"/>
  </sheetViews>
  <sheetFormatPr defaultRowHeight="12.35"/>
  <cols>
    <col min="1" max="1" width="10" customWidth="1"/>
    <col min="2" max="2" width="59.1015625" customWidth="1"/>
    <col min="3" max="3" width="17.734375" customWidth="1"/>
    <col min="4" max="4" width="16.89453125" customWidth="1"/>
    <col min="5" max="5" width="11.734375" customWidth="1"/>
    <col min="6" max="6" width="13.1015625" bestFit="1" customWidth="1"/>
    <col min="7" max="7" width="13.734375" customWidth="1"/>
    <col min="8" max="8" width="11.47265625" bestFit="1" customWidth="1"/>
    <col min="9" max="9" width="11.1015625" bestFit="1" customWidth="1"/>
    <col min="10" max="10" width="12.3671875" customWidth="1"/>
    <col min="11" max="11" width="11.26171875" customWidth="1"/>
    <col min="12" max="12" width="15.89453125" customWidth="1"/>
    <col min="13" max="13" width="11.89453125" customWidth="1"/>
    <col min="14" max="14" width="12.734375" customWidth="1"/>
  </cols>
  <sheetData>
    <row r="1" spans="1:14" ht="20">
      <c r="A1" s="350" t="s">
        <v>16</v>
      </c>
      <c r="B1" s="442"/>
      <c r="C1" s="442"/>
      <c r="D1" s="442"/>
      <c r="E1" s="442"/>
      <c r="F1" s="442"/>
      <c r="G1" s="442"/>
      <c r="H1" s="442"/>
      <c r="I1" s="442"/>
      <c r="J1" s="442"/>
      <c r="K1" s="442"/>
      <c r="L1" s="442"/>
      <c r="M1" s="442"/>
      <c r="N1" s="351"/>
    </row>
    <row r="2" spans="1:14" ht="20">
      <c r="A2" s="422" t="str">
        <f>Licensee</f>
        <v>Cadent-WM</v>
      </c>
      <c r="B2" s="160"/>
      <c r="C2" s="160"/>
      <c r="D2" s="160"/>
      <c r="E2" s="160"/>
      <c r="F2" s="160"/>
      <c r="G2" s="160"/>
      <c r="H2" s="160"/>
      <c r="I2" s="160"/>
      <c r="J2" s="160"/>
      <c r="K2" s="160"/>
      <c r="L2" s="160"/>
      <c r="M2" s="160"/>
      <c r="N2" s="162"/>
    </row>
    <row r="3" spans="1:14" ht="20">
      <c r="A3" s="157">
        <f>Reporting_Year</f>
        <v>2023</v>
      </c>
      <c r="B3" s="309"/>
      <c r="C3" s="309"/>
      <c r="D3" s="309"/>
      <c r="E3" s="309"/>
      <c r="F3" s="309"/>
      <c r="G3" s="309"/>
      <c r="H3" s="309"/>
      <c r="I3" s="309"/>
      <c r="J3" s="309"/>
      <c r="K3" s="309"/>
      <c r="L3" s="309"/>
      <c r="M3" s="309"/>
      <c r="N3" s="163"/>
    </row>
    <row r="6" spans="1:14">
      <c r="B6" s="295" t="s">
        <v>17</v>
      </c>
      <c r="C6" s="312">
        <f>INDEX(O56:U84,MATCH(Licensee,Data!B56:B84,0),MATCH(Reporting_Year,Data!O55:U55,0))</f>
        <v>4.5568105000000005E-2</v>
      </c>
      <c r="F6" s="291" t="s">
        <v>18</v>
      </c>
      <c r="G6" s="36"/>
      <c r="H6" s="287" t="s">
        <v>19</v>
      </c>
      <c r="I6" s="311" t="s">
        <v>20</v>
      </c>
    </row>
    <row r="7" spans="1:14">
      <c r="B7" s="295" t="s">
        <v>21</v>
      </c>
      <c r="C7" s="312">
        <f>SUMIF(Data!$B$55:$B$84,'RFPR cover'!C7,Data!$C$55:$C$84)</f>
        <v>0.5</v>
      </c>
      <c r="F7" s="313">
        <v>0.1</v>
      </c>
      <c r="G7" s="116"/>
      <c r="H7" s="287" t="s">
        <v>22</v>
      </c>
      <c r="I7" s="288" t="s">
        <v>23</v>
      </c>
    </row>
    <row r="8" spans="1:14">
      <c r="B8" s="295" t="s">
        <v>24</v>
      </c>
      <c r="C8" s="310">
        <f>SUMIF(Data!$B$55:$B$84,'RFPR cover'!C7,Data!$D$55:$D$84)</f>
        <v>0.6</v>
      </c>
      <c r="H8" s="287" t="s">
        <v>25</v>
      </c>
      <c r="I8" s="288" t="s">
        <v>23</v>
      </c>
    </row>
    <row r="9" spans="1:14">
      <c r="B9" s="210" t="s">
        <v>26</v>
      </c>
      <c r="C9" s="299" t="str">
        <f>INDEX(Data!$F$56:$F$84,MATCH('RFPR cover'!$C$7,Data!$B$56:$B$84,0),0)</f>
        <v>£m 18/19</v>
      </c>
      <c r="H9" s="287" t="s">
        <v>27</v>
      </c>
      <c r="I9" s="288" t="s">
        <v>23</v>
      </c>
    </row>
    <row r="10" spans="1:14">
      <c r="B10" s="210" t="s">
        <v>28</v>
      </c>
      <c r="C10" s="408">
        <f>INDEX(Data!$M$304:$S$332,MATCH('RFPR cover'!$C$7,Data!$L$304:$L$332,0),MATCH('R8a - Tax Reconciliation'!$B$6,Data!$M$303:$S$303,0))</f>
        <v>4.5831865391005095</v>
      </c>
      <c r="H10" s="287" t="s">
        <v>29</v>
      </c>
      <c r="I10" s="288" t="s">
        <v>23</v>
      </c>
    </row>
    <row r="11" spans="1:14">
      <c r="B11" s="210" t="s">
        <v>30</v>
      </c>
      <c r="C11" s="408">
        <f>INDEX(Data!$M$339:$S$367,MATCH('RFPR cover'!$C$7,Data!$L$339:$L$367,0),MATCH('R8a - Tax Reconciliation'!$B$6,Data!$M$338:$S$338,0))</f>
        <v>1.0750684474433292</v>
      </c>
      <c r="H11" s="189"/>
      <c r="I11" s="405"/>
    </row>
    <row r="13" spans="1:14">
      <c r="B13" s="1" t="s">
        <v>31</v>
      </c>
    </row>
    <row r="14" spans="1:14">
      <c r="B14" s="314" t="s">
        <v>32</v>
      </c>
      <c r="C14" s="315" t="str">
        <f t="shared" ref="C14:N14" si="0">IF(VALUE(C16)&lt;=Reporting_Year,"Actual","Forecast")</f>
        <v>Actual</v>
      </c>
      <c r="D14" s="315" t="str">
        <f t="shared" si="0"/>
        <v>Actual</v>
      </c>
      <c r="E14" s="315" t="str">
        <f t="shared" si="0"/>
        <v>Actual</v>
      </c>
      <c r="F14" s="315" t="str">
        <f t="shared" si="0"/>
        <v>Actual</v>
      </c>
      <c r="G14" s="315" t="str">
        <f t="shared" si="0"/>
        <v>Actual</v>
      </c>
      <c r="H14" s="315" t="str">
        <f t="shared" si="0"/>
        <v>Forecast</v>
      </c>
      <c r="I14" s="315" t="str">
        <f t="shared" si="0"/>
        <v>Forecast</v>
      </c>
      <c r="J14" s="315" t="str">
        <f t="shared" si="0"/>
        <v>Forecast</v>
      </c>
      <c r="K14" s="315" t="str">
        <f t="shared" si="0"/>
        <v>Forecast</v>
      </c>
      <c r="L14" s="315" t="str">
        <f t="shared" si="0"/>
        <v>Forecast</v>
      </c>
      <c r="M14" s="315" t="str">
        <f t="shared" si="0"/>
        <v>Forecast</v>
      </c>
      <c r="N14" s="315" t="str">
        <f t="shared" si="0"/>
        <v>Forecast</v>
      </c>
    </row>
    <row r="15" spans="1:14">
      <c r="B15" s="314" t="s">
        <v>33</v>
      </c>
      <c r="C15" s="316">
        <v>43555</v>
      </c>
      <c r="D15" s="317">
        <v>43921</v>
      </c>
      <c r="E15" s="317">
        <v>44286</v>
      </c>
      <c r="F15" s="317">
        <v>44651</v>
      </c>
      <c r="G15" s="317">
        <v>45016</v>
      </c>
      <c r="H15" s="316">
        <v>45382</v>
      </c>
      <c r="I15" s="316">
        <v>45747</v>
      </c>
      <c r="J15" s="316">
        <v>46112</v>
      </c>
      <c r="K15" s="316">
        <v>46477</v>
      </c>
      <c r="L15" s="316">
        <v>46843</v>
      </c>
      <c r="M15" s="316">
        <v>47208</v>
      </c>
      <c r="N15" s="316">
        <v>47573</v>
      </c>
    </row>
    <row r="16" spans="1:14">
      <c r="B16" s="314" t="s">
        <v>34</v>
      </c>
      <c r="C16" s="318">
        <v>2019</v>
      </c>
      <c r="D16" s="319">
        <v>2020</v>
      </c>
      <c r="E16" s="318">
        <v>2021</v>
      </c>
      <c r="F16" s="319">
        <v>2022</v>
      </c>
      <c r="G16" s="318">
        <v>2023</v>
      </c>
      <c r="H16" s="319">
        <v>2024</v>
      </c>
      <c r="I16" s="318">
        <v>2025</v>
      </c>
      <c r="J16" s="319">
        <v>2026</v>
      </c>
      <c r="K16" s="318">
        <v>2027</v>
      </c>
      <c r="L16" s="319">
        <v>2028</v>
      </c>
      <c r="M16" s="318">
        <v>2029</v>
      </c>
      <c r="N16" s="319">
        <v>2030</v>
      </c>
    </row>
    <row r="17" spans="1:23">
      <c r="B17" s="320" t="s">
        <v>35</v>
      </c>
      <c r="C17" s="398">
        <v>283.30833333333334</v>
      </c>
      <c r="D17" s="399">
        <v>290.64166666666665</v>
      </c>
      <c r="E17" s="399">
        <v>294.16666666666669</v>
      </c>
      <c r="F17" s="399">
        <v>307.32821397646848</v>
      </c>
      <c r="G17" s="399">
        <v>334.29358180068937</v>
      </c>
      <c r="H17" s="399">
        <v>350.17008495704403</v>
      </c>
      <c r="I17" s="399">
        <v>352.72791950127947</v>
      </c>
      <c r="J17" s="399">
        <v>353.6130043675667</v>
      </c>
      <c r="K17" s="415">
        <f t="shared" ref="K17:N18" si="1">J17*(1+K$21)</f>
        <v>360.68526445491807</v>
      </c>
      <c r="L17" s="415">
        <f t="shared" si="1"/>
        <v>367.89896974401643</v>
      </c>
      <c r="M17" s="415">
        <f t="shared" si="1"/>
        <v>375.25694913889674</v>
      </c>
      <c r="N17" s="415">
        <f t="shared" si="1"/>
        <v>382.76208812167471</v>
      </c>
    </row>
    <row r="18" spans="1:23">
      <c r="B18" s="314" t="s">
        <v>36</v>
      </c>
      <c r="C18" s="398">
        <v>286.64999999999998</v>
      </c>
      <c r="D18" s="399">
        <v>292.60000000000002</v>
      </c>
      <c r="E18" s="399">
        <v>298.42363263445759</v>
      </c>
      <c r="F18" s="399">
        <v>319.91658048382931</v>
      </c>
      <c r="G18" s="399">
        <v>345.36085264892222</v>
      </c>
      <c r="H18" s="399">
        <v>352.03701002193111</v>
      </c>
      <c r="I18" s="399">
        <v>352.98587391383592</v>
      </c>
      <c r="J18" s="399">
        <v>354.39316805550186</v>
      </c>
      <c r="K18" s="415">
        <f t="shared" si="1"/>
        <v>361.48103141661193</v>
      </c>
      <c r="L18" s="415">
        <f t="shared" si="1"/>
        <v>368.7106520449442</v>
      </c>
      <c r="M18" s="415">
        <f t="shared" si="1"/>
        <v>376.08486508584309</v>
      </c>
      <c r="N18" s="415">
        <f t="shared" si="1"/>
        <v>383.60656238755996</v>
      </c>
    </row>
    <row r="19" spans="1:23" ht="12.7">
      <c r="A19" s="8"/>
      <c r="B19" s="314" t="s">
        <v>37</v>
      </c>
      <c r="C19" s="239">
        <v>0.19</v>
      </c>
      <c r="D19" s="336">
        <v>0.19</v>
      </c>
      <c r="E19" s="336">
        <v>0.19</v>
      </c>
      <c r="F19" s="336">
        <v>0.19</v>
      </c>
      <c r="G19" s="239">
        <v>0.19</v>
      </c>
      <c r="H19" s="239">
        <v>0.25</v>
      </c>
      <c r="I19" s="239">
        <v>0.25</v>
      </c>
      <c r="J19" s="239">
        <v>0.25</v>
      </c>
      <c r="K19" s="238">
        <v>0.25</v>
      </c>
      <c r="L19" s="238">
        <v>0.25</v>
      </c>
      <c r="M19" s="238">
        <v>0.25</v>
      </c>
      <c r="N19" s="238">
        <v>0.25</v>
      </c>
    </row>
    <row r="20" spans="1:23">
      <c r="A20" s="8"/>
      <c r="B20" s="182" t="s">
        <v>38</v>
      </c>
      <c r="C20" s="400">
        <v>106.43333333333334</v>
      </c>
      <c r="D20" s="400">
        <v>108.24166666666663</v>
      </c>
      <c r="E20" s="400">
        <v>109.10833333333335</v>
      </c>
      <c r="F20" s="400">
        <v>113.11666666666667</v>
      </c>
      <c r="G20" s="400">
        <v>123.04166666666664</v>
      </c>
      <c r="H20" s="400">
        <v>128.88524702700141</v>
      </c>
      <c r="I20" s="400">
        <v>129.8266956294097</v>
      </c>
      <c r="J20" s="400">
        <v>130.15246412458336</v>
      </c>
      <c r="K20" s="415">
        <f>J20*(1+K$21)</f>
        <v>132.75551340707503</v>
      </c>
      <c r="L20" s="415">
        <f>K20*(1+L$21)</f>
        <v>135.41062367521653</v>
      </c>
      <c r="M20" s="415">
        <f>L20*(1+M$21)</f>
        <v>138.11883614872087</v>
      </c>
      <c r="N20" s="415">
        <f>M20*(1+N$21)</f>
        <v>140.88121287169528</v>
      </c>
      <c r="U20" s="178"/>
      <c r="V20" s="178"/>
    </row>
    <row r="21" spans="1:23" ht="15">
      <c r="A21" s="8"/>
      <c r="B21" s="314" t="s">
        <v>39</v>
      </c>
      <c r="C21" s="182"/>
      <c r="D21" s="182"/>
      <c r="E21" s="182"/>
      <c r="F21" s="182"/>
      <c r="G21" s="182"/>
      <c r="H21" s="183"/>
      <c r="I21" s="182"/>
      <c r="J21" s="182"/>
      <c r="K21" s="239">
        <v>0.02</v>
      </c>
      <c r="L21" s="239">
        <v>0.02</v>
      </c>
      <c r="M21" s="239">
        <v>0.02</v>
      </c>
      <c r="N21" s="239">
        <v>0.02</v>
      </c>
      <c r="O21" s="196" t="s">
        <v>40</v>
      </c>
      <c r="U21" s="178"/>
      <c r="V21" s="178"/>
    </row>
    <row r="22" spans="1:23" ht="15">
      <c r="A22" s="8"/>
      <c r="B22" s="180"/>
      <c r="C22" s="179"/>
      <c r="D22" s="179"/>
      <c r="E22" s="179"/>
      <c r="F22" s="179"/>
      <c r="G22" s="179"/>
      <c r="U22" s="178"/>
      <c r="V22" s="178"/>
    </row>
    <row r="23" spans="1:23">
      <c r="A23" s="8"/>
      <c r="B23" s="8"/>
      <c r="C23" s="8"/>
      <c r="D23" s="8"/>
      <c r="E23" s="179"/>
      <c r="F23" s="179"/>
      <c r="G23" s="179"/>
      <c r="H23" s="8"/>
      <c r="I23" s="8"/>
      <c r="J23" s="8"/>
      <c r="K23" s="8"/>
      <c r="L23" s="8"/>
      <c r="M23" s="8"/>
      <c r="U23" s="178"/>
      <c r="V23" s="178"/>
    </row>
    <row r="24" spans="1:23">
      <c r="E24" s="175"/>
      <c r="F24" s="175"/>
      <c r="G24" s="176"/>
    </row>
    <row r="25" spans="1:23">
      <c r="E25" s="315" t="str">
        <f>IF(E26&lt;='RFPR cover'!$C$9,"Actuals","Forecast")</f>
        <v>Actuals</v>
      </c>
      <c r="F25" s="315" t="str">
        <f>IF(F26&lt;='RFPR cover'!$C$9,"Actuals","Forecast")</f>
        <v>Actuals</v>
      </c>
      <c r="G25" s="315" t="str">
        <f>IF(G26&lt;='RFPR cover'!$C$9,"Actuals","Forecast")</f>
        <v>Actuals</v>
      </c>
      <c r="H25" s="315" t="str">
        <f>IF(H26&lt;='RFPR cover'!$C$9,"Actuals","Forecast")</f>
        <v>Forecast</v>
      </c>
      <c r="I25" s="315" t="str">
        <f>IF(I26&lt;='RFPR cover'!$C$9,"Actuals","Forecast")</f>
        <v>Forecast</v>
      </c>
      <c r="J25" s="315" t="str">
        <f>IF(J26&lt;='RFPR cover'!$C$9,"Actuals","Forecast")</f>
        <v>Forecast</v>
      </c>
      <c r="K25" s="315" t="str">
        <f>IF(K26&lt;='RFPR cover'!$C$9,"Actuals","Forecast")</f>
        <v>Forecast</v>
      </c>
      <c r="L25" s="315" t="str">
        <f>IF(L26&lt;='RFPR cover'!$C$9,"Actuals","Forecast")</f>
        <v>Forecast</v>
      </c>
    </row>
    <row r="26" spans="1:23" ht="14.25" customHeight="1">
      <c r="E26" s="211">
        <v>2021</v>
      </c>
      <c r="F26" s="212">
        <f t="shared" ref="F26:L26" si="2">E26+1</f>
        <v>2022</v>
      </c>
      <c r="G26" s="212">
        <f t="shared" si="2"/>
        <v>2023</v>
      </c>
      <c r="H26" s="212">
        <f t="shared" si="2"/>
        <v>2024</v>
      </c>
      <c r="I26" s="212">
        <f t="shared" si="2"/>
        <v>2025</v>
      </c>
      <c r="J26" s="212">
        <f t="shared" si="2"/>
        <v>2026</v>
      </c>
      <c r="K26" s="212">
        <f t="shared" si="2"/>
        <v>2027</v>
      </c>
      <c r="L26" s="212">
        <f t="shared" si="2"/>
        <v>2028</v>
      </c>
      <c r="M26" s="11"/>
    </row>
    <row r="27" spans="1:23" ht="48.6" customHeight="1">
      <c r="D27" s="321" t="s">
        <v>41</v>
      </c>
      <c r="E27" s="226">
        <f t="shared" ref="E27:L27" si="3">IF(SectorCov="ED2",G17/INDEX($C$17:$N$17,MATCH($E$16,$C$16:$N$16,0)),E17/INDEX($C$17:$N$17,MATCH($C$16,$C$16:$N$16,0)))</f>
        <v>1.0383269111980469</v>
      </c>
      <c r="F27" s="226">
        <f t="shared" si="3"/>
        <v>1.0847835302284383</v>
      </c>
      <c r="G27" s="226">
        <f t="shared" si="3"/>
        <v>1.1799638149272795</v>
      </c>
      <c r="H27" s="226">
        <f t="shared" si="3"/>
        <v>1.2360034766257399</v>
      </c>
      <c r="I27" s="226">
        <f t="shared" si="3"/>
        <v>1.2450319245860968</v>
      </c>
      <c r="J27" s="226">
        <f t="shared" si="3"/>
        <v>1.248156029182222</v>
      </c>
      <c r="K27" s="226">
        <f t="shared" si="3"/>
        <v>1.2731191497658667</v>
      </c>
      <c r="L27" s="226">
        <f t="shared" si="3"/>
        <v>1.298581532761184</v>
      </c>
      <c r="M27" s="189"/>
      <c r="N27" s="189"/>
      <c r="O27" s="189"/>
      <c r="P27" s="189"/>
      <c r="Q27" s="189"/>
      <c r="R27" s="189"/>
    </row>
    <row r="28" spans="1:23" ht="58.5" customHeight="1">
      <c r="D28" s="199" t="s">
        <v>42</v>
      </c>
      <c r="E28" s="226">
        <f>INDEX(Data!$C$17:$N$17,MATCH(E$26,Data!$C$16:$N$16,0))/INDEX(Data!$C$17:$N$17,MATCH(E$26-1,Data!$C$16:$N$16,0))</f>
        <v>1.0121283367262093</v>
      </c>
      <c r="F28" s="226">
        <f>INDEX(Data!$C$17:$N$17,MATCH(F$26,Data!$C$16:$N$16,0))/INDEX(Data!$C$17:$N$17,MATCH(F$26-1,Data!$C$16:$N$16,0))</f>
        <v>1.0447418038860117</v>
      </c>
      <c r="G28" s="226">
        <f>INDEX(Data!$C$17:$N$17,MATCH(G$26,Data!$C$16:$N$16,0))/INDEX(Data!$C$17:$N$17,MATCH(G$26-1,Data!$C$16:$N$16,0))</f>
        <v>1.0877412700751437</v>
      </c>
      <c r="H28" s="226">
        <f>INDEX(Data!$C$17:$N$17,MATCH(H$26,Data!$C$16:$N$16,0))/INDEX(Data!$C$17:$N$17,MATCH(H$26-1,Data!$C$16:$N$16,0))</f>
        <v>1.0474926951060055</v>
      </c>
      <c r="I28" s="226">
        <f>INDEX(Data!$C$17:$N$17,MATCH(I$26,Data!$C$16:$N$16,0))/INDEX(Data!$C$17:$N$17,MATCH(I$26-1,Data!$C$16:$N$16,0))</f>
        <v>1.0073045490009498</v>
      </c>
      <c r="J28" s="226">
        <f>INDEX(Data!$C$17:$N$17,MATCH(J$26,Data!$C$16:$N$16,0))/INDEX(Data!$C$17:$N$17,MATCH(J$26-1,Data!$C$16:$N$16,0))</f>
        <v>1.0025092566177882</v>
      </c>
      <c r="K28" s="226">
        <f>INDEX(Data!$C$17:$N$17,MATCH(K$26,Data!$C$16:$N$16,0))/INDEX(Data!$C$17:$N$17,MATCH(K$26-1,Data!$C$16:$N$16,0))</f>
        <v>1.02</v>
      </c>
      <c r="L28" s="226">
        <f>INDEX(Data!$C$17:$N$17,MATCH(L$26,Data!$C$16:$N$16,0))/INDEX(Data!$C$17:$N$17,MATCH(L$26-1,Data!$C$16:$N$16,0))</f>
        <v>1.02</v>
      </c>
      <c r="M28" s="189"/>
    </row>
    <row r="29" spans="1:23" ht="71.099999999999994" customHeight="1">
      <c r="A29" s="177"/>
      <c r="D29" s="199" t="s">
        <v>43</v>
      </c>
      <c r="E29" s="226">
        <f>IF(SectorCov="ED2",INDEX(Data!$C$18:$N$18,MATCH(E$26,Data!$C$16:$N$16,0))/Data!$E$17,INDEX(Data!$C$18:$N$18,MATCH(E$26,Data!$C$16:$N$16,0))/Data!$C$17)</f>
        <v>1.0533528227824487</v>
      </c>
      <c r="F29" s="226">
        <f>IF(SectorCov="ED2",INDEX(Data!$C$18:$N$18,MATCH(F$26,Data!$C$16:$N$16,0))/Data!$E$17,INDEX(Data!$C$18:$N$18,MATCH(F$26,Data!$C$16:$N$16,0))/Data!$C$17)</f>
        <v>1.1292169796764278</v>
      </c>
      <c r="G29" s="226">
        <f>IF(SectorCov="ED2",INDEX(Data!$C$18:$N$18,MATCH(G$26,Data!$C$16:$N$16,0))/Data!$E$17,INDEX(Data!$C$18:$N$18,MATCH(G$26,Data!$C$16:$N$16,0))/Data!$C$17)</f>
        <v>1.219028217721289</v>
      </c>
      <c r="H29" s="226">
        <f>IF(SectorCov="ED2",INDEX(Data!$C$18:$N$18,MATCH(H$26,Data!$C$16:$N$16,0))/Data!$E$17,INDEX(Data!$C$18:$N$18,MATCH(H$26,Data!$C$16:$N$16,0))/Data!$C$17)</f>
        <v>1.2425932053602298</v>
      </c>
      <c r="I29" s="226">
        <f>IF(SectorCov="ED2",INDEX(Data!$C$18:$N$18,MATCH(I$26,Data!$C$16:$N$16,0))/Data!$E$17,INDEX(Data!$C$18:$N$18,MATCH(I$26,Data!$C$16:$N$16,0))/Data!$C$17)</f>
        <v>1.245942432263444</v>
      </c>
      <c r="J29" s="226">
        <f>IF(SectorCov="ED2",INDEX(Data!$C$18:$N$18,MATCH(J$26,Data!$C$16:$N$16,0))/Data!$E$17,INDEX(Data!$C$18:$N$18,MATCH(J$26,Data!$C$16:$N$16,0))/Data!$C$17)</f>
        <v>1.2509097910598059</v>
      </c>
      <c r="K29" s="226">
        <f>IF(SectorCov="ED2",INDEX(Data!$C$18:$N$18,MATCH(K$26,Data!$C$16:$N$16,0))/Data!$E$17,INDEX(Data!$C$18:$N$18,MATCH(K$26,Data!$C$16:$N$16,0))/Data!$C$17)</f>
        <v>1.2759279868810021</v>
      </c>
      <c r="L29" s="226">
        <f>IF(SectorCov="ED2",INDEX(Data!$C$18:$N$18,MATCH(L$26,Data!$C$16:$N$16,0))/Data!$E$17,INDEX(Data!$C$18:$N$18,MATCH(L$26,Data!$C$16:$N$16,0))/Data!$C$17)</f>
        <v>1.3014465466186222</v>
      </c>
      <c r="M29" s="189"/>
    </row>
    <row r="30" spans="1:23">
      <c r="A30" s="177"/>
      <c r="B30" s="177"/>
      <c r="C30" s="177"/>
      <c r="M30" s="189"/>
      <c r="N30" s="181"/>
      <c r="O30" s="181"/>
      <c r="P30" s="181"/>
      <c r="Q30" s="181"/>
      <c r="R30" s="181"/>
      <c r="S30" s="181"/>
      <c r="T30" s="181"/>
      <c r="U30" s="181"/>
      <c r="V30" s="181"/>
      <c r="W30" s="181"/>
    </row>
    <row r="31" spans="1:23">
      <c r="A31" s="177"/>
      <c r="D31" s="177"/>
      <c r="E31" s="177"/>
      <c r="F31" s="177"/>
      <c r="G31" s="177"/>
      <c r="H31" s="177"/>
      <c r="I31" s="177"/>
      <c r="J31" s="177"/>
      <c r="K31" s="177"/>
      <c r="L31" s="177"/>
      <c r="M31" s="189"/>
    </row>
    <row r="32" spans="1:23">
      <c r="A32" s="177"/>
      <c r="E32" s="195"/>
      <c r="F32" s="195"/>
      <c r="G32" s="195"/>
      <c r="H32" s="195"/>
      <c r="I32" s="195"/>
      <c r="J32" s="195"/>
      <c r="K32" s="195"/>
      <c r="L32" s="195"/>
      <c r="M32" s="189"/>
    </row>
    <row r="33" spans="1:20">
      <c r="B33" s="149"/>
      <c r="C33" s="177"/>
      <c r="D33" s="177"/>
      <c r="E33" s="177"/>
      <c r="F33" s="177"/>
      <c r="G33" s="177"/>
      <c r="H33" s="177"/>
      <c r="I33" s="177"/>
      <c r="J33" s="177"/>
    </row>
    <row r="34" spans="1:20">
      <c r="B34" s="88"/>
      <c r="C34" s="88"/>
      <c r="D34" s="40"/>
      <c r="E34" s="88"/>
      <c r="F34" s="89"/>
      <c r="G34" s="90"/>
      <c r="H34" s="90"/>
      <c r="I34" s="90"/>
      <c r="J34" s="91"/>
      <c r="K34" s="91"/>
      <c r="L34" s="40"/>
      <c r="M34" s="40"/>
      <c r="N34" s="40"/>
      <c r="O34" s="40"/>
      <c r="P34" s="40"/>
      <c r="Q34" s="40"/>
      <c r="R34" s="40"/>
      <c r="S34" s="40"/>
      <c r="T34" s="40"/>
    </row>
    <row r="35" spans="1:20">
      <c r="B35" s="87" t="s">
        <v>44</v>
      </c>
      <c r="C35" s="36"/>
      <c r="I35" s="15"/>
    </row>
    <row r="36" spans="1:20">
      <c r="C36" s="211">
        <f>RIIO_2_start_date</f>
        <v>2022</v>
      </c>
      <c r="D36" s="212">
        <f t="shared" ref="D36" si="4">C36+1</f>
        <v>2023</v>
      </c>
      <c r="E36" s="212">
        <f t="shared" ref="E36" si="5">D36+1</f>
        <v>2024</v>
      </c>
      <c r="F36" s="212">
        <f t="shared" ref="F36" si="6">E36+1</f>
        <v>2025</v>
      </c>
      <c r="G36" s="212">
        <f t="shared" ref="G36" si="7">F36+1</f>
        <v>2026</v>
      </c>
      <c r="H36" s="212">
        <f t="shared" ref="H36" si="8">G36+1</f>
        <v>2027</v>
      </c>
      <c r="I36" s="212">
        <f t="shared" ref="I36" si="9">H36+1</f>
        <v>2028</v>
      </c>
      <c r="J36" s="212">
        <f t="shared" ref="J36" si="10">I36+1</f>
        <v>2029</v>
      </c>
    </row>
    <row r="37" spans="1:20">
      <c r="B37" s="209" t="s">
        <v>45</v>
      </c>
      <c r="C37" s="200"/>
      <c r="D37" s="201"/>
      <c r="E37" s="191"/>
      <c r="F37" s="191"/>
      <c r="G37" s="191"/>
      <c r="H37" s="191"/>
      <c r="I37" s="192"/>
    </row>
    <row r="38" spans="1:20">
      <c r="A38" s="184"/>
      <c r="B38" s="203" t="s">
        <v>46</v>
      </c>
      <c r="C38" s="202"/>
      <c r="D38" s="117"/>
      <c r="E38" s="193"/>
      <c r="F38" s="193"/>
      <c r="G38" s="193"/>
      <c r="H38" s="193"/>
      <c r="I38" s="86"/>
    </row>
    <row r="39" spans="1:20">
      <c r="A39" s="184"/>
      <c r="B39" s="203" t="s">
        <v>47</v>
      </c>
      <c r="C39" s="203">
        <v>1.8194982985475096E-2</v>
      </c>
      <c r="D39" s="193">
        <v>1.5793417632087442E-2</v>
      </c>
      <c r="E39" s="193">
        <v>1.8153286579427653E-2</v>
      </c>
      <c r="F39" s="193">
        <v>2.1523139345184805E-2</v>
      </c>
      <c r="G39" s="193">
        <v>2.4217276024073559E-2</v>
      </c>
      <c r="H39" s="117"/>
      <c r="I39" s="204"/>
    </row>
    <row r="40" spans="1:20">
      <c r="A40" s="185"/>
      <c r="B40" s="203" t="s">
        <v>48</v>
      </c>
      <c r="C40" s="203">
        <v>2.0500000000000001E-2</v>
      </c>
      <c r="D40" s="193">
        <v>1.9E-2</v>
      </c>
      <c r="E40" s="193">
        <v>1.9199999999999998E-2</v>
      </c>
      <c r="F40" s="193">
        <v>2.06E-2</v>
      </c>
      <c r="G40" s="193">
        <v>2.1999999999999999E-2</v>
      </c>
      <c r="H40" s="117"/>
      <c r="I40" s="204"/>
      <c r="N40" s="165"/>
      <c r="O40" s="165"/>
      <c r="P40" s="165"/>
      <c r="Q40" s="165"/>
      <c r="R40" s="165"/>
    </row>
    <row r="41" spans="1:20">
      <c r="A41" s="184"/>
      <c r="B41" s="203" t="s">
        <v>25</v>
      </c>
      <c r="C41" s="203">
        <v>2.0500000000000001E-2</v>
      </c>
      <c r="D41" s="193">
        <v>1.9E-2</v>
      </c>
      <c r="E41" s="193">
        <v>1.9199999999999998E-2</v>
      </c>
      <c r="F41" s="193">
        <v>2.06E-2</v>
      </c>
      <c r="G41" s="193">
        <v>2.1999999999999999E-2</v>
      </c>
      <c r="H41" s="117"/>
      <c r="I41" s="204"/>
    </row>
    <row r="42" spans="1:20">
      <c r="A42" s="184"/>
      <c r="B42" s="203" t="s">
        <v>49</v>
      </c>
      <c r="C42" s="203">
        <v>2.1100000000000001E-2</v>
      </c>
      <c r="D42" s="193">
        <v>1.9599999999999999E-2</v>
      </c>
      <c r="E42" s="193">
        <v>1.9799999999999998E-2</v>
      </c>
      <c r="F42" s="193">
        <v>2.12E-2</v>
      </c>
      <c r="G42" s="193">
        <v>2.2599999999999999E-2</v>
      </c>
      <c r="H42" s="117"/>
      <c r="I42" s="204"/>
    </row>
    <row r="43" spans="1:20">
      <c r="A43" s="184"/>
      <c r="B43" s="203" t="s">
        <v>27</v>
      </c>
      <c r="C43" s="203">
        <v>2.0500000000000001E-2</v>
      </c>
      <c r="D43" s="193">
        <v>1.9E-2</v>
      </c>
      <c r="E43" s="193">
        <v>1.9199999999999998E-2</v>
      </c>
      <c r="F43" s="193">
        <v>2.06E-2</v>
      </c>
      <c r="G43" s="193">
        <v>2.1999999999999999E-2</v>
      </c>
      <c r="H43" s="117"/>
      <c r="I43" s="204"/>
    </row>
    <row r="44" spans="1:20">
      <c r="A44" s="184"/>
      <c r="B44" s="205" t="s">
        <v>29</v>
      </c>
      <c r="C44" s="205">
        <v>-5.9999999999999995E-4</v>
      </c>
      <c r="D44" s="206">
        <v>2.1399999999999999E-2</v>
      </c>
      <c r="E44" s="206">
        <v>4.7800000000000002E-2</v>
      </c>
      <c r="F44" s="206">
        <v>4.5699999999999998E-2</v>
      </c>
      <c r="G44" s="206">
        <v>4.1599999999999998E-2</v>
      </c>
      <c r="H44" s="207"/>
      <c r="I44" s="208"/>
    </row>
    <row r="45" spans="1:20">
      <c r="H45" s="15"/>
    </row>
    <row r="46" spans="1:20">
      <c r="B46" s="87" t="s">
        <v>50</v>
      </c>
      <c r="C46" s="36"/>
      <c r="I46" s="15"/>
    </row>
    <row r="47" spans="1:20">
      <c r="A47" s="13" t="s">
        <v>6</v>
      </c>
      <c r="C47" s="211">
        <f>RIIO_2_start_date</f>
        <v>2022</v>
      </c>
      <c r="D47" s="212">
        <f t="shared" ref="D47:J47" si="11">C47+1</f>
        <v>2023</v>
      </c>
      <c r="E47" s="212">
        <f t="shared" si="11"/>
        <v>2024</v>
      </c>
      <c r="F47" s="212">
        <f t="shared" si="11"/>
        <v>2025</v>
      </c>
      <c r="G47" s="212">
        <f t="shared" si="11"/>
        <v>2026</v>
      </c>
      <c r="H47" s="212">
        <f t="shared" si="11"/>
        <v>2027</v>
      </c>
      <c r="I47" s="212">
        <f t="shared" si="11"/>
        <v>2028</v>
      </c>
      <c r="J47" s="212">
        <f t="shared" si="11"/>
        <v>2029</v>
      </c>
    </row>
    <row r="48" spans="1:20">
      <c r="A48" s="13" t="s">
        <v>51</v>
      </c>
      <c r="B48" s="203" t="s">
        <v>19</v>
      </c>
      <c r="C48" s="202"/>
      <c r="D48" s="117"/>
      <c r="E48" s="193"/>
      <c r="F48" s="193"/>
      <c r="G48" s="193"/>
      <c r="H48" s="193"/>
      <c r="I48" s="86"/>
    </row>
    <row r="49" spans="1:23">
      <c r="A49" s="13" t="s">
        <v>52</v>
      </c>
      <c r="B49" s="203" t="s">
        <v>22</v>
      </c>
      <c r="C49" s="203">
        <v>4.2439449777777784E-2</v>
      </c>
      <c r="D49" s="193">
        <v>4.2616093333333334E-2</v>
      </c>
      <c r="E49" s="193">
        <v>4.909683911111111E-2</v>
      </c>
      <c r="F49" s="193">
        <v>4.8823256888888882E-2</v>
      </c>
      <c r="G49" s="193">
        <v>4.9129010666666667E-2</v>
      </c>
      <c r="H49" s="117"/>
      <c r="I49" s="204"/>
      <c r="N49" s="165"/>
      <c r="O49" s="165"/>
      <c r="P49" s="165"/>
      <c r="Q49" s="165"/>
      <c r="R49" s="165"/>
    </row>
    <row r="50" spans="1:23">
      <c r="A50" s="13" t="s">
        <v>53</v>
      </c>
      <c r="B50" s="203" t="s">
        <v>25</v>
      </c>
      <c r="C50" s="203">
        <v>4.5181881000000007E-2</v>
      </c>
      <c r="D50" s="193">
        <v>4.5568105000000005E-2</v>
      </c>
      <c r="E50" s="193">
        <v>5.2833944000000001E-2</v>
      </c>
      <c r="F50" s="193">
        <v>5.2351163999999999E-2</v>
      </c>
      <c r="G50" s="193">
        <v>5.2520137000000001E-2</v>
      </c>
      <c r="H50" s="117"/>
      <c r="I50" s="204"/>
    </row>
    <row r="51" spans="1:23">
      <c r="A51" s="13" t="s">
        <v>54</v>
      </c>
      <c r="B51" s="203" t="s">
        <v>27</v>
      </c>
      <c r="C51" s="337">
        <v>4.5181881000000007E-2</v>
      </c>
      <c r="D51" s="338">
        <v>4.5568105000000005E-2</v>
      </c>
      <c r="E51" s="338">
        <v>5.2833944000000001E-2</v>
      </c>
      <c r="F51" s="338">
        <v>5.2351163999999999E-2</v>
      </c>
      <c r="G51" s="338">
        <v>5.2520137000000001E-2</v>
      </c>
      <c r="H51" s="117"/>
      <c r="I51" s="204"/>
    </row>
    <row r="52" spans="1:23">
      <c r="A52" s="13" t="s">
        <v>55</v>
      </c>
      <c r="B52" s="205" t="s">
        <v>29</v>
      </c>
      <c r="C52" s="339">
        <v>7.5718976000000007E-2</v>
      </c>
      <c r="D52" s="339">
        <v>7.5510080000000007E-2</v>
      </c>
      <c r="E52" s="339">
        <v>7.1580223999999998E-2</v>
      </c>
      <c r="F52" s="339">
        <v>7.1841344000000001E-2</v>
      </c>
      <c r="G52" s="339">
        <v>7.1749952000000006E-2</v>
      </c>
      <c r="H52" s="251"/>
      <c r="I52" s="208"/>
    </row>
    <row r="53" spans="1:23" ht="12.7" thickBot="1">
      <c r="A53" s="184"/>
      <c r="B53" s="249"/>
      <c r="C53" s="249"/>
      <c r="D53" s="249"/>
      <c r="E53" s="249"/>
      <c r="F53" s="249"/>
      <c r="G53" s="249"/>
      <c r="H53" s="250"/>
      <c r="I53" s="250"/>
    </row>
    <row r="54" spans="1:23" s="181" customFormat="1" ht="37.35" thickBot="1">
      <c r="A54"/>
      <c r="B54" s="3"/>
      <c r="C54" s="285" t="s">
        <v>56</v>
      </c>
      <c r="D54" s="285" t="s">
        <v>57</v>
      </c>
      <c r="E54" s="285" t="s">
        <v>58</v>
      </c>
      <c r="F54" s="285" t="s">
        <v>59</v>
      </c>
      <c r="G54" s="286" t="s">
        <v>60</v>
      </c>
      <c r="H54" s="1265" t="s">
        <v>61</v>
      </c>
      <c r="I54" s="1266"/>
      <c r="J54" s="1266"/>
      <c r="K54" s="1266"/>
      <c r="L54" s="1266"/>
      <c r="M54" s="1266"/>
      <c r="N54" s="1267"/>
      <c r="O54" s="1265" t="s">
        <v>62</v>
      </c>
      <c r="P54" s="1266"/>
      <c r="Q54" s="1266"/>
      <c r="R54" s="1266"/>
      <c r="S54" s="1266"/>
      <c r="T54" s="1266"/>
      <c r="U54" s="1267"/>
      <c r="V54"/>
      <c r="W54"/>
    </row>
    <row r="55" spans="1:23" ht="12.7" thickBot="1">
      <c r="A55" s="50" t="s">
        <v>6</v>
      </c>
      <c r="B55" s="280" t="s">
        <v>63</v>
      </c>
      <c r="C55" s="281"/>
      <c r="D55" s="281"/>
      <c r="E55" s="282"/>
      <c r="F55" s="283"/>
      <c r="G55" s="284"/>
      <c r="H55" s="261">
        <v>2022</v>
      </c>
      <c r="I55" s="262">
        <f t="shared" ref="I55:N55" si="12">H55+1</f>
        <v>2023</v>
      </c>
      <c r="J55" s="262">
        <f t="shared" si="12"/>
        <v>2024</v>
      </c>
      <c r="K55" s="263">
        <f t="shared" si="12"/>
        <v>2025</v>
      </c>
      <c r="L55" s="263">
        <f t="shared" si="12"/>
        <v>2026</v>
      </c>
      <c r="M55" s="263">
        <f t="shared" si="12"/>
        <v>2027</v>
      </c>
      <c r="N55" s="264">
        <f t="shared" si="12"/>
        <v>2028</v>
      </c>
      <c r="O55" s="261">
        <v>2022</v>
      </c>
      <c r="P55" s="262">
        <f t="shared" ref="P55:U55" si="13">O55+1</f>
        <v>2023</v>
      </c>
      <c r="Q55" s="262">
        <f t="shared" si="13"/>
        <v>2024</v>
      </c>
      <c r="R55" s="263">
        <f t="shared" si="13"/>
        <v>2025</v>
      </c>
      <c r="S55" s="263">
        <f t="shared" si="13"/>
        <v>2026</v>
      </c>
      <c r="T55" s="263">
        <f t="shared" si="13"/>
        <v>2027</v>
      </c>
      <c r="U55" s="264">
        <f t="shared" si="13"/>
        <v>2028</v>
      </c>
    </row>
    <row r="56" spans="1:23">
      <c r="A56" s="13" t="s">
        <v>19</v>
      </c>
      <c r="B56" s="270" t="s">
        <v>64</v>
      </c>
      <c r="C56" s="267"/>
      <c r="D56" s="267"/>
      <c r="E56" s="271">
        <v>2024</v>
      </c>
      <c r="F56" s="272" t="str">
        <f t="shared" ref="F56:F84" si="14">VLOOKUP($A56,$H$6:$I$10,2,FALSE)</f>
        <v>£m 20/21</v>
      </c>
      <c r="G56" s="273" t="s">
        <v>46</v>
      </c>
      <c r="H56" s="265"/>
      <c r="I56" s="266"/>
      <c r="J56" s="267">
        <f t="shared" ref="J56:N69" si="15">INDEX($C$37:$I$44,MATCH($G56,$B$37:$B$44,0),MATCH(J$55,$C$36:$I$36))</f>
        <v>0</v>
      </c>
      <c r="K56" s="267">
        <f t="shared" si="15"/>
        <v>0</v>
      </c>
      <c r="L56" s="267">
        <f t="shared" si="15"/>
        <v>0</v>
      </c>
      <c r="M56" s="268">
        <f t="shared" si="15"/>
        <v>0</v>
      </c>
      <c r="N56" s="269">
        <f t="shared" si="15"/>
        <v>0</v>
      </c>
      <c r="O56" s="252"/>
      <c r="P56" s="201"/>
      <c r="Q56" s="191">
        <f t="shared" ref="Q56:U69" si="16">INDEX($C$48:$I$52,MATCH($A56,$B$48:$B$52,0),MATCH(Q$55,$C$47:$I$47))</f>
        <v>0</v>
      </c>
      <c r="R56" s="191">
        <f t="shared" si="16"/>
        <v>0</v>
      </c>
      <c r="S56" s="191">
        <f t="shared" si="16"/>
        <v>0</v>
      </c>
      <c r="T56" s="220">
        <f t="shared" si="16"/>
        <v>0</v>
      </c>
      <c r="U56" s="253">
        <f t="shared" si="16"/>
        <v>0</v>
      </c>
    </row>
    <row r="57" spans="1:23">
      <c r="A57" s="13" t="s">
        <v>19</v>
      </c>
      <c r="B57" s="274" t="s">
        <v>65</v>
      </c>
      <c r="C57" s="193"/>
      <c r="D57" s="193"/>
      <c r="E57" s="51">
        <v>2024</v>
      </c>
      <c r="F57" s="52" t="str">
        <f t="shared" si="14"/>
        <v>£m 20/21</v>
      </c>
      <c r="G57" s="275" t="s">
        <v>46</v>
      </c>
      <c r="H57" s="254"/>
      <c r="I57" s="117"/>
      <c r="J57" s="193">
        <f t="shared" si="15"/>
        <v>0</v>
      </c>
      <c r="K57" s="193">
        <f t="shared" si="15"/>
        <v>0</v>
      </c>
      <c r="L57" s="193">
        <f t="shared" si="15"/>
        <v>0</v>
      </c>
      <c r="M57" s="220">
        <f t="shared" si="15"/>
        <v>0</v>
      </c>
      <c r="N57" s="253">
        <f t="shared" si="15"/>
        <v>0</v>
      </c>
      <c r="O57" s="254"/>
      <c r="P57" s="117"/>
      <c r="Q57" s="193">
        <f t="shared" si="16"/>
        <v>0</v>
      </c>
      <c r="R57" s="193">
        <f t="shared" si="16"/>
        <v>0</v>
      </c>
      <c r="S57" s="193">
        <f t="shared" si="16"/>
        <v>0</v>
      </c>
      <c r="T57" s="220">
        <f t="shared" si="16"/>
        <v>0</v>
      </c>
      <c r="U57" s="253">
        <f t="shared" si="16"/>
        <v>0</v>
      </c>
    </row>
    <row r="58" spans="1:23">
      <c r="A58" s="13" t="s">
        <v>19</v>
      </c>
      <c r="B58" s="274" t="s">
        <v>66</v>
      </c>
      <c r="C58" s="193"/>
      <c r="D58" s="193"/>
      <c r="E58" s="51">
        <v>2024</v>
      </c>
      <c r="F58" s="52" t="str">
        <f t="shared" si="14"/>
        <v>£m 20/21</v>
      </c>
      <c r="G58" s="275" t="s">
        <v>46</v>
      </c>
      <c r="H58" s="254"/>
      <c r="I58" s="117"/>
      <c r="J58" s="193">
        <f t="shared" si="15"/>
        <v>0</v>
      </c>
      <c r="K58" s="193">
        <f t="shared" si="15"/>
        <v>0</v>
      </c>
      <c r="L58" s="193">
        <f t="shared" si="15"/>
        <v>0</v>
      </c>
      <c r="M58" s="220">
        <f t="shared" si="15"/>
        <v>0</v>
      </c>
      <c r="N58" s="253">
        <f t="shared" si="15"/>
        <v>0</v>
      </c>
      <c r="O58" s="254"/>
      <c r="P58" s="117"/>
      <c r="Q58" s="193">
        <f t="shared" si="16"/>
        <v>0</v>
      </c>
      <c r="R58" s="193">
        <f t="shared" si="16"/>
        <v>0</v>
      </c>
      <c r="S58" s="193">
        <f t="shared" si="16"/>
        <v>0</v>
      </c>
      <c r="T58" s="220">
        <f t="shared" si="16"/>
        <v>0</v>
      </c>
      <c r="U58" s="253">
        <f t="shared" si="16"/>
        <v>0</v>
      </c>
    </row>
    <row r="59" spans="1:23">
      <c r="A59" s="13" t="s">
        <v>19</v>
      </c>
      <c r="B59" s="274" t="s">
        <v>67</v>
      </c>
      <c r="C59" s="193"/>
      <c r="D59" s="193"/>
      <c r="E59" s="51">
        <v>2024</v>
      </c>
      <c r="F59" s="52" t="str">
        <f t="shared" si="14"/>
        <v>£m 20/21</v>
      </c>
      <c r="G59" s="275" t="s">
        <v>46</v>
      </c>
      <c r="H59" s="254"/>
      <c r="I59" s="117"/>
      <c r="J59" s="193">
        <f t="shared" si="15"/>
        <v>0</v>
      </c>
      <c r="K59" s="193">
        <f t="shared" si="15"/>
        <v>0</v>
      </c>
      <c r="L59" s="193">
        <f t="shared" si="15"/>
        <v>0</v>
      </c>
      <c r="M59" s="220">
        <f t="shared" si="15"/>
        <v>0</v>
      </c>
      <c r="N59" s="253">
        <f t="shared" si="15"/>
        <v>0</v>
      </c>
      <c r="O59" s="254"/>
      <c r="P59" s="117"/>
      <c r="Q59" s="193">
        <f t="shared" si="16"/>
        <v>0</v>
      </c>
      <c r="R59" s="193">
        <f t="shared" si="16"/>
        <v>0</v>
      </c>
      <c r="S59" s="193">
        <f t="shared" si="16"/>
        <v>0</v>
      </c>
      <c r="T59" s="220">
        <f t="shared" si="16"/>
        <v>0</v>
      </c>
      <c r="U59" s="253">
        <f t="shared" si="16"/>
        <v>0</v>
      </c>
    </row>
    <row r="60" spans="1:23">
      <c r="A60" s="13" t="s">
        <v>19</v>
      </c>
      <c r="B60" s="274" t="s">
        <v>68</v>
      </c>
      <c r="C60" s="193"/>
      <c r="D60" s="193"/>
      <c r="E60" s="51">
        <v>2024</v>
      </c>
      <c r="F60" s="52" t="str">
        <f t="shared" si="14"/>
        <v>£m 20/21</v>
      </c>
      <c r="G60" s="275" t="s">
        <v>46</v>
      </c>
      <c r="H60" s="254"/>
      <c r="I60" s="117"/>
      <c r="J60" s="193">
        <f t="shared" si="15"/>
        <v>0</v>
      </c>
      <c r="K60" s="193">
        <f t="shared" si="15"/>
        <v>0</v>
      </c>
      <c r="L60" s="193">
        <f t="shared" si="15"/>
        <v>0</v>
      </c>
      <c r="M60" s="220">
        <f t="shared" si="15"/>
        <v>0</v>
      </c>
      <c r="N60" s="253">
        <f t="shared" si="15"/>
        <v>0</v>
      </c>
      <c r="O60" s="254"/>
      <c r="P60" s="117"/>
      <c r="Q60" s="193">
        <f t="shared" si="16"/>
        <v>0</v>
      </c>
      <c r="R60" s="193">
        <f t="shared" si="16"/>
        <v>0</v>
      </c>
      <c r="S60" s="193">
        <f t="shared" si="16"/>
        <v>0</v>
      </c>
      <c r="T60" s="220">
        <f t="shared" si="16"/>
        <v>0</v>
      </c>
      <c r="U60" s="253">
        <f t="shared" si="16"/>
        <v>0</v>
      </c>
    </row>
    <row r="61" spans="1:23">
      <c r="A61" s="13" t="s">
        <v>19</v>
      </c>
      <c r="B61" s="274" t="s">
        <v>69</v>
      </c>
      <c r="C61" s="193"/>
      <c r="D61" s="193"/>
      <c r="E61" s="51">
        <v>2024</v>
      </c>
      <c r="F61" s="52" t="str">
        <f t="shared" si="14"/>
        <v>£m 20/21</v>
      </c>
      <c r="G61" s="275" t="s">
        <v>46</v>
      </c>
      <c r="H61" s="254"/>
      <c r="I61" s="117"/>
      <c r="J61" s="193">
        <f t="shared" si="15"/>
        <v>0</v>
      </c>
      <c r="K61" s="193">
        <f t="shared" si="15"/>
        <v>0</v>
      </c>
      <c r="L61" s="193">
        <f t="shared" si="15"/>
        <v>0</v>
      </c>
      <c r="M61" s="220">
        <f t="shared" si="15"/>
        <v>0</v>
      </c>
      <c r="N61" s="253">
        <f t="shared" si="15"/>
        <v>0</v>
      </c>
      <c r="O61" s="254"/>
      <c r="P61" s="117"/>
      <c r="Q61" s="193">
        <f t="shared" si="16"/>
        <v>0</v>
      </c>
      <c r="R61" s="193">
        <f t="shared" si="16"/>
        <v>0</v>
      </c>
      <c r="S61" s="193">
        <f t="shared" si="16"/>
        <v>0</v>
      </c>
      <c r="T61" s="220">
        <f t="shared" si="16"/>
        <v>0</v>
      </c>
      <c r="U61" s="253">
        <f t="shared" si="16"/>
        <v>0</v>
      </c>
    </row>
    <row r="62" spans="1:23">
      <c r="A62" s="13" t="s">
        <v>19</v>
      </c>
      <c r="B62" s="274" t="s">
        <v>70</v>
      </c>
      <c r="C62" s="193"/>
      <c r="D62" s="193"/>
      <c r="E62" s="51">
        <v>2024</v>
      </c>
      <c r="F62" s="52" t="str">
        <f t="shared" si="14"/>
        <v>£m 20/21</v>
      </c>
      <c r="G62" s="275" t="s">
        <v>46</v>
      </c>
      <c r="H62" s="254"/>
      <c r="I62" s="117"/>
      <c r="J62" s="193">
        <f t="shared" si="15"/>
        <v>0</v>
      </c>
      <c r="K62" s="193">
        <f t="shared" si="15"/>
        <v>0</v>
      </c>
      <c r="L62" s="193">
        <f t="shared" si="15"/>
        <v>0</v>
      </c>
      <c r="M62" s="220">
        <f t="shared" si="15"/>
        <v>0</v>
      </c>
      <c r="N62" s="253">
        <f t="shared" si="15"/>
        <v>0</v>
      </c>
      <c r="O62" s="254"/>
      <c r="P62" s="117"/>
      <c r="Q62" s="193">
        <f t="shared" si="16"/>
        <v>0</v>
      </c>
      <c r="R62" s="193">
        <f t="shared" si="16"/>
        <v>0</v>
      </c>
      <c r="S62" s="193">
        <f t="shared" si="16"/>
        <v>0</v>
      </c>
      <c r="T62" s="220">
        <f t="shared" si="16"/>
        <v>0</v>
      </c>
      <c r="U62" s="253">
        <f t="shared" si="16"/>
        <v>0</v>
      </c>
    </row>
    <row r="63" spans="1:23">
      <c r="A63" s="13" t="s">
        <v>19</v>
      </c>
      <c r="B63" s="274" t="s">
        <v>71</v>
      </c>
      <c r="C63" s="193"/>
      <c r="D63" s="193"/>
      <c r="E63" s="51">
        <v>2024</v>
      </c>
      <c r="F63" s="52" t="str">
        <f t="shared" si="14"/>
        <v>£m 20/21</v>
      </c>
      <c r="G63" s="275" t="s">
        <v>46</v>
      </c>
      <c r="H63" s="254"/>
      <c r="I63" s="117"/>
      <c r="J63" s="193">
        <f t="shared" si="15"/>
        <v>0</v>
      </c>
      <c r="K63" s="193">
        <f t="shared" si="15"/>
        <v>0</v>
      </c>
      <c r="L63" s="193">
        <f t="shared" si="15"/>
        <v>0</v>
      </c>
      <c r="M63" s="220">
        <f t="shared" si="15"/>
        <v>0</v>
      </c>
      <c r="N63" s="253">
        <f t="shared" si="15"/>
        <v>0</v>
      </c>
      <c r="O63" s="254"/>
      <c r="P63" s="117"/>
      <c r="Q63" s="193">
        <f t="shared" si="16"/>
        <v>0</v>
      </c>
      <c r="R63" s="193">
        <f t="shared" si="16"/>
        <v>0</v>
      </c>
      <c r="S63" s="193">
        <f t="shared" si="16"/>
        <v>0</v>
      </c>
      <c r="T63" s="220">
        <f t="shared" si="16"/>
        <v>0</v>
      </c>
      <c r="U63" s="253">
        <f t="shared" si="16"/>
        <v>0</v>
      </c>
    </row>
    <row r="64" spans="1:23">
      <c r="A64" s="13" t="s">
        <v>19</v>
      </c>
      <c r="B64" s="274" t="s">
        <v>72</v>
      </c>
      <c r="C64" s="193"/>
      <c r="D64" s="193"/>
      <c r="E64" s="51">
        <v>2024</v>
      </c>
      <c r="F64" s="52" t="str">
        <f t="shared" si="14"/>
        <v>£m 20/21</v>
      </c>
      <c r="G64" s="275" t="s">
        <v>46</v>
      </c>
      <c r="H64" s="254"/>
      <c r="I64" s="117"/>
      <c r="J64" s="193">
        <f t="shared" si="15"/>
        <v>0</v>
      </c>
      <c r="K64" s="193">
        <f t="shared" si="15"/>
        <v>0</v>
      </c>
      <c r="L64" s="193">
        <f t="shared" si="15"/>
        <v>0</v>
      </c>
      <c r="M64" s="220">
        <f t="shared" si="15"/>
        <v>0</v>
      </c>
      <c r="N64" s="253">
        <f t="shared" si="15"/>
        <v>0</v>
      </c>
      <c r="O64" s="254"/>
      <c r="P64" s="117"/>
      <c r="Q64" s="193">
        <f t="shared" si="16"/>
        <v>0</v>
      </c>
      <c r="R64" s="193">
        <f t="shared" si="16"/>
        <v>0</v>
      </c>
      <c r="S64" s="193">
        <f t="shared" si="16"/>
        <v>0</v>
      </c>
      <c r="T64" s="220">
        <f t="shared" si="16"/>
        <v>0</v>
      </c>
      <c r="U64" s="253">
        <f t="shared" si="16"/>
        <v>0</v>
      </c>
    </row>
    <row r="65" spans="1:21">
      <c r="A65" s="13" t="s">
        <v>19</v>
      </c>
      <c r="B65" s="274" t="s">
        <v>73</v>
      </c>
      <c r="C65" s="193"/>
      <c r="D65" s="193"/>
      <c r="E65" s="51">
        <v>2024</v>
      </c>
      <c r="F65" s="52" t="str">
        <f t="shared" si="14"/>
        <v>£m 20/21</v>
      </c>
      <c r="G65" s="275" t="s">
        <v>46</v>
      </c>
      <c r="H65" s="254"/>
      <c r="I65" s="117"/>
      <c r="J65" s="193">
        <f t="shared" si="15"/>
        <v>0</v>
      </c>
      <c r="K65" s="193">
        <f t="shared" si="15"/>
        <v>0</v>
      </c>
      <c r="L65" s="193">
        <f t="shared" si="15"/>
        <v>0</v>
      </c>
      <c r="M65" s="220">
        <f t="shared" si="15"/>
        <v>0</v>
      </c>
      <c r="N65" s="253">
        <f t="shared" si="15"/>
        <v>0</v>
      </c>
      <c r="O65" s="254"/>
      <c r="P65" s="117"/>
      <c r="Q65" s="193">
        <f t="shared" si="16"/>
        <v>0</v>
      </c>
      <c r="R65" s="193">
        <f t="shared" si="16"/>
        <v>0</v>
      </c>
      <c r="S65" s="193">
        <f t="shared" si="16"/>
        <v>0</v>
      </c>
      <c r="T65" s="220">
        <f t="shared" si="16"/>
        <v>0</v>
      </c>
      <c r="U65" s="253">
        <f t="shared" si="16"/>
        <v>0</v>
      </c>
    </row>
    <row r="66" spans="1:21">
      <c r="A66" s="13" t="s">
        <v>19</v>
      </c>
      <c r="B66" s="274" t="s">
        <v>74</v>
      </c>
      <c r="C66" s="193"/>
      <c r="D66" s="193"/>
      <c r="E66" s="51">
        <v>2024</v>
      </c>
      <c r="F66" s="52" t="str">
        <f t="shared" si="14"/>
        <v>£m 20/21</v>
      </c>
      <c r="G66" s="275" t="s">
        <v>45</v>
      </c>
      <c r="H66" s="254"/>
      <c r="I66" s="117"/>
      <c r="J66" s="193">
        <f t="shared" si="15"/>
        <v>0</v>
      </c>
      <c r="K66" s="193">
        <f t="shared" si="15"/>
        <v>0</v>
      </c>
      <c r="L66" s="193">
        <f t="shared" si="15"/>
        <v>0</v>
      </c>
      <c r="M66" s="220">
        <f t="shared" si="15"/>
        <v>0</v>
      </c>
      <c r="N66" s="253">
        <f t="shared" si="15"/>
        <v>0</v>
      </c>
      <c r="O66" s="254"/>
      <c r="P66" s="117"/>
      <c r="Q66" s="193">
        <f t="shared" si="16"/>
        <v>0</v>
      </c>
      <c r="R66" s="193">
        <f t="shared" si="16"/>
        <v>0</v>
      </c>
      <c r="S66" s="193">
        <f t="shared" si="16"/>
        <v>0</v>
      </c>
      <c r="T66" s="220">
        <f t="shared" si="16"/>
        <v>0</v>
      </c>
      <c r="U66" s="253">
        <f t="shared" si="16"/>
        <v>0</v>
      </c>
    </row>
    <row r="67" spans="1:21">
      <c r="A67" s="13" t="s">
        <v>19</v>
      </c>
      <c r="B67" s="274" t="s">
        <v>75</v>
      </c>
      <c r="C67" s="193"/>
      <c r="D67" s="193"/>
      <c r="E67" s="51">
        <v>2024</v>
      </c>
      <c r="F67" s="52" t="str">
        <f t="shared" si="14"/>
        <v>£m 20/21</v>
      </c>
      <c r="G67" s="275" t="s">
        <v>45</v>
      </c>
      <c r="H67" s="254"/>
      <c r="I67" s="117"/>
      <c r="J67" s="193">
        <f t="shared" si="15"/>
        <v>0</v>
      </c>
      <c r="K67" s="193">
        <f t="shared" si="15"/>
        <v>0</v>
      </c>
      <c r="L67" s="193">
        <f t="shared" si="15"/>
        <v>0</v>
      </c>
      <c r="M67" s="220">
        <f t="shared" si="15"/>
        <v>0</v>
      </c>
      <c r="N67" s="253">
        <f t="shared" si="15"/>
        <v>0</v>
      </c>
      <c r="O67" s="254"/>
      <c r="P67" s="117"/>
      <c r="Q67" s="193">
        <f t="shared" si="16"/>
        <v>0</v>
      </c>
      <c r="R67" s="193">
        <f t="shared" si="16"/>
        <v>0</v>
      </c>
      <c r="S67" s="193">
        <f t="shared" si="16"/>
        <v>0</v>
      </c>
      <c r="T67" s="220">
        <f t="shared" si="16"/>
        <v>0</v>
      </c>
      <c r="U67" s="253">
        <f t="shared" si="16"/>
        <v>0</v>
      </c>
    </row>
    <row r="68" spans="1:21">
      <c r="A68" s="13" t="s">
        <v>19</v>
      </c>
      <c r="B68" s="274" t="s">
        <v>76</v>
      </c>
      <c r="C68" s="193"/>
      <c r="D68" s="193"/>
      <c r="E68" s="51">
        <v>2024</v>
      </c>
      <c r="F68" s="52" t="str">
        <f t="shared" si="14"/>
        <v>£m 20/21</v>
      </c>
      <c r="G68" s="275" t="s">
        <v>45</v>
      </c>
      <c r="H68" s="254"/>
      <c r="I68" s="117"/>
      <c r="J68" s="193">
        <f t="shared" si="15"/>
        <v>0</v>
      </c>
      <c r="K68" s="193">
        <f t="shared" si="15"/>
        <v>0</v>
      </c>
      <c r="L68" s="193">
        <f t="shared" si="15"/>
        <v>0</v>
      </c>
      <c r="M68" s="220">
        <f t="shared" si="15"/>
        <v>0</v>
      </c>
      <c r="N68" s="253">
        <f t="shared" si="15"/>
        <v>0</v>
      </c>
      <c r="O68" s="254"/>
      <c r="P68" s="117"/>
      <c r="Q68" s="193">
        <f t="shared" si="16"/>
        <v>0</v>
      </c>
      <c r="R68" s="193">
        <f t="shared" si="16"/>
        <v>0</v>
      </c>
      <c r="S68" s="193">
        <f t="shared" si="16"/>
        <v>0</v>
      </c>
      <c r="T68" s="220">
        <f t="shared" si="16"/>
        <v>0</v>
      </c>
      <c r="U68" s="253">
        <f t="shared" si="16"/>
        <v>0</v>
      </c>
    </row>
    <row r="69" spans="1:21">
      <c r="A69" s="13" t="s">
        <v>19</v>
      </c>
      <c r="B69" s="274" t="s">
        <v>77</v>
      </c>
      <c r="C69" s="193"/>
      <c r="D69" s="193"/>
      <c r="E69" s="51">
        <v>2024</v>
      </c>
      <c r="F69" s="52" t="str">
        <f t="shared" si="14"/>
        <v>£m 20/21</v>
      </c>
      <c r="G69" s="275" t="s">
        <v>45</v>
      </c>
      <c r="H69" s="254"/>
      <c r="I69" s="117"/>
      <c r="J69" s="193">
        <f t="shared" si="15"/>
        <v>0</v>
      </c>
      <c r="K69" s="193">
        <f t="shared" si="15"/>
        <v>0</v>
      </c>
      <c r="L69" s="193">
        <f t="shared" si="15"/>
        <v>0</v>
      </c>
      <c r="M69" s="220">
        <f t="shared" si="15"/>
        <v>0</v>
      </c>
      <c r="N69" s="253">
        <f t="shared" si="15"/>
        <v>0</v>
      </c>
      <c r="O69" s="254"/>
      <c r="P69" s="117"/>
      <c r="Q69" s="193">
        <f t="shared" si="16"/>
        <v>0</v>
      </c>
      <c r="R69" s="193">
        <f t="shared" si="16"/>
        <v>0</v>
      </c>
      <c r="S69" s="193">
        <f t="shared" si="16"/>
        <v>0</v>
      </c>
      <c r="T69" s="220">
        <f t="shared" si="16"/>
        <v>0</v>
      </c>
      <c r="U69" s="253">
        <f t="shared" si="16"/>
        <v>0</v>
      </c>
    </row>
    <row r="70" spans="1:21">
      <c r="A70" s="13" t="s">
        <v>25</v>
      </c>
      <c r="B70" s="274" t="s">
        <v>78</v>
      </c>
      <c r="C70" s="193">
        <v>0.5</v>
      </c>
      <c r="D70" s="193">
        <v>0.6</v>
      </c>
      <c r="E70" s="51">
        <v>2022</v>
      </c>
      <c r="F70" s="52" t="str">
        <f t="shared" si="14"/>
        <v>£m 18/19</v>
      </c>
      <c r="G70" s="275" t="s">
        <v>25</v>
      </c>
      <c r="H70" s="255">
        <f t="shared" ref="H70:L84" si="17">INDEX($C$37:$I$44,MATCH($G70,$B$37:$B$44,0),MATCH(H$55,$C$36:$I$36))</f>
        <v>2.0500000000000001E-2</v>
      </c>
      <c r="I70" s="193">
        <f t="shared" si="17"/>
        <v>1.9E-2</v>
      </c>
      <c r="J70" s="193">
        <f t="shared" si="17"/>
        <v>1.9199999999999998E-2</v>
      </c>
      <c r="K70" s="193">
        <f t="shared" si="17"/>
        <v>2.06E-2</v>
      </c>
      <c r="L70" s="193">
        <f t="shared" si="17"/>
        <v>2.1999999999999999E-2</v>
      </c>
      <c r="M70" s="117"/>
      <c r="N70" s="256"/>
      <c r="O70" s="255">
        <f t="shared" ref="O70:S84" si="18">INDEX($C$48:$I$52,MATCH($A70,$B$48:$B$52,0),MATCH(O$55,$C$47:$I$47))</f>
        <v>4.5181881000000007E-2</v>
      </c>
      <c r="P70" s="193">
        <f t="shared" si="18"/>
        <v>4.5568105000000005E-2</v>
      </c>
      <c r="Q70" s="193">
        <f t="shared" si="18"/>
        <v>5.2833944000000001E-2</v>
      </c>
      <c r="R70" s="193">
        <f t="shared" si="18"/>
        <v>5.2351163999999999E-2</v>
      </c>
      <c r="S70" s="193">
        <f t="shared" si="18"/>
        <v>5.2520137000000001E-2</v>
      </c>
      <c r="T70" s="117"/>
      <c r="U70" s="256"/>
    </row>
    <row r="71" spans="1:21">
      <c r="A71" s="13" t="s">
        <v>25</v>
      </c>
      <c r="B71" s="274" t="s">
        <v>79</v>
      </c>
      <c r="C71" s="193">
        <v>0.5</v>
      </c>
      <c r="D71" s="193">
        <v>0.6</v>
      </c>
      <c r="E71" s="51">
        <v>2022</v>
      </c>
      <c r="F71" s="52" t="str">
        <f t="shared" si="14"/>
        <v>£m 18/19</v>
      </c>
      <c r="G71" s="275" t="s">
        <v>25</v>
      </c>
      <c r="H71" s="255">
        <f t="shared" si="17"/>
        <v>2.0500000000000001E-2</v>
      </c>
      <c r="I71" s="193">
        <f t="shared" si="17"/>
        <v>1.9E-2</v>
      </c>
      <c r="J71" s="193">
        <f t="shared" si="17"/>
        <v>1.9199999999999998E-2</v>
      </c>
      <c r="K71" s="193">
        <f t="shared" si="17"/>
        <v>2.06E-2</v>
      </c>
      <c r="L71" s="193">
        <f t="shared" si="17"/>
        <v>2.1999999999999999E-2</v>
      </c>
      <c r="M71" s="117"/>
      <c r="N71" s="256"/>
      <c r="O71" s="255">
        <f t="shared" si="18"/>
        <v>4.5181881000000007E-2</v>
      </c>
      <c r="P71" s="193">
        <f t="shared" si="18"/>
        <v>4.5568105000000005E-2</v>
      </c>
      <c r="Q71" s="193">
        <f t="shared" si="18"/>
        <v>5.2833944000000001E-2</v>
      </c>
      <c r="R71" s="193">
        <f t="shared" si="18"/>
        <v>5.2351163999999999E-2</v>
      </c>
      <c r="S71" s="193">
        <f t="shared" si="18"/>
        <v>5.2520137000000001E-2</v>
      </c>
      <c r="T71" s="117"/>
      <c r="U71" s="256"/>
    </row>
    <row r="72" spans="1:21">
      <c r="A72" s="13" t="s">
        <v>25</v>
      </c>
      <c r="B72" s="274" t="s">
        <v>80</v>
      </c>
      <c r="C72" s="193">
        <v>0.5</v>
      </c>
      <c r="D72" s="193">
        <v>0.6</v>
      </c>
      <c r="E72" s="51">
        <v>2022</v>
      </c>
      <c r="F72" s="52" t="str">
        <f t="shared" si="14"/>
        <v>£m 18/19</v>
      </c>
      <c r="G72" s="275" t="s">
        <v>25</v>
      </c>
      <c r="H72" s="255">
        <f t="shared" si="17"/>
        <v>2.0500000000000001E-2</v>
      </c>
      <c r="I72" s="193">
        <f t="shared" si="17"/>
        <v>1.9E-2</v>
      </c>
      <c r="J72" s="193">
        <f t="shared" si="17"/>
        <v>1.9199999999999998E-2</v>
      </c>
      <c r="K72" s="193">
        <f t="shared" si="17"/>
        <v>2.06E-2</v>
      </c>
      <c r="L72" s="193">
        <f t="shared" si="17"/>
        <v>2.1999999999999999E-2</v>
      </c>
      <c r="M72" s="117"/>
      <c r="N72" s="256"/>
      <c r="O72" s="255">
        <f t="shared" si="18"/>
        <v>4.5181881000000007E-2</v>
      </c>
      <c r="P72" s="193">
        <f t="shared" si="18"/>
        <v>4.5568105000000005E-2</v>
      </c>
      <c r="Q72" s="193">
        <f t="shared" si="18"/>
        <v>5.2833944000000001E-2</v>
      </c>
      <c r="R72" s="193">
        <f t="shared" si="18"/>
        <v>5.2351163999999999E-2</v>
      </c>
      <c r="S72" s="193">
        <f t="shared" si="18"/>
        <v>5.2520137000000001E-2</v>
      </c>
      <c r="T72" s="117"/>
      <c r="U72" s="256"/>
    </row>
    <row r="73" spans="1:21">
      <c r="A73" s="13" t="s">
        <v>25</v>
      </c>
      <c r="B73" s="274" t="s">
        <v>4</v>
      </c>
      <c r="C73" s="193">
        <v>0.5</v>
      </c>
      <c r="D73" s="193">
        <v>0.6</v>
      </c>
      <c r="E73" s="51">
        <v>2022</v>
      </c>
      <c r="F73" s="52" t="str">
        <f t="shared" si="14"/>
        <v>£m 18/19</v>
      </c>
      <c r="G73" s="275" t="s">
        <v>25</v>
      </c>
      <c r="H73" s="255">
        <f t="shared" si="17"/>
        <v>2.0500000000000001E-2</v>
      </c>
      <c r="I73" s="193">
        <f t="shared" si="17"/>
        <v>1.9E-2</v>
      </c>
      <c r="J73" s="193">
        <f t="shared" si="17"/>
        <v>1.9199999999999998E-2</v>
      </c>
      <c r="K73" s="193">
        <f t="shared" si="17"/>
        <v>2.06E-2</v>
      </c>
      <c r="L73" s="193">
        <f t="shared" si="17"/>
        <v>2.1999999999999999E-2</v>
      </c>
      <c r="M73" s="117"/>
      <c r="N73" s="256"/>
      <c r="O73" s="255">
        <f t="shared" si="18"/>
        <v>4.5181881000000007E-2</v>
      </c>
      <c r="P73" s="193">
        <f t="shared" si="18"/>
        <v>4.5568105000000005E-2</v>
      </c>
      <c r="Q73" s="193">
        <f t="shared" si="18"/>
        <v>5.2833944000000001E-2</v>
      </c>
      <c r="R73" s="193">
        <f t="shared" si="18"/>
        <v>5.2351163999999999E-2</v>
      </c>
      <c r="S73" s="193">
        <f t="shared" si="18"/>
        <v>5.2520137000000001E-2</v>
      </c>
      <c r="T73" s="117"/>
      <c r="U73" s="256"/>
    </row>
    <row r="74" spans="1:21">
      <c r="A74" s="13" t="s">
        <v>25</v>
      </c>
      <c r="B74" s="274" t="s">
        <v>81</v>
      </c>
      <c r="C74" s="193">
        <v>0.51</v>
      </c>
      <c r="D74" s="193">
        <v>0.6</v>
      </c>
      <c r="E74" s="51">
        <v>2022</v>
      </c>
      <c r="F74" s="52" t="str">
        <f t="shared" si="14"/>
        <v>£m 18/19</v>
      </c>
      <c r="G74" s="275" t="s">
        <v>49</v>
      </c>
      <c r="H74" s="255">
        <f t="shared" si="17"/>
        <v>2.1100000000000001E-2</v>
      </c>
      <c r="I74" s="193">
        <f t="shared" si="17"/>
        <v>1.9599999999999999E-2</v>
      </c>
      <c r="J74" s="193">
        <f t="shared" si="17"/>
        <v>1.9799999999999998E-2</v>
      </c>
      <c r="K74" s="193">
        <f t="shared" si="17"/>
        <v>2.12E-2</v>
      </c>
      <c r="L74" s="193">
        <f t="shared" si="17"/>
        <v>2.2599999999999999E-2</v>
      </c>
      <c r="M74" s="117"/>
      <c r="N74" s="256"/>
      <c r="O74" s="255">
        <f t="shared" si="18"/>
        <v>4.5181881000000007E-2</v>
      </c>
      <c r="P74" s="193">
        <f t="shared" si="18"/>
        <v>4.5568105000000005E-2</v>
      </c>
      <c r="Q74" s="193">
        <f t="shared" si="18"/>
        <v>5.2833944000000001E-2</v>
      </c>
      <c r="R74" s="193">
        <f t="shared" si="18"/>
        <v>5.2351163999999999E-2</v>
      </c>
      <c r="S74" s="193">
        <f t="shared" si="18"/>
        <v>5.2520137000000001E-2</v>
      </c>
      <c r="T74" s="117"/>
      <c r="U74" s="256"/>
    </row>
    <row r="75" spans="1:21">
      <c r="A75" s="13" t="s">
        <v>25</v>
      </c>
      <c r="B75" s="274" t="s">
        <v>82</v>
      </c>
      <c r="C75" s="193">
        <v>0.51</v>
      </c>
      <c r="D75" s="193">
        <v>0.6</v>
      </c>
      <c r="E75" s="51">
        <v>2022</v>
      </c>
      <c r="F75" s="52" t="str">
        <f t="shared" si="14"/>
        <v>£m 18/19</v>
      </c>
      <c r="G75" s="275" t="s">
        <v>49</v>
      </c>
      <c r="H75" s="255">
        <f t="shared" si="17"/>
        <v>2.1100000000000001E-2</v>
      </c>
      <c r="I75" s="193">
        <f t="shared" si="17"/>
        <v>1.9599999999999999E-2</v>
      </c>
      <c r="J75" s="193">
        <f t="shared" si="17"/>
        <v>1.9799999999999998E-2</v>
      </c>
      <c r="K75" s="193">
        <f t="shared" si="17"/>
        <v>2.12E-2</v>
      </c>
      <c r="L75" s="193">
        <f t="shared" si="17"/>
        <v>2.2599999999999999E-2</v>
      </c>
      <c r="M75" s="117"/>
      <c r="N75" s="256"/>
      <c r="O75" s="255">
        <f t="shared" si="18"/>
        <v>4.5181881000000007E-2</v>
      </c>
      <c r="P75" s="193">
        <f t="shared" si="18"/>
        <v>4.5568105000000005E-2</v>
      </c>
      <c r="Q75" s="193">
        <f t="shared" si="18"/>
        <v>5.2833944000000001E-2</v>
      </c>
      <c r="R75" s="193">
        <f t="shared" si="18"/>
        <v>5.2351163999999999E-2</v>
      </c>
      <c r="S75" s="193">
        <f t="shared" si="18"/>
        <v>5.2520137000000001E-2</v>
      </c>
      <c r="T75" s="117"/>
      <c r="U75" s="256"/>
    </row>
    <row r="76" spans="1:21">
      <c r="A76" s="13" t="s">
        <v>25</v>
      </c>
      <c r="B76" s="274" t="s">
        <v>83</v>
      </c>
      <c r="C76" s="193">
        <v>0.5</v>
      </c>
      <c r="D76" s="193">
        <v>0.6</v>
      </c>
      <c r="E76" s="51">
        <v>2022</v>
      </c>
      <c r="F76" s="52" t="str">
        <f t="shared" si="14"/>
        <v>£m 18/19</v>
      </c>
      <c r="G76" s="275" t="s">
        <v>25</v>
      </c>
      <c r="H76" s="255">
        <f t="shared" si="17"/>
        <v>2.0500000000000001E-2</v>
      </c>
      <c r="I76" s="193">
        <f t="shared" si="17"/>
        <v>1.9E-2</v>
      </c>
      <c r="J76" s="193">
        <f t="shared" si="17"/>
        <v>1.9199999999999998E-2</v>
      </c>
      <c r="K76" s="193">
        <f t="shared" si="17"/>
        <v>2.06E-2</v>
      </c>
      <c r="L76" s="193">
        <f t="shared" si="17"/>
        <v>2.1999999999999999E-2</v>
      </c>
      <c r="M76" s="117"/>
      <c r="N76" s="256"/>
      <c r="O76" s="255">
        <f t="shared" si="18"/>
        <v>4.5181881000000007E-2</v>
      </c>
      <c r="P76" s="193">
        <f t="shared" si="18"/>
        <v>4.5568105000000005E-2</v>
      </c>
      <c r="Q76" s="193">
        <f t="shared" si="18"/>
        <v>5.2833944000000001E-2</v>
      </c>
      <c r="R76" s="193">
        <f t="shared" si="18"/>
        <v>5.2351163999999999E-2</v>
      </c>
      <c r="S76" s="193">
        <f t="shared" si="18"/>
        <v>5.2520137000000001E-2</v>
      </c>
      <c r="T76" s="117"/>
      <c r="U76" s="256"/>
    </row>
    <row r="77" spans="1:21">
      <c r="A77" s="13" t="s">
        <v>25</v>
      </c>
      <c r="B77" s="274" t="s">
        <v>84</v>
      </c>
      <c r="C77" s="193">
        <v>0.5</v>
      </c>
      <c r="D77" s="193">
        <v>0.6</v>
      </c>
      <c r="E77" s="51">
        <v>2022</v>
      </c>
      <c r="F77" s="52" t="str">
        <f t="shared" si="14"/>
        <v>£m 18/19</v>
      </c>
      <c r="G77" s="275" t="s">
        <v>49</v>
      </c>
      <c r="H77" s="255">
        <f t="shared" si="17"/>
        <v>2.1100000000000001E-2</v>
      </c>
      <c r="I77" s="193">
        <f t="shared" si="17"/>
        <v>1.9599999999999999E-2</v>
      </c>
      <c r="J77" s="193">
        <f t="shared" si="17"/>
        <v>1.9799999999999998E-2</v>
      </c>
      <c r="K77" s="193">
        <f t="shared" si="17"/>
        <v>2.12E-2</v>
      </c>
      <c r="L77" s="193">
        <f t="shared" si="17"/>
        <v>2.2599999999999999E-2</v>
      </c>
      <c r="M77" s="117"/>
      <c r="N77" s="256"/>
      <c r="O77" s="255">
        <f t="shared" si="18"/>
        <v>4.5181881000000007E-2</v>
      </c>
      <c r="P77" s="193">
        <f t="shared" si="18"/>
        <v>4.5568105000000005E-2</v>
      </c>
      <c r="Q77" s="193">
        <f t="shared" si="18"/>
        <v>5.2833944000000001E-2</v>
      </c>
      <c r="R77" s="193">
        <f t="shared" si="18"/>
        <v>5.2351163999999999E-2</v>
      </c>
      <c r="S77" s="193">
        <f t="shared" si="18"/>
        <v>5.2520137000000001E-2</v>
      </c>
      <c r="T77" s="117"/>
      <c r="U77" s="256"/>
    </row>
    <row r="78" spans="1:21">
      <c r="A78" s="13" t="s">
        <v>27</v>
      </c>
      <c r="B78" s="274" t="s">
        <v>85</v>
      </c>
      <c r="C78" s="193">
        <v>0.61</v>
      </c>
      <c r="D78" s="193">
        <v>0.6</v>
      </c>
      <c r="E78" s="51">
        <v>2022</v>
      </c>
      <c r="F78" s="52" t="str">
        <f t="shared" si="14"/>
        <v>£m 18/19</v>
      </c>
      <c r="G78" s="275" t="s">
        <v>27</v>
      </c>
      <c r="H78" s="255">
        <f t="shared" si="17"/>
        <v>2.0500000000000001E-2</v>
      </c>
      <c r="I78" s="193">
        <f t="shared" si="17"/>
        <v>1.9E-2</v>
      </c>
      <c r="J78" s="193">
        <f t="shared" si="17"/>
        <v>1.9199999999999998E-2</v>
      </c>
      <c r="K78" s="193">
        <f t="shared" si="17"/>
        <v>2.06E-2</v>
      </c>
      <c r="L78" s="193">
        <f t="shared" si="17"/>
        <v>2.1999999999999999E-2</v>
      </c>
      <c r="M78" s="117"/>
      <c r="N78" s="256"/>
      <c r="O78" s="255">
        <f t="shared" si="18"/>
        <v>4.5181881000000007E-2</v>
      </c>
      <c r="P78" s="193">
        <f t="shared" si="18"/>
        <v>4.5568105000000005E-2</v>
      </c>
      <c r="Q78" s="193">
        <f t="shared" si="18"/>
        <v>5.2833944000000001E-2</v>
      </c>
      <c r="R78" s="193">
        <f t="shared" si="18"/>
        <v>5.2351163999999999E-2</v>
      </c>
      <c r="S78" s="193">
        <f t="shared" si="18"/>
        <v>5.2520137000000001E-2</v>
      </c>
      <c r="T78" s="117"/>
      <c r="U78" s="256"/>
    </row>
    <row r="79" spans="1:21">
      <c r="A79" s="13" t="s">
        <v>27</v>
      </c>
      <c r="B79" s="274" t="s">
        <v>86</v>
      </c>
      <c r="C79" s="193">
        <v>0.61</v>
      </c>
      <c r="D79" s="193">
        <v>0.6</v>
      </c>
      <c r="E79" s="51">
        <v>2022</v>
      </c>
      <c r="F79" s="52" t="str">
        <f t="shared" si="14"/>
        <v>£m 18/19</v>
      </c>
      <c r="G79" s="275" t="s">
        <v>27</v>
      </c>
      <c r="H79" s="255">
        <f t="shared" si="17"/>
        <v>2.0500000000000001E-2</v>
      </c>
      <c r="I79" s="193">
        <f t="shared" si="17"/>
        <v>1.9E-2</v>
      </c>
      <c r="J79" s="193">
        <f t="shared" si="17"/>
        <v>1.9199999999999998E-2</v>
      </c>
      <c r="K79" s="193">
        <f t="shared" si="17"/>
        <v>2.06E-2</v>
      </c>
      <c r="L79" s="193">
        <f t="shared" si="17"/>
        <v>2.1999999999999999E-2</v>
      </c>
      <c r="M79" s="117"/>
      <c r="N79" s="256"/>
      <c r="O79" s="255">
        <f t="shared" si="18"/>
        <v>4.5181881000000007E-2</v>
      </c>
      <c r="P79" s="193">
        <f t="shared" si="18"/>
        <v>4.5568105000000005E-2</v>
      </c>
      <c r="Q79" s="193">
        <f t="shared" si="18"/>
        <v>5.2833944000000001E-2</v>
      </c>
      <c r="R79" s="193">
        <f t="shared" si="18"/>
        <v>5.2351163999999999E-2</v>
      </c>
      <c r="S79" s="193">
        <f t="shared" si="18"/>
        <v>5.2520137000000001E-2</v>
      </c>
      <c r="T79" s="117"/>
      <c r="U79" s="256"/>
    </row>
    <row r="80" spans="1:21">
      <c r="A80" s="13" t="s">
        <v>27</v>
      </c>
      <c r="B80" s="274" t="s">
        <v>87</v>
      </c>
      <c r="C80" s="193">
        <v>0.61</v>
      </c>
      <c r="D80" s="193">
        <v>0.6</v>
      </c>
      <c r="E80" s="51">
        <v>2022</v>
      </c>
      <c r="F80" s="52" t="str">
        <f t="shared" si="14"/>
        <v>£m 18/19</v>
      </c>
      <c r="G80" s="275" t="s">
        <v>27</v>
      </c>
      <c r="H80" s="255">
        <f t="shared" si="17"/>
        <v>2.0500000000000001E-2</v>
      </c>
      <c r="I80" s="193">
        <f t="shared" si="17"/>
        <v>1.9E-2</v>
      </c>
      <c r="J80" s="193">
        <f t="shared" si="17"/>
        <v>1.9199999999999998E-2</v>
      </c>
      <c r="K80" s="193">
        <f t="shared" si="17"/>
        <v>2.06E-2</v>
      </c>
      <c r="L80" s="193">
        <f t="shared" si="17"/>
        <v>2.1999999999999999E-2</v>
      </c>
      <c r="M80" s="117"/>
      <c r="N80" s="256"/>
      <c r="O80" s="255">
        <f t="shared" si="18"/>
        <v>4.5181881000000007E-2</v>
      </c>
      <c r="P80" s="193">
        <f t="shared" si="18"/>
        <v>4.5568105000000005E-2</v>
      </c>
      <c r="Q80" s="193">
        <f t="shared" si="18"/>
        <v>5.2833944000000001E-2</v>
      </c>
      <c r="R80" s="193">
        <f t="shared" si="18"/>
        <v>5.2351163999999999E-2</v>
      </c>
      <c r="S80" s="193">
        <f t="shared" si="18"/>
        <v>5.2520137000000001E-2</v>
      </c>
      <c r="T80" s="117"/>
      <c r="U80" s="256"/>
    </row>
    <row r="81" spans="1:21">
      <c r="A81" s="13" t="s">
        <v>22</v>
      </c>
      <c r="B81" s="274" t="s">
        <v>88</v>
      </c>
      <c r="C81" s="193">
        <v>0.67</v>
      </c>
      <c r="D81" s="193">
        <v>0.55000000000000004</v>
      </c>
      <c r="E81" s="51">
        <v>2022</v>
      </c>
      <c r="F81" s="52" t="str">
        <f t="shared" si="14"/>
        <v>£m 18/19</v>
      </c>
      <c r="G81" s="275" t="s">
        <v>48</v>
      </c>
      <c r="H81" s="255">
        <f t="shared" si="17"/>
        <v>2.0500000000000001E-2</v>
      </c>
      <c r="I81" s="193">
        <f t="shared" si="17"/>
        <v>1.9E-2</v>
      </c>
      <c r="J81" s="193">
        <f t="shared" si="17"/>
        <v>1.9199999999999998E-2</v>
      </c>
      <c r="K81" s="193">
        <f t="shared" si="17"/>
        <v>2.06E-2</v>
      </c>
      <c r="L81" s="193">
        <f t="shared" si="17"/>
        <v>2.1999999999999999E-2</v>
      </c>
      <c r="M81" s="117"/>
      <c r="N81" s="256"/>
      <c r="O81" s="255">
        <f t="shared" si="18"/>
        <v>4.2439449777777784E-2</v>
      </c>
      <c r="P81" s="193">
        <f t="shared" si="18"/>
        <v>4.2616093333333334E-2</v>
      </c>
      <c r="Q81" s="193">
        <f t="shared" si="18"/>
        <v>4.909683911111111E-2</v>
      </c>
      <c r="R81" s="193">
        <f t="shared" si="18"/>
        <v>4.8823256888888882E-2</v>
      </c>
      <c r="S81" s="193">
        <f t="shared" si="18"/>
        <v>4.9129010666666667E-2</v>
      </c>
      <c r="T81" s="117"/>
      <c r="U81" s="256"/>
    </row>
    <row r="82" spans="1:21">
      <c r="A82" s="13" t="s">
        <v>29</v>
      </c>
      <c r="B82" s="274" t="s">
        <v>29</v>
      </c>
      <c r="C82" s="193">
        <v>1</v>
      </c>
      <c r="D82" s="193">
        <v>0.55000000000000004</v>
      </c>
      <c r="E82" s="51">
        <v>2022</v>
      </c>
      <c r="F82" s="52" t="str">
        <f t="shared" si="14"/>
        <v>£m 18/19</v>
      </c>
      <c r="G82" s="275" t="s">
        <v>29</v>
      </c>
      <c r="H82" s="255">
        <f t="shared" si="17"/>
        <v>-5.9999999999999995E-4</v>
      </c>
      <c r="I82" s="193">
        <f t="shared" si="17"/>
        <v>2.1399999999999999E-2</v>
      </c>
      <c r="J82" s="193">
        <f t="shared" si="17"/>
        <v>4.7800000000000002E-2</v>
      </c>
      <c r="K82" s="193">
        <f t="shared" si="17"/>
        <v>4.5699999999999998E-2</v>
      </c>
      <c r="L82" s="193">
        <f t="shared" si="17"/>
        <v>4.1599999999999998E-2</v>
      </c>
      <c r="M82" s="117"/>
      <c r="N82" s="256"/>
      <c r="O82" s="255">
        <f t="shared" si="18"/>
        <v>7.5718976000000007E-2</v>
      </c>
      <c r="P82" s="193">
        <f t="shared" si="18"/>
        <v>7.5510080000000007E-2</v>
      </c>
      <c r="Q82" s="193">
        <f t="shared" si="18"/>
        <v>7.1580223999999998E-2</v>
      </c>
      <c r="R82" s="193">
        <f t="shared" si="18"/>
        <v>7.1841344000000001E-2</v>
      </c>
      <c r="S82" s="193">
        <f t="shared" si="18"/>
        <v>7.1749952000000006E-2</v>
      </c>
      <c r="T82" s="117"/>
      <c r="U82" s="256"/>
    </row>
    <row r="83" spans="1:21">
      <c r="A83" s="13" t="s">
        <v>22</v>
      </c>
      <c r="B83" s="274" t="s">
        <v>89</v>
      </c>
      <c r="C83" s="193">
        <v>0.51</v>
      </c>
      <c r="D83" s="193">
        <v>0.55000000000000004</v>
      </c>
      <c r="E83" s="51">
        <v>2022</v>
      </c>
      <c r="F83" s="52" t="str">
        <f t="shared" si="14"/>
        <v>£m 18/19</v>
      </c>
      <c r="G83" s="275" t="s">
        <v>48</v>
      </c>
      <c r="H83" s="255">
        <f t="shared" si="17"/>
        <v>2.0500000000000001E-2</v>
      </c>
      <c r="I83" s="193">
        <f t="shared" si="17"/>
        <v>1.9E-2</v>
      </c>
      <c r="J83" s="193">
        <f t="shared" si="17"/>
        <v>1.9199999999999998E-2</v>
      </c>
      <c r="K83" s="193">
        <f t="shared" si="17"/>
        <v>2.06E-2</v>
      </c>
      <c r="L83" s="193">
        <f t="shared" si="17"/>
        <v>2.1999999999999999E-2</v>
      </c>
      <c r="M83" s="117"/>
      <c r="N83" s="256"/>
      <c r="O83" s="255">
        <f t="shared" si="18"/>
        <v>4.2439449777777784E-2</v>
      </c>
      <c r="P83" s="193">
        <f t="shared" si="18"/>
        <v>4.2616093333333334E-2</v>
      </c>
      <c r="Q83" s="193">
        <f t="shared" si="18"/>
        <v>4.909683911111111E-2</v>
      </c>
      <c r="R83" s="193">
        <f t="shared" si="18"/>
        <v>4.8823256888888882E-2</v>
      </c>
      <c r="S83" s="193">
        <f t="shared" si="18"/>
        <v>4.9129010666666667E-2</v>
      </c>
      <c r="T83" s="117"/>
      <c r="U83" s="256"/>
    </row>
    <row r="84" spans="1:21" ht="12.7" thickBot="1">
      <c r="A84" s="13" t="s">
        <v>22</v>
      </c>
      <c r="B84" s="276" t="s">
        <v>47</v>
      </c>
      <c r="C84" s="258">
        <v>0.64</v>
      </c>
      <c r="D84" s="258">
        <v>0.55000000000000004</v>
      </c>
      <c r="E84" s="277">
        <v>2022</v>
      </c>
      <c r="F84" s="278" t="str">
        <f t="shared" si="14"/>
        <v>£m 18/19</v>
      </c>
      <c r="G84" s="279" t="s">
        <v>47</v>
      </c>
      <c r="H84" s="257">
        <f t="shared" si="17"/>
        <v>1.8194982985475096E-2</v>
      </c>
      <c r="I84" s="258">
        <f t="shared" si="17"/>
        <v>1.5793417632087442E-2</v>
      </c>
      <c r="J84" s="258">
        <f t="shared" si="17"/>
        <v>1.8153286579427653E-2</v>
      </c>
      <c r="K84" s="258">
        <f t="shared" si="17"/>
        <v>2.1523139345184805E-2</v>
      </c>
      <c r="L84" s="258">
        <f t="shared" si="17"/>
        <v>2.4217276024073559E-2</v>
      </c>
      <c r="M84" s="259"/>
      <c r="N84" s="260"/>
      <c r="O84" s="257">
        <f t="shared" si="18"/>
        <v>4.2439449777777784E-2</v>
      </c>
      <c r="P84" s="258">
        <f t="shared" si="18"/>
        <v>4.2616093333333334E-2</v>
      </c>
      <c r="Q84" s="258">
        <f t="shared" si="18"/>
        <v>4.909683911111111E-2</v>
      </c>
      <c r="R84" s="258">
        <f t="shared" si="18"/>
        <v>4.8823256888888882E-2</v>
      </c>
      <c r="S84" s="258">
        <f t="shared" si="18"/>
        <v>4.9129010666666667E-2</v>
      </c>
      <c r="T84" s="259"/>
      <c r="U84" s="260"/>
    </row>
    <row r="85" spans="1:21">
      <c r="I85" s="15"/>
    </row>
    <row r="86" spans="1:21">
      <c r="I86" s="15"/>
    </row>
    <row r="87" spans="1:21">
      <c r="I87" s="15"/>
    </row>
    <row r="88" spans="1:21">
      <c r="B88" s="1"/>
      <c r="D88" s="186"/>
      <c r="E88" s="186"/>
      <c r="F88" s="186"/>
      <c r="G88" s="186"/>
      <c r="H88" s="186"/>
      <c r="I88" s="186"/>
      <c r="J88" s="186"/>
    </row>
    <row r="90" spans="1:21" ht="15">
      <c r="B90" s="167" t="s">
        <v>90</v>
      </c>
      <c r="C90" s="25">
        <v>2022</v>
      </c>
      <c r="D90" s="26">
        <f t="shared" ref="D90:I90" si="19">C90+1</f>
        <v>2023</v>
      </c>
      <c r="E90" s="26">
        <f t="shared" si="19"/>
        <v>2024</v>
      </c>
      <c r="F90" s="26">
        <f t="shared" si="19"/>
        <v>2025</v>
      </c>
      <c r="G90" s="26">
        <f t="shared" si="19"/>
        <v>2026</v>
      </c>
      <c r="H90" s="26">
        <f t="shared" si="19"/>
        <v>2027</v>
      </c>
      <c r="I90" s="26">
        <f t="shared" si="19"/>
        <v>2028</v>
      </c>
    </row>
    <row r="91" spans="1:21">
      <c r="B91" s="168" t="s">
        <v>64</v>
      </c>
      <c r="C91" s="117"/>
      <c r="D91" s="117"/>
      <c r="E91" s="169">
        <v>0</v>
      </c>
      <c r="F91" s="169">
        <v>0</v>
      </c>
      <c r="G91" s="169">
        <v>0</v>
      </c>
      <c r="H91" s="169">
        <v>0</v>
      </c>
      <c r="I91" s="169">
        <v>0</v>
      </c>
    </row>
    <row r="92" spans="1:21">
      <c r="B92" s="168" t="s">
        <v>65</v>
      </c>
      <c r="C92" s="117"/>
      <c r="D92" s="117"/>
      <c r="E92" s="169">
        <v>0</v>
      </c>
      <c r="F92" s="169">
        <v>0</v>
      </c>
      <c r="G92" s="169">
        <v>0</v>
      </c>
      <c r="H92" s="169">
        <v>0</v>
      </c>
      <c r="I92" s="169">
        <v>0</v>
      </c>
    </row>
    <row r="93" spans="1:21">
      <c r="B93" s="168" t="s">
        <v>66</v>
      </c>
      <c r="C93" s="117"/>
      <c r="D93" s="117"/>
      <c r="E93" s="169">
        <v>0</v>
      </c>
      <c r="F93" s="169">
        <v>0</v>
      </c>
      <c r="G93" s="169">
        <v>0</v>
      </c>
      <c r="H93" s="169">
        <v>0</v>
      </c>
      <c r="I93" s="169">
        <v>0</v>
      </c>
      <c r="J93" s="141"/>
      <c r="K93" s="141"/>
      <c r="L93" s="141"/>
      <c r="M93" s="141"/>
      <c r="N93" s="141"/>
    </row>
    <row r="94" spans="1:21">
      <c r="B94" s="168" t="s">
        <v>67</v>
      </c>
      <c r="C94" s="117"/>
      <c r="D94" s="117"/>
      <c r="E94" s="169">
        <v>0</v>
      </c>
      <c r="F94" s="169">
        <v>0</v>
      </c>
      <c r="G94" s="169">
        <v>0</v>
      </c>
      <c r="H94" s="169">
        <v>0</v>
      </c>
      <c r="I94" s="169">
        <v>0</v>
      </c>
    </row>
    <row r="95" spans="1:21">
      <c r="B95" s="168" t="s">
        <v>68</v>
      </c>
      <c r="C95" s="117"/>
      <c r="D95" s="117"/>
      <c r="E95" s="169">
        <v>0</v>
      </c>
      <c r="F95" s="169">
        <v>0</v>
      </c>
      <c r="G95" s="169">
        <v>0</v>
      </c>
      <c r="H95" s="169">
        <v>0</v>
      </c>
      <c r="I95" s="169">
        <v>0</v>
      </c>
    </row>
    <row r="96" spans="1:21">
      <c r="B96" s="168" t="s">
        <v>69</v>
      </c>
      <c r="C96" s="117"/>
      <c r="D96" s="117"/>
      <c r="E96" s="169">
        <v>0</v>
      </c>
      <c r="F96" s="169">
        <v>0</v>
      </c>
      <c r="G96" s="169">
        <v>0</v>
      </c>
      <c r="H96" s="169">
        <v>0</v>
      </c>
      <c r="I96" s="169">
        <v>0</v>
      </c>
    </row>
    <row r="97" spans="2:9">
      <c r="B97" s="168" t="s">
        <v>70</v>
      </c>
      <c r="C97" s="117"/>
      <c r="D97" s="117"/>
      <c r="E97" s="169">
        <v>0</v>
      </c>
      <c r="F97" s="169">
        <v>0</v>
      </c>
      <c r="G97" s="169">
        <v>0</v>
      </c>
      <c r="H97" s="169">
        <v>0</v>
      </c>
      <c r="I97" s="169">
        <v>0</v>
      </c>
    </row>
    <row r="98" spans="2:9">
      <c r="B98" s="168" t="s">
        <v>71</v>
      </c>
      <c r="C98" s="117"/>
      <c r="D98" s="117"/>
      <c r="E98" s="169">
        <v>0</v>
      </c>
      <c r="F98" s="169">
        <v>0</v>
      </c>
      <c r="G98" s="169">
        <v>0</v>
      </c>
      <c r="H98" s="169">
        <v>0</v>
      </c>
      <c r="I98" s="169">
        <v>0</v>
      </c>
    </row>
    <row r="99" spans="2:9">
      <c r="B99" s="168" t="s">
        <v>72</v>
      </c>
      <c r="C99" s="117"/>
      <c r="D99" s="117"/>
      <c r="E99" s="169">
        <v>0</v>
      </c>
      <c r="F99" s="169">
        <v>0</v>
      </c>
      <c r="G99" s="169">
        <v>0</v>
      </c>
      <c r="H99" s="169">
        <v>0</v>
      </c>
      <c r="I99" s="169">
        <v>0</v>
      </c>
    </row>
    <row r="100" spans="2:9">
      <c r="B100" s="168" t="s">
        <v>73</v>
      </c>
      <c r="C100" s="117"/>
      <c r="D100" s="117"/>
      <c r="E100" s="169">
        <v>0</v>
      </c>
      <c r="F100" s="169">
        <v>0</v>
      </c>
      <c r="G100" s="169">
        <v>0</v>
      </c>
      <c r="H100" s="169">
        <v>0</v>
      </c>
      <c r="I100" s="169">
        <v>0</v>
      </c>
    </row>
    <row r="101" spans="2:9">
      <c r="B101" s="168" t="s">
        <v>74</v>
      </c>
      <c r="C101" s="117"/>
      <c r="D101" s="117"/>
      <c r="E101" s="169">
        <v>0</v>
      </c>
      <c r="F101" s="169">
        <v>0</v>
      </c>
      <c r="G101" s="169">
        <v>0</v>
      </c>
      <c r="H101" s="169">
        <v>0</v>
      </c>
      <c r="I101" s="169">
        <v>0</v>
      </c>
    </row>
    <row r="102" spans="2:9">
      <c r="B102" s="168" t="s">
        <v>75</v>
      </c>
      <c r="C102" s="117"/>
      <c r="D102" s="117"/>
      <c r="E102" s="169">
        <v>0</v>
      </c>
      <c r="F102" s="169">
        <v>0</v>
      </c>
      <c r="G102" s="169">
        <v>0</v>
      </c>
      <c r="H102" s="169">
        <v>0</v>
      </c>
      <c r="I102" s="169">
        <v>0</v>
      </c>
    </row>
    <row r="103" spans="2:9">
      <c r="B103" s="168" t="s">
        <v>76</v>
      </c>
      <c r="C103" s="117"/>
      <c r="D103" s="117"/>
      <c r="E103" s="169">
        <v>0</v>
      </c>
      <c r="F103" s="169">
        <v>0</v>
      </c>
      <c r="G103" s="169">
        <v>0</v>
      </c>
      <c r="H103" s="169">
        <v>0</v>
      </c>
      <c r="I103" s="169">
        <v>0</v>
      </c>
    </row>
    <row r="104" spans="2:9">
      <c r="B104" s="168" t="s">
        <v>77</v>
      </c>
      <c r="C104" s="117"/>
      <c r="D104" s="117"/>
      <c r="E104" s="169">
        <v>0</v>
      </c>
      <c r="F104" s="169">
        <v>0</v>
      </c>
      <c r="G104" s="169">
        <v>0</v>
      </c>
      <c r="H104" s="169">
        <v>0</v>
      </c>
      <c r="I104" s="169">
        <v>0</v>
      </c>
    </row>
    <row r="105" spans="2:9">
      <c r="B105" s="168" t="s">
        <v>78</v>
      </c>
      <c r="C105" s="170">
        <v>3.6510479549499562E-2</v>
      </c>
      <c r="D105" s="170">
        <v>3.6510479549499562E-2</v>
      </c>
      <c r="E105" s="170">
        <v>3.6510479549499562E-2</v>
      </c>
      <c r="F105" s="170">
        <v>3.6510479549499562E-2</v>
      </c>
      <c r="G105" s="170">
        <v>3.6510479549499562E-2</v>
      </c>
      <c r="H105" s="117"/>
      <c r="I105" s="117"/>
    </row>
    <row r="106" spans="2:9">
      <c r="B106" s="168" t="s">
        <v>79</v>
      </c>
      <c r="C106" s="170">
        <v>2.7462875901387192E-2</v>
      </c>
      <c r="D106" s="170">
        <v>2.7462875901387192E-2</v>
      </c>
      <c r="E106" s="170">
        <v>2.7462875901387192E-2</v>
      </c>
      <c r="F106" s="170">
        <v>2.7462875901387192E-2</v>
      </c>
      <c r="G106" s="170">
        <v>2.7462875901387192E-2</v>
      </c>
      <c r="H106" s="117"/>
      <c r="I106" s="117"/>
    </row>
    <row r="107" spans="2:9">
      <c r="B107" s="168" t="s">
        <v>80</v>
      </c>
      <c r="C107" s="170">
        <v>1.7082326729376533E-2</v>
      </c>
      <c r="D107" s="170">
        <v>1.7082326729376533E-2</v>
      </c>
      <c r="E107" s="170">
        <v>1.7082326729376533E-2</v>
      </c>
      <c r="F107" s="170">
        <v>1.7082326729376533E-2</v>
      </c>
      <c r="G107" s="170">
        <v>1.7082326729376533E-2</v>
      </c>
      <c r="H107" s="117"/>
      <c r="I107" s="117"/>
    </row>
    <row r="108" spans="2:9">
      <c r="B108" s="168" t="s">
        <v>4</v>
      </c>
      <c r="C108" s="170">
        <v>2.5713646682447938E-2</v>
      </c>
      <c r="D108" s="170">
        <v>2.5713646682447938E-2</v>
      </c>
      <c r="E108" s="170">
        <v>2.5713646682447938E-2</v>
      </c>
      <c r="F108" s="170">
        <v>2.5713646682447938E-2</v>
      </c>
      <c r="G108" s="170">
        <v>2.5713646682447938E-2</v>
      </c>
      <c r="H108" s="117"/>
      <c r="I108" s="117"/>
    </row>
    <row r="109" spans="2:9">
      <c r="B109" s="168" t="s">
        <v>81</v>
      </c>
      <c r="C109" s="170">
        <v>0.4206045538022069</v>
      </c>
      <c r="D109" s="170">
        <v>0.4206045538022069</v>
      </c>
      <c r="E109" s="170">
        <v>0.4206045538022069</v>
      </c>
      <c r="F109" s="170">
        <v>0.4206045538022069</v>
      </c>
      <c r="G109" s="170">
        <v>0.4206045538022069</v>
      </c>
      <c r="H109" s="117"/>
      <c r="I109" s="117"/>
    </row>
    <row r="110" spans="2:9">
      <c r="B110" s="168" t="s">
        <v>82</v>
      </c>
      <c r="C110" s="169">
        <v>0</v>
      </c>
      <c r="D110" s="169">
        <v>0</v>
      </c>
      <c r="E110" s="169">
        <v>0</v>
      </c>
      <c r="F110" s="169">
        <v>0</v>
      </c>
      <c r="G110" s="169">
        <v>0</v>
      </c>
      <c r="H110" s="117"/>
      <c r="I110" s="117"/>
    </row>
    <row r="111" spans="2:9">
      <c r="B111" s="168" t="s">
        <v>83</v>
      </c>
      <c r="C111" s="169">
        <v>0</v>
      </c>
      <c r="D111" s="169">
        <v>0</v>
      </c>
      <c r="E111" s="169">
        <v>0</v>
      </c>
      <c r="F111" s="169">
        <v>0</v>
      </c>
      <c r="G111" s="169">
        <v>0</v>
      </c>
      <c r="H111" s="117"/>
      <c r="I111" s="117"/>
    </row>
    <row r="112" spans="2:9">
      <c r="B112" s="168" t="s">
        <v>84</v>
      </c>
      <c r="C112" s="169">
        <v>0</v>
      </c>
      <c r="D112" s="169">
        <v>0</v>
      </c>
      <c r="E112" s="169">
        <v>0</v>
      </c>
      <c r="F112" s="169">
        <v>0</v>
      </c>
      <c r="G112" s="169">
        <v>0</v>
      </c>
      <c r="H112" s="117"/>
      <c r="I112" s="117"/>
    </row>
    <row r="113" spans="1:14">
      <c r="B113" s="168" t="s">
        <v>85</v>
      </c>
      <c r="C113" s="171">
        <v>-4.3390000000000004</v>
      </c>
      <c r="D113" s="171">
        <v>-4.3390000000000004</v>
      </c>
      <c r="E113" s="171">
        <v>-4.3390000000000004</v>
      </c>
      <c r="F113" s="171">
        <v>-4.3390000000000004</v>
      </c>
      <c r="G113" s="171">
        <v>-4.3390000000000004</v>
      </c>
      <c r="H113" s="117"/>
      <c r="I113" s="117"/>
    </row>
    <row r="114" spans="1:14">
      <c r="B114" s="168" t="s">
        <v>86</v>
      </c>
      <c r="C114" s="169">
        <v>0</v>
      </c>
      <c r="D114" s="169">
        <v>0</v>
      </c>
      <c r="E114" s="169">
        <v>0</v>
      </c>
      <c r="F114" s="169">
        <v>0</v>
      </c>
      <c r="G114" s="169">
        <v>0</v>
      </c>
      <c r="H114" s="117"/>
      <c r="I114" s="117"/>
    </row>
    <row r="115" spans="1:14">
      <c r="B115" s="168" t="s">
        <v>87</v>
      </c>
      <c r="C115" s="171">
        <v>-4.3390000000000004</v>
      </c>
      <c r="D115" s="171">
        <v>-4.3390000000000004</v>
      </c>
      <c r="E115" s="171">
        <v>-4.3390000000000004</v>
      </c>
      <c r="F115" s="171">
        <v>-4.3390000000000004</v>
      </c>
      <c r="G115" s="171">
        <v>-4.3390000000000004</v>
      </c>
      <c r="H115" s="117"/>
      <c r="I115" s="117"/>
    </row>
    <row r="116" spans="1:14">
      <c r="B116" s="168" t="s">
        <v>88</v>
      </c>
      <c r="C116" s="174">
        <v>-13</v>
      </c>
      <c r="D116" s="174">
        <v>-13</v>
      </c>
      <c r="E116" s="174">
        <v>-13</v>
      </c>
      <c r="F116" s="174">
        <v>-13</v>
      </c>
      <c r="G116" s="174">
        <v>-13</v>
      </c>
      <c r="H116" s="117"/>
      <c r="I116" s="117"/>
    </row>
    <row r="117" spans="1:14">
      <c r="B117" s="168" t="s">
        <v>29</v>
      </c>
      <c r="C117" s="169">
        <v>0</v>
      </c>
      <c r="D117" s="169">
        <v>0</v>
      </c>
      <c r="E117" s="169">
        <v>0</v>
      </c>
      <c r="F117" s="169">
        <v>0</v>
      </c>
      <c r="G117" s="169">
        <v>0</v>
      </c>
      <c r="H117" s="117"/>
      <c r="I117" s="117"/>
    </row>
    <row r="118" spans="1:14">
      <c r="B118" s="168" t="s">
        <v>89</v>
      </c>
      <c r="C118" s="170">
        <v>1</v>
      </c>
      <c r="D118" s="170">
        <v>1</v>
      </c>
      <c r="E118" s="170">
        <v>1</v>
      </c>
      <c r="F118" s="170">
        <v>1</v>
      </c>
      <c r="G118" s="170">
        <v>1</v>
      </c>
      <c r="H118" s="117"/>
      <c r="I118" s="117"/>
    </row>
    <row r="119" spans="1:14">
      <c r="B119" s="172" t="s">
        <v>47</v>
      </c>
      <c r="C119" s="170">
        <v>4.3620000000000001</v>
      </c>
      <c r="D119" s="170">
        <v>4.3620000000000001</v>
      </c>
      <c r="E119" s="173">
        <v>4.3620000000000001</v>
      </c>
      <c r="F119" s="173">
        <v>4.3620000000000001</v>
      </c>
      <c r="G119" s="173">
        <v>4.3620000000000001</v>
      </c>
      <c r="H119" s="117"/>
      <c r="I119" s="117"/>
    </row>
    <row r="120" spans="1:14">
      <c r="B120" s="36"/>
    </row>
    <row r="121" spans="1:14">
      <c r="B121" s="213" t="str">
        <f>LEFT('RFPR cover'!C8,2)</f>
        <v>GD</v>
      </c>
      <c r="C121" s="322"/>
      <c r="D121" s="322"/>
      <c r="E121" s="322"/>
      <c r="F121" s="322"/>
      <c r="G121" s="322"/>
      <c r="H121" s="322"/>
      <c r="I121" s="322"/>
      <c r="J121" s="322"/>
      <c r="K121" s="322"/>
      <c r="L121" s="214"/>
    </row>
    <row r="122" spans="1:14">
      <c r="A122" s="38"/>
      <c r="B122" s="98" t="s">
        <v>91</v>
      </c>
      <c r="C122" s="99"/>
      <c r="D122" s="99"/>
      <c r="E122" s="99"/>
      <c r="F122" s="97"/>
      <c r="G122" s="97"/>
      <c r="H122" s="97"/>
      <c r="I122" s="97"/>
      <c r="J122" s="97"/>
      <c r="K122" s="97"/>
      <c r="L122" s="97"/>
      <c r="M122" s="97"/>
      <c r="N122" s="97"/>
    </row>
    <row r="123" spans="1:14">
      <c r="A123" s="38"/>
      <c r="B123" s="139"/>
      <c r="C123" s="140"/>
      <c r="D123" s="140"/>
      <c r="E123" s="140"/>
      <c r="F123" s="141"/>
      <c r="G123" s="141"/>
      <c r="H123" s="141"/>
      <c r="I123" s="141"/>
    </row>
    <row r="124" spans="1:14">
      <c r="A124" s="37"/>
      <c r="B124" s="323" t="s">
        <v>92</v>
      </c>
      <c r="C124" s="39"/>
      <c r="D124" s="39"/>
      <c r="E124" s="352" t="b">
        <f>OR((LEFT('RFPR cover'!$C$8,2)=Data!G124),'RFPR cover'!$C$7=Data!G124)</f>
        <v>0</v>
      </c>
      <c r="F124" s="443">
        <f t="shared" ref="F124:F127" si="20">IF(E124,1,0)</f>
        <v>0</v>
      </c>
      <c r="G124" s="353" t="str">
        <f>B133</f>
        <v>ED</v>
      </c>
    </row>
    <row r="125" spans="1:14" ht="16.5" customHeight="1">
      <c r="A125" s="37"/>
      <c r="B125" s="143" t="str">
        <f t="shared" ref="B125:B130" si="21">IF(SUM($F$124:$F$130)=0,"",CHOOSE(MATCH(TRUE,$E$124:$E$130,0),B134,B144,B154,B164,E164,B174,E174)&amp;"")</f>
        <v>Customer Satisfaction Survey ODI - (SpC 4.2)</v>
      </c>
      <c r="C125" s="39"/>
      <c r="D125" s="39"/>
      <c r="E125" s="423" t="b">
        <f>OR((LEFT('RFPR cover'!$C$8,2)=Data!G125),'RFPR cover'!$C$7=Data!G125)</f>
        <v>1</v>
      </c>
      <c r="F125" s="342">
        <f t="shared" si="20"/>
        <v>1</v>
      </c>
      <c r="G125" s="343" t="str">
        <f>B143</f>
        <v>GD</v>
      </c>
    </row>
    <row r="126" spans="1:14">
      <c r="A126" s="37"/>
      <c r="B126" s="143" t="str">
        <f t="shared" si="21"/>
        <v>Complaints metric ODI - (SpC 4.3)</v>
      </c>
      <c r="C126" s="39"/>
      <c r="D126" s="39"/>
      <c r="E126" s="423" t="b">
        <f>OR((LEFT('RFPR cover'!$C$8,2)=Data!G126),'RFPR cover'!$C$7=Data!G126)</f>
        <v>0</v>
      </c>
      <c r="F126" s="342">
        <f t="shared" si="20"/>
        <v>0</v>
      </c>
      <c r="G126" s="344" t="str">
        <f>B153</f>
        <v>NGGT (TO)</v>
      </c>
    </row>
    <row r="127" spans="1:14" ht="24.7">
      <c r="A127" s="37"/>
      <c r="B127" s="143" t="str">
        <f t="shared" si="21"/>
        <v>Unplanned Interruption Mean Duration ODI [NGN, SGN and WWU] - (SpC 4.5)</v>
      </c>
      <c r="C127" s="39"/>
      <c r="D127" s="39"/>
      <c r="E127" s="423" t="b">
        <f>OR((LEFT('RFPR cover'!$C$8,2)=Data!G127),'RFPR cover'!$C$7=Data!G127)</f>
        <v>0</v>
      </c>
      <c r="F127" s="342">
        <f t="shared" si="20"/>
        <v>0</v>
      </c>
      <c r="G127" s="344" t="str">
        <f>B163</f>
        <v>NGET (TO)</v>
      </c>
    </row>
    <row r="128" spans="1:14">
      <c r="A128" s="37"/>
      <c r="B128" s="143" t="str">
        <f t="shared" si="21"/>
        <v>Unplanned Interruption Mean Duration ODI [Cadent only]- (SpC 4.6)</v>
      </c>
      <c r="C128" s="39"/>
      <c r="D128" s="39"/>
      <c r="E128" s="423" t="b">
        <f>OR((LEFT('RFPR cover'!$C$8,2)=Data!G128),'RFPR cover'!$C$7=Data!G128)</f>
        <v>0</v>
      </c>
      <c r="F128" s="342">
        <f t="shared" ref="F128" si="22">IF(E128,1,0)</f>
        <v>0</v>
      </c>
      <c r="G128" s="344" t="s">
        <v>29</v>
      </c>
    </row>
    <row r="129" spans="1:7">
      <c r="A129" s="37"/>
      <c r="B129" s="143" t="str">
        <f t="shared" si="21"/>
        <v>Shrinkage Management ODI- (SpC 4.4)</v>
      </c>
      <c r="C129" s="39"/>
      <c r="D129" s="39"/>
      <c r="E129" s="423" t="b">
        <f>OR((LEFT('RFPR cover'!$C$8,2)=Data!G129),'RFPR cover'!$C$7=Data!G129)</f>
        <v>0</v>
      </c>
      <c r="F129" s="342">
        <f>IF(E129,1,0)</f>
        <v>0</v>
      </c>
      <c r="G129" s="344" t="str">
        <f>B173</f>
        <v>SPT</v>
      </c>
    </row>
    <row r="130" spans="1:7" ht="24.7">
      <c r="A130" s="37"/>
      <c r="B130" s="143" t="str">
        <f t="shared" si="21"/>
        <v>Collaborative streetworks ODI [Cadent Lon &amp; EoE, SGN So only]- (SpC 4.7)</v>
      </c>
      <c r="C130" s="39"/>
      <c r="D130" s="39"/>
      <c r="E130" s="345" t="b">
        <f>OR((LEFT('RFPR cover'!$C$8,2)=Data!G130),'RFPR cover'!$C$7=Data!G130)</f>
        <v>0</v>
      </c>
      <c r="F130" s="346">
        <f>IF(E130,1,0)</f>
        <v>0</v>
      </c>
      <c r="G130" s="347" t="s">
        <v>47</v>
      </c>
    </row>
    <row r="131" spans="1:7">
      <c r="A131" s="37"/>
      <c r="B131" s="143" t="str">
        <f>IF(SUM($F$124:$F$130)=0,"",CHOOSE(MATCH(TRUE,$E$124:$E$130,0),B140,B150,B160,B170,B180,E180)&amp;"")</f>
        <v/>
      </c>
      <c r="C131" s="39"/>
      <c r="D131" s="39"/>
    </row>
    <row r="132" spans="1:7">
      <c r="A132" s="37"/>
      <c r="B132" s="39"/>
      <c r="C132" s="39"/>
      <c r="D132" s="39"/>
      <c r="E132" s="12"/>
      <c r="F132" s="142"/>
    </row>
    <row r="133" spans="1:7">
      <c r="A133" s="37"/>
      <c r="B133" s="1244" t="s">
        <v>19</v>
      </c>
      <c r="C133" s="1245"/>
      <c r="D133" s="39"/>
      <c r="E133" s="39"/>
    </row>
    <row r="134" spans="1:7">
      <c r="A134" s="37"/>
      <c r="B134" s="1262" t="s">
        <v>93</v>
      </c>
      <c r="C134" s="1263"/>
      <c r="D134" s="39"/>
      <c r="E134" s="39"/>
    </row>
    <row r="135" spans="1:7">
      <c r="A135" s="37"/>
      <c r="B135" s="1252" t="s">
        <v>94</v>
      </c>
      <c r="C135" s="1259"/>
      <c r="D135" s="39"/>
      <c r="E135" s="39"/>
    </row>
    <row r="136" spans="1:7">
      <c r="A136" s="37"/>
      <c r="B136" s="1252" t="s">
        <v>95</v>
      </c>
      <c r="C136" s="1259"/>
      <c r="D136" s="39"/>
      <c r="E136" s="39"/>
    </row>
    <row r="137" spans="1:7">
      <c r="A137" s="37"/>
      <c r="B137" s="1252" t="s">
        <v>96</v>
      </c>
      <c r="C137" s="1259"/>
      <c r="D137" s="39"/>
      <c r="E137" s="39"/>
    </row>
    <row r="138" spans="1:7">
      <c r="A138" s="37"/>
      <c r="B138" s="1252" t="s">
        <v>97</v>
      </c>
      <c r="C138" s="1259"/>
      <c r="D138" s="39"/>
      <c r="E138" s="39"/>
    </row>
    <row r="139" spans="1:7">
      <c r="A139" s="37"/>
      <c r="B139" s="1252"/>
      <c r="C139" s="1259"/>
      <c r="D139" s="39"/>
      <c r="E139" s="39"/>
    </row>
    <row r="140" spans="1:7">
      <c r="A140" s="37"/>
      <c r="B140" s="1260"/>
      <c r="C140" s="1261"/>
      <c r="D140" s="39"/>
      <c r="E140" s="39"/>
    </row>
    <row r="141" spans="1:7">
      <c r="A141" s="37"/>
      <c r="B141" s="39"/>
      <c r="C141" s="39"/>
      <c r="D141" s="39"/>
      <c r="E141" s="39"/>
    </row>
    <row r="142" spans="1:7">
      <c r="A142" s="37"/>
      <c r="B142" s="39"/>
      <c r="C142" s="39"/>
      <c r="D142" s="39"/>
      <c r="E142" s="39"/>
    </row>
    <row r="143" spans="1:7">
      <c r="A143" s="37"/>
      <c r="B143" s="1244" t="s">
        <v>25</v>
      </c>
      <c r="C143" s="1245"/>
      <c r="D143" s="39"/>
      <c r="E143" s="39"/>
    </row>
    <row r="144" spans="1:7">
      <c r="A144" s="37"/>
      <c r="B144" s="1262" t="s">
        <v>98</v>
      </c>
      <c r="C144" s="1263"/>
      <c r="E144" s="39"/>
    </row>
    <row r="145" spans="1:9">
      <c r="A145" s="37"/>
      <c r="B145" s="1252" t="s">
        <v>99</v>
      </c>
      <c r="C145" s="1259"/>
      <c r="D145" s="39"/>
      <c r="E145" s="39"/>
    </row>
    <row r="146" spans="1:9" ht="25.5" customHeight="1">
      <c r="A146" s="37"/>
      <c r="B146" s="1252" t="s">
        <v>100</v>
      </c>
      <c r="C146" s="1259"/>
      <c r="D146" s="39"/>
      <c r="E146" s="39"/>
    </row>
    <row r="147" spans="1:9" ht="25.5" customHeight="1">
      <c r="A147" s="37"/>
      <c r="B147" s="1252" t="s">
        <v>101</v>
      </c>
      <c r="C147" s="1259"/>
      <c r="D147" s="39"/>
      <c r="E147" s="39"/>
    </row>
    <row r="148" spans="1:9" ht="14.25" customHeight="1">
      <c r="A148" s="37"/>
      <c r="B148" s="1252" t="s">
        <v>102</v>
      </c>
      <c r="C148" s="1259"/>
      <c r="D148" s="39"/>
      <c r="E148" s="39"/>
    </row>
    <row r="149" spans="1:9" ht="25.5" customHeight="1">
      <c r="A149" s="37"/>
      <c r="B149" s="1252" t="s">
        <v>103</v>
      </c>
      <c r="C149" s="1259"/>
      <c r="D149" s="39"/>
      <c r="E149" s="39"/>
    </row>
    <row r="150" spans="1:9">
      <c r="A150" s="37"/>
      <c r="B150" s="1260"/>
      <c r="C150" s="1261"/>
      <c r="D150" s="39"/>
      <c r="E150" s="39"/>
    </row>
    <row r="151" spans="1:9">
      <c r="A151" s="37"/>
      <c r="B151" s="39"/>
      <c r="C151" s="39"/>
      <c r="D151" s="39"/>
      <c r="E151" s="39"/>
    </row>
    <row r="152" spans="1:9">
      <c r="A152" s="37"/>
      <c r="B152" s="39"/>
      <c r="C152" s="39"/>
      <c r="D152" s="39"/>
      <c r="E152" s="39"/>
    </row>
    <row r="153" spans="1:9">
      <c r="A153" s="37"/>
      <c r="B153" s="1237" t="s">
        <v>85</v>
      </c>
      <c r="C153" s="1238"/>
      <c r="D153" s="39"/>
      <c r="E153" s="187"/>
      <c r="F153" s="14"/>
      <c r="G153" s="14"/>
      <c r="H153" s="14"/>
      <c r="I153" s="14"/>
    </row>
    <row r="154" spans="1:9">
      <c r="A154" s="37"/>
      <c r="B154" s="1262" t="s">
        <v>104</v>
      </c>
      <c r="C154" s="1263"/>
      <c r="E154" s="138"/>
      <c r="F154" s="138"/>
      <c r="G154" s="138"/>
      <c r="H154" s="138"/>
      <c r="I154" s="138"/>
    </row>
    <row r="155" spans="1:9">
      <c r="A155" s="37"/>
      <c r="B155" s="1252" t="s">
        <v>105</v>
      </c>
      <c r="C155" s="1259"/>
      <c r="E155" s="138"/>
      <c r="F155" s="138"/>
      <c r="G155" s="138"/>
      <c r="H155" s="138"/>
      <c r="I155" s="138"/>
    </row>
    <row r="156" spans="1:9">
      <c r="A156" s="37"/>
      <c r="B156" s="1252"/>
      <c r="C156" s="1259"/>
      <c r="D156" s="39"/>
      <c r="E156" s="138"/>
      <c r="F156" s="138"/>
      <c r="G156" s="138"/>
      <c r="H156" s="138"/>
      <c r="I156" s="138"/>
    </row>
    <row r="157" spans="1:9">
      <c r="A157" s="37"/>
      <c r="B157" s="1252"/>
      <c r="C157" s="1259"/>
      <c r="D157" s="39"/>
      <c r="E157" s="138"/>
      <c r="F157" s="138"/>
      <c r="G157" s="138"/>
      <c r="H157" s="138"/>
      <c r="I157" s="138"/>
    </row>
    <row r="158" spans="1:9">
      <c r="A158" s="37"/>
      <c r="B158" s="1252"/>
      <c r="C158" s="1259"/>
      <c r="D158" s="39"/>
      <c r="E158" s="138"/>
      <c r="F158" s="138"/>
      <c r="G158" s="138"/>
      <c r="H158" s="138"/>
      <c r="I158" s="138"/>
    </row>
    <row r="159" spans="1:9">
      <c r="A159" s="37"/>
      <c r="B159" s="1252"/>
      <c r="C159" s="1259"/>
      <c r="D159" s="39"/>
      <c r="E159" s="138"/>
      <c r="F159" s="138"/>
      <c r="G159" s="138"/>
      <c r="H159" s="138"/>
      <c r="I159" s="138"/>
    </row>
    <row r="160" spans="1:9" ht="12" customHeight="1">
      <c r="A160" s="37"/>
      <c r="B160" s="1260"/>
      <c r="C160" s="1261"/>
      <c r="D160" s="39"/>
      <c r="E160" s="138"/>
      <c r="F160" s="138"/>
      <c r="G160" s="138"/>
      <c r="H160" s="138"/>
      <c r="I160" s="138"/>
    </row>
    <row r="161" spans="1:9">
      <c r="A161" s="37"/>
      <c r="B161" s="39"/>
      <c r="C161" s="39"/>
      <c r="D161" s="39"/>
      <c r="E161" s="39"/>
    </row>
    <row r="162" spans="1:9">
      <c r="A162" s="37"/>
      <c r="B162" s="39"/>
      <c r="C162" s="39"/>
      <c r="D162" s="39"/>
      <c r="E162" s="39"/>
    </row>
    <row r="163" spans="1:9">
      <c r="A163" s="37"/>
      <c r="B163" s="1237" t="s">
        <v>88</v>
      </c>
      <c r="C163" s="1238"/>
      <c r="D163" s="39"/>
      <c r="E163" s="1237" t="s">
        <v>29</v>
      </c>
      <c r="F163" s="1237"/>
      <c r="G163" s="1237"/>
      <c r="H163" s="1238"/>
      <c r="I163" s="14"/>
    </row>
    <row r="164" spans="1:9" ht="13.5" customHeight="1">
      <c r="A164" s="37"/>
      <c r="B164" s="1262" t="s">
        <v>106</v>
      </c>
      <c r="C164" s="1263"/>
      <c r="E164" s="1244" t="s">
        <v>107</v>
      </c>
      <c r="F164" s="1255"/>
      <c r="G164" s="1255"/>
      <c r="H164" s="1256"/>
      <c r="I164" s="138"/>
    </row>
    <row r="165" spans="1:9" ht="12.75" customHeight="1">
      <c r="A165" s="37"/>
      <c r="B165" s="1252" t="s">
        <v>108</v>
      </c>
      <c r="C165" s="1259"/>
      <c r="E165" s="1257"/>
      <c r="F165" s="1257"/>
      <c r="G165" s="1257"/>
      <c r="H165" s="1258"/>
      <c r="I165" s="138"/>
    </row>
    <row r="166" spans="1:9" ht="13.5" customHeight="1">
      <c r="A166" s="37"/>
      <c r="B166" s="1252" t="s">
        <v>109</v>
      </c>
      <c r="C166" s="1259"/>
      <c r="E166" s="1235"/>
      <c r="F166" s="1235"/>
      <c r="G166" s="1235"/>
      <c r="H166" s="1236"/>
      <c r="I166" s="138"/>
    </row>
    <row r="167" spans="1:9" ht="12.75" customHeight="1">
      <c r="A167" s="37"/>
      <c r="B167" s="1252" t="s">
        <v>110</v>
      </c>
      <c r="C167" s="1259"/>
      <c r="E167" s="1235"/>
      <c r="F167" s="1235"/>
      <c r="G167" s="1235"/>
      <c r="H167" s="1236"/>
      <c r="I167" s="138"/>
    </row>
    <row r="168" spans="1:9" ht="13.5" customHeight="1">
      <c r="A168" s="37"/>
      <c r="B168" s="1252" t="s">
        <v>111</v>
      </c>
      <c r="C168" s="1259"/>
      <c r="E168" s="1235"/>
      <c r="F168" s="1235"/>
      <c r="G168" s="1235"/>
      <c r="H168" s="1236"/>
      <c r="I168" s="138"/>
    </row>
    <row r="169" spans="1:9" ht="13.5" customHeight="1">
      <c r="A169" s="37"/>
      <c r="B169" s="1252" t="s">
        <v>112</v>
      </c>
      <c r="C169" s="1259"/>
      <c r="E169" s="1235"/>
      <c r="F169" s="1235"/>
      <c r="G169" s="1235"/>
      <c r="H169" s="1236"/>
      <c r="I169" s="138"/>
    </row>
    <row r="170" spans="1:9">
      <c r="A170" s="37"/>
      <c r="B170" s="1260"/>
      <c r="C170" s="1261"/>
      <c r="D170" s="39"/>
      <c r="E170" s="1254"/>
      <c r="F170" s="1254"/>
      <c r="G170" s="138"/>
      <c r="H170" s="138"/>
      <c r="I170" s="138"/>
    </row>
    <row r="171" spans="1:9" ht="12.75" customHeight="1">
      <c r="A171" s="37"/>
      <c r="B171" s="37"/>
      <c r="C171" s="37"/>
      <c r="D171" s="39"/>
      <c r="E171" s="138"/>
      <c r="F171" s="138"/>
      <c r="G171" s="138"/>
      <c r="H171" s="138"/>
      <c r="I171" s="138"/>
    </row>
    <row r="172" spans="1:9" ht="12.75" customHeight="1">
      <c r="A172" s="37"/>
      <c r="B172" s="37"/>
      <c r="C172" s="37"/>
      <c r="D172" s="39"/>
      <c r="E172" s="138"/>
      <c r="F172" s="138"/>
      <c r="G172" s="138"/>
      <c r="H172" s="138"/>
      <c r="I172" s="138"/>
    </row>
    <row r="173" spans="1:9" ht="12.75" customHeight="1">
      <c r="A173" s="37"/>
      <c r="B173" s="1237" t="s">
        <v>89</v>
      </c>
      <c r="C173" s="1238"/>
      <c r="D173" s="39"/>
      <c r="E173" s="1237" t="s">
        <v>47</v>
      </c>
      <c r="F173" s="1237"/>
      <c r="G173" s="1237"/>
      <c r="H173" s="1238"/>
      <c r="I173" s="190"/>
    </row>
    <row r="174" spans="1:9" ht="12.75" customHeight="1">
      <c r="A174" s="37"/>
      <c r="B174" s="1262" t="s">
        <v>106</v>
      </c>
      <c r="C174" s="1264"/>
      <c r="E174" s="1249" t="s">
        <v>106</v>
      </c>
      <c r="F174" s="1250"/>
      <c r="G174" s="1250"/>
      <c r="H174" s="1251"/>
      <c r="I174" s="138"/>
    </row>
    <row r="175" spans="1:9" ht="12.75" customHeight="1">
      <c r="A175" s="37"/>
      <c r="B175" s="1252" t="s">
        <v>108</v>
      </c>
      <c r="C175" s="1253"/>
      <c r="E175" s="1249" t="s">
        <v>108</v>
      </c>
      <c r="F175" s="1250"/>
      <c r="G175" s="1250"/>
      <c r="H175" s="1251"/>
      <c r="I175" s="138"/>
    </row>
    <row r="176" spans="1:9" ht="12.75" customHeight="1">
      <c r="A176" s="37"/>
      <c r="B176" s="1252" t="s">
        <v>109</v>
      </c>
      <c r="C176" s="1253"/>
      <c r="E176" s="1249" t="s">
        <v>109</v>
      </c>
      <c r="F176" s="1250"/>
      <c r="G176" s="1250"/>
      <c r="H176" s="1251"/>
      <c r="I176" s="138"/>
    </row>
    <row r="177" spans="1:13" ht="12.75" customHeight="1">
      <c r="A177" s="37"/>
      <c r="B177" s="1252" t="s">
        <v>110</v>
      </c>
      <c r="C177" s="1253"/>
      <c r="E177" s="1249" t="s">
        <v>110</v>
      </c>
      <c r="F177" s="1250"/>
      <c r="G177" s="1250"/>
      <c r="H177" s="1251"/>
      <c r="I177" s="138"/>
    </row>
    <row r="178" spans="1:13" ht="12.75" customHeight="1">
      <c r="A178" s="37"/>
      <c r="B178" s="1252" t="s">
        <v>111</v>
      </c>
      <c r="C178" s="1253"/>
      <c r="E178" s="1249" t="s">
        <v>111</v>
      </c>
      <c r="F178" s="1250"/>
      <c r="G178" s="1250"/>
      <c r="H178" s="1251"/>
      <c r="I178" s="138"/>
    </row>
    <row r="179" spans="1:13" ht="12.75" customHeight="1">
      <c r="A179" s="37"/>
      <c r="B179" s="1252" t="s">
        <v>112</v>
      </c>
      <c r="C179" s="1253"/>
      <c r="E179" s="1249" t="s">
        <v>112</v>
      </c>
      <c r="F179" s="1250"/>
      <c r="G179" s="1250"/>
      <c r="H179" s="1251"/>
      <c r="I179" s="138"/>
    </row>
    <row r="180" spans="1:13">
      <c r="A180" s="37"/>
      <c r="B180" s="1239"/>
      <c r="C180" s="1240"/>
      <c r="D180" s="39"/>
      <c r="E180" s="1239"/>
      <c r="F180" s="1239"/>
      <c r="G180" s="1239"/>
      <c r="H180" s="1240"/>
      <c r="I180" s="138"/>
    </row>
    <row r="181" spans="1:13" ht="12.6" customHeight="1">
      <c r="A181" s="37"/>
      <c r="D181" s="39"/>
      <c r="E181" s="39"/>
    </row>
    <row r="182" spans="1:13" ht="12.6" customHeight="1">
      <c r="A182" s="37"/>
      <c r="B182" s="98" t="s">
        <v>113</v>
      </c>
      <c r="C182" s="99"/>
      <c r="D182" s="99"/>
      <c r="E182" s="99"/>
      <c r="F182" s="97"/>
      <c r="G182" s="97"/>
      <c r="H182" s="97"/>
      <c r="I182" s="97"/>
      <c r="J182" s="97"/>
      <c r="K182" s="97"/>
      <c r="L182" s="97"/>
      <c r="M182" s="97"/>
    </row>
    <row r="183" spans="1:13" ht="12.6" customHeight="1">
      <c r="A183" s="37"/>
      <c r="B183" s="139"/>
      <c r="C183" s="140"/>
      <c r="D183" s="140"/>
      <c r="E183" s="140"/>
      <c r="F183" s="141"/>
      <c r="G183" s="141"/>
      <c r="H183" s="141"/>
      <c r="I183" s="141"/>
    </row>
    <row r="184" spans="1:13" ht="12.6" customHeight="1">
      <c r="A184" s="37"/>
      <c r="B184" s="323" t="s">
        <v>114</v>
      </c>
      <c r="C184" s="39"/>
      <c r="D184" s="39"/>
      <c r="E184" s="352" t="b">
        <f>OR((LEFT('RFPR cover'!$C$8,2)=Data!F184),'RFPR cover'!$C$7=Data!F184)</f>
        <v>0</v>
      </c>
      <c r="F184" s="353" t="str">
        <f>B195</f>
        <v>ED</v>
      </c>
    </row>
    <row r="185" spans="1:13" ht="19.5" customHeight="1">
      <c r="A185" s="37"/>
      <c r="B185" s="143" t="str">
        <f>CHOOSE(MATCH(TRUE,$E$184:$E$192,0),B196,B207,B218,E218,B229,E229,B240,E240,B251)&amp;""</f>
        <v>RIIO-2 network innovation allowance  - (SpC 5.2)</v>
      </c>
      <c r="C185" s="39"/>
      <c r="D185" s="39"/>
      <c r="E185" s="423" t="b">
        <f>OR((LEFT('RFPR cover'!$C$8,2)=Data!F185),'RFPR cover'!$C$7=Data!F185)</f>
        <v>1</v>
      </c>
      <c r="F185" s="343" t="str">
        <f>B206</f>
        <v>GD</v>
      </c>
    </row>
    <row r="186" spans="1:13" ht="22.5" customHeight="1">
      <c r="A186" s="37"/>
      <c r="B186" s="143" t="str">
        <f t="shared" ref="B186:B192" si="23">CHOOSE(MATCH(TRUE,$E$184:$E$192,0),B197,B208,B219,E219,B230,E230,B241,E241,B252)&amp;""</f>
        <v>Carry-over Network Innovation Allowance - (SpC 5.3)</v>
      </c>
      <c r="C186" s="39"/>
      <c r="D186" s="39"/>
      <c r="E186" s="423" t="b">
        <f>OR((LEFT('RFPR cover'!$C$8,2)=Data!F186),'RFPR cover'!$C$7=Data!F186)</f>
        <v>0</v>
      </c>
      <c r="F186" s="344" t="str">
        <f>B217</f>
        <v>NGGT (TO)</v>
      </c>
    </row>
    <row r="187" spans="1:13" ht="19.5" customHeight="1">
      <c r="A187" s="37"/>
      <c r="B187" s="143" t="str">
        <f t="shared" si="23"/>
        <v/>
      </c>
      <c r="C187" s="39"/>
      <c r="D187" s="39"/>
      <c r="E187" s="423" t="b">
        <f>OR((LEFT('RFPR cover'!$C$8,2)=Data!F187),'RFPR cover'!$C$7=Data!F187)</f>
        <v>0</v>
      </c>
      <c r="F187" s="344" t="str">
        <f>E217</f>
        <v>NGGT (SO)</v>
      </c>
    </row>
    <row r="188" spans="1:13" ht="19.5" customHeight="1">
      <c r="A188" s="37"/>
      <c r="B188" s="143" t="str">
        <f t="shared" si="23"/>
        <v/>
      </c>
      <c r="C188" s="39"/>
      <c r="D188" s="39"/>
      <c r="E188" s="423" t="b">
        <f>OR((LEFT('RFPR cover'!$C$8,2)=Data!F188),'RFPR cover'!$C$7=Data!F188)</f>
        <v>0</v>
      </c>
      <c r="F188" s="344" t="str">
        <f>B228</f>
        <v>NGGT (TO+SO)</v>
      </c>
    </row>
    <row r="189" spans="1:13" ht="19.5" customHeight="1">
      <c r="A189" s="37"/>
      <c r="B189" s="143" t="str">
        <f t="shared" si="23"/>
        <v/>
      </c>
      <c r="C189" s="39"/>
      <c r="D189" s="39"/>
      <c r="E189" s="423" t="b">
        <f>OR((LEFT('RFPR cover'!$C$8,2)=Data!F189),'RFPR cover'!$C$7=Data!F189)</f>
        <v>0</v>
      </c>
      <c r="F189" s="344" t="str">
        <f>E228</f>
        <v>NGET (TO)</v>
      </c>
    </row>
    <row r="190" spans="1:13" ht="19.5" customHeight="1">
      <c r="A190" s="37"/>
      <c r="B190" s="143" t="str">
        <f t="shared" si="23"/>
        <v/>
      </c>
      <c r="C190" s="39"/>
      <c r="D190" s="39"/>
      <c r="E190" s="423" t="b">
        <f>OR((LEFT('RFPR cover'!$C$8,2)=Data!F190),'RFPR cover'!$C$7=Data!F190)</f>
        <v>0</v>
      </c>
      <c r="F190" s="344" t="str">
        <f>B239</f>
        <v>ESO</v>
      </c>
    </row>
    <row r="191" spans="1:13" ht="19.5" customHeight="1">
      <c r="A191" s="37"/>
      <c r="B191" s="143" t="str">
        <f t="shared" si="23"/>
        <v/>
      </c>
      <c r="C191" s="39"/>
      <c r="D191" s="39"/>
      <c r="E191" s="423" t="b">
        <f>OR((LEFT('RFPR cover'!$C$8,2)=Data!F191),'RFPR cover'!$C$7=Data!F191)</f>
        <v>0</v>
      </c>
      <c r="F191" s="344" t="str">
        <f>E239</f>
        <v>SPT</v>
      </c>
    </row>
    <row r="192" spans="1:13" ht="19.5" customHeight="1">
      <c r="A192" s="37"/>
      <c r="B192" s="143" t="str">
        <f t="shared" si="23"/>
        <v/>
      </c>
      <c r="C192" s="39"/>
      <c r="D192" s="39"/>
      <c r="E192" s="345" t="b">
        <f>OR((LEFT('RFPR cover'!$C$8,2)=Data!F192),'RFPR cover'!$C$7=Data!F192)</f>
        <v>0</v>
      </c>
      <c r="F192" s="347" t="str">
        <f>B250</f>
        <v>SHET</v>
      </c>
      <c r="G192" s="39"/>
      <c r="H192" s="39"/>
      <c r="I192" s="39"/>
    </row>
    <row r="193" spans="1:6" ht="12.75" customHeight="1">
      <c r="A193" s="37"/>
      <c r="B193" s="39"/>
      <c r="C193" s="39"/>
      <c r="D193" s="39"/>
      <c r="E193" s="12"/>
      <c r="F193" s="142"/>
    </row>
    <row r="194" spans="1:6" ht="12.75" customHeight="1">
      <c r="A194" s="37"/>
      <c r="B194" s="188"/>
      <c r="C194" s="188"/>
      <c r="D194" s="39"/>
      <c r="E194" s="12"/>
      <c r="F194" s="142"/>
    </row>
    <row r="195" spans="1:6" ht="12.75" customHeight="1">
      <c r="A195" s="37"/>
      <c r="B195" s="1268" t="s">
        <v>19</v>
      </c>
      <c r="C195" s="1269"/>
      <c r="D195" s="39"/>
      <c r="E195" s="39"/>
    </row>
    <row r="196" spans="1:6" ht="12.75" customHeight="1">
      <c r="A196" s="37"/>
      <c r="B196" s="1246"/>
      <c r="C196" s="1247"/>
      <c r="D196" s="39"/>
      <c r="E196" s="39"/>
    </row>
    <row r="197" spans="1:6" ht="12.75" customHeight="1">
      <c r="A197" s="37"/>
      <c r="B197" s="1235"/>
      <c r="C197" s="1236"/>
      <c r="D197" s="39"/>
      <c r="E197" s="39"/>
    </row>
    <row r="198" spans="1:6" ht="12.75" customHeight="1">
      <c r="A198" s="37"/>
      <c r="B198" s="1235"/>
      <c r="C198" s="1236"/>
      <c r="D198" s="39"/>
      <c r="E198" s="39"/>
    </row>
    <row r="199" spans="1:6" ht="12.75" customHeight="1">
      <c r="A199" s="37"/>
      <c r="B199" s="1235"/>
      <c r="C199" s="1236"/>
      <c r="D199" s="39"/>
      <c r="E199" s="39"/>
    </row>
    <row r="200" spans="1:6" ht="12.75" customHeight="1">
      <c r="A200" s="37"/>
      <c r="B200" s="1235"/>
      <c r="C200" s="1236"/>
      <c r="D200" s="39"/>
      <c r="E200" s="39"/>
    </row>
    <row r="201" spans="1:6" ht="12.75" customHeight="1">
      <c r="A201" s="37"/>
      <c r="B201" s="1235"/>
      <c r="C201" s="1236"/>
      <c r="D201" s="39"/>
      <c r="E201" s="39"/>
    </row>
    <row r="202" spans="1:6">
      <c r="A202" s="37"/>
      <c r="B202" s="1235"/>
      <c r="C202" s="1236"/>
      <c r="D202" s="39"/>
      <c r="E202" s="39"/>
    </row>
    <row r="203" spans="1:6" ht="12.75" customHeight="1">
      <c r="A203" s="37"/>
      <c r="B203" s="1239"/>
      <c r="C203" s="1240"/>
      <c r="D203" s="39"/>
      <c r="E203" s="39"/>
    </row>
    <row r="204" spans="1:6" ht="12.75" customHeight="1">
      <c r="A204" s="37"/>
      <c r="B204" s="39"/>
      <c r="C204" s="39"/>
      <c r="D204" s="39"/>
      <c r="E204" s="39"/>
    </row>
    <row r="205" spans="1:6" ht="12.75" customHeight="1">
      <c r="A205" s="37"/>
      <c r="B205" s="39"/>
      <c r="C205" s="39"/>
      <c r="D205" s="39"/>
      <c r="E205" s="39"/>
    </row>
    <row r="206" spans="1:6" ht="12.75" customHeight="1">
      <c r="A206" s="37"/>
      <c r="B206" s="1244" t="s">
        <v>25</v>
      </c>
      <c r="C206" s="1245"/>
      <c r="D206" s="39"/>
      <c r="E206" s="39"/>
    </row>
    <row r="207" spans="1:6" ht="12.75" customHeight="1">
      <c r="A207" s="37"/>
      <c r="B207" s="1246" t="s">
        <v>115</v>
      </c>
      <c r="C207" s="1247"/>
      <c r="E207" s="39"/>
    </row>
    <row r="208" spans="1:6" ht="12.75" customHeight="1">
      <c r="A208" s="37"/>
      <c r="B208" s="1235" t="s">
        <v>116</v>
      </c>
      <c r="C208" s="1236"/>
      <c r="D208" s="39"/>
      <c r="E208" s="39"/>
    </row>
    <row r="209" spans="1:9" ht="12.75" customHeight="1">
      <c r="A209" s="37"/>
      <c r="B209" s="1235"/>
      <c r="C209" s="1236"/>
      <c r="D209" s="39"/>
      <c r="E209" s="39"/>
    </row>
    <row r="210" spans="1:9" ht="12.75" customHeight="1">
      <c r="A210" s="37"/>
      <c r="B210" s="1235"/>
      <c r="C210" s="1236"/>
      <c r="D210" s="39"/>
      <c r="E210" s="39"/>
    </row>
    <row r="211" spans="1:9">
      <c r="A211" s="37"/>
      <c r="B211" s="1235"/>
      <c r="C211" s="1236"/>
      <c r="D211" s="39"/>
      <c r="E211" s="39"/>
    </row>
    <row r="212" spans="1:9">
      <c r="A212" s="37"/>
      <c r="B212" s="1235"/>
      <c r="C212" s="1236"/>
      <c r="D212" s="39"/>
      <c r="E212" s="39"/>
    </row>
    <row r="213" spans="1:9" ht="12.75" customHeight="1">
      <c r="A213" s="37"/>
      <c r="B213" s="1235"/>
      <c r="C213" s="1236"/>
      <c r="D213" s="39"/>
      <c r="E213" s="39"/>
    </row>
    <row r="214" spans="1:9">
      <c r="A214" s="37"/>
      <c r="B214" s="1239"/>
      <c r="C214" s="1240"/>
      <c r="D214" s="39"/>
      <c r="E214" s="39"/>
    </row>
    <row r="215" spans="1:9">
      <c r="A215" s="37"/>
      <c r="B215" s="39"/>
      <c r="C215" s="39"/>
      <c r="D215" s="39"/>
      <c r="E215" s="39"/>
    </row>
    <row r="216" spans="1:9">
      <c r="A216" s="37"/>
      <c r="B216" s="39"/>
      <c r="C216" s="39"/>
      <c r="D216" s="39"/>
      <c r="E216" s="39"/>
    </row>
    <row r="217" spans="1:9">
      <c r="A217" s="37"/>
      <c r="B217" s="246" t="str">
        <f>B78</f>
        <v>NGGT (TO)</v>
      </c>
      <c r="C217" s="221"/>
      <c r="D217" s="39"/>
      <c r="E217" s="1237" t="str">
        <f>B79</f>
        <v>NGGT (SO)</v>
      </c>
      <c r="F217" s="1237"/>
      <c r="G217" s="1237"/>
      <c r="H217" s="1237"/>
      <c r="I217" s="1238"/>
    </row>
    <row r="218" spans="1:9">
      <c r="A218" s="37"/>
      <c r="B218" s="1246" t="s">
        <v>117</v>
      </c>
      <c r="C218" s="1247"/>
      <c r="E218" s="1270"/>
      <c r="F218" s="1271"/>
      <c r="G218" s="1271"/>
      <c r="H218" s="1271"/>
      <c r="I218" s="1272"/>
    </row>
    <row r="219" spans="1:9" ht="25.5" customHeight="1">
      <c r="A219" s="37"/>
      <c r="B219" s="1235" t="s">
        <v>118</v>
      </c>
      <c r="C219" s="1236"/>
      <c r="E219" s="1270"/>
      <c r="F219" s="1271"/>
      <c r="G219" s="1271"/>
      <c r="H219" s="1271"/>
      <c r="I219" s="1272"/>
    </row>
    <row r="220" spans="1:9" ht="13.5" customHeight="1">
      <c r="A220" s="37"/>
      <c r="B220" s="1235" t="s">
        <v>119</v>
      </c>
      <c r="C220" s="1236"/>
      <c r="D220" s="39"/>
      <c r="E220" s="1270"/>
      <c r="F220" s="1271"/>
      <c r="G220" s="1271"/>
      <c r="H220" s="1271"/>
      <c r="I220" s="1272"/>
    </row>
    <row r="221" spans="1:9" ht="13.5" customHeight="1">
      <c r="A221" s="37"/>
      <c r="B221" s="1235"/>
      <c r="C221" s="1236"/>
      <c r="D221" s="39"/>
      <c r="E221" s="1241" t="s">
        <v>120</v>
      </c>
      <c r="F221" s="1242"/>
      <c r="G221" s="1242"/>
      <c r="H221" s="1242"/>
      <c r="I221" s="1243"/>
    </row>
    <row r="222" spans="1:9" ht="13.5" customHeight="1">
      <c r="A222" s="37"/>
      <c r="B222" s="247"/>
      <c r="C222" s="222"/>
      <c r="D222" s="39"/>
      <c r="E222" s="1241" t="s">
        <v>121</v>
      </c>
      <c r="F222" s="1242"/>
      <c r="G222" s="1242"/>
      <c r="H222" s="1242"/>
      <c r="I222" s="1243"/>
    </row>
    <row r="223" spans="1:9" ht="13.5" customHeight="1">
      <c r="A223" s="37"/>
      <c r="B223" s="1235"/>
      <c r="C223" s="1236"/>
      <c r="D223" s="39"/>
      <c r="E223" s="1241" t="s">
        <v>122</v>
      </c>
      <c r="F223" s="1242"/>
      <c r="G223" s="1242"/>
      <c r="H223" s="1242"/>
      <c r="I223" s="1243"/>
    </row>
    <row r="224" spans="1:9" ht="13.5" customHeight="1">
      <c r="A224" s="37"/>
      <c r="B224" s="1235"/>
      <c r="C224" s="1236"/>
      <c r="D224" s="39"/>
      <c r="E224" s="1273" t="s">
        <v>123</v>
      </c>
      <c r="F224" s="1274"/>
      <c r="G224" s="1274"/>
      <c r="H224" s="1274"/>
      <c r="I224" s="1275"/>
    </row>
    <row r="225" spans="1:9" ht="12.75" customHeight="1">
      <c r="A225" s="37"/>
      <c r="B225" s="1239"/>
      <c r="C225" s="1240"/>
      <c r="D225" s="39"/>
      <c r="E225" s="1276" t="s">
        <v>124</v>
      </c>
      <c r="F225" s="1277"/>
      <c r="G225" s="1277"/>
      <c r="H225" s="1277"/>
      <c r="I225" s="1278"/>
    </row>
    <row r="226" spans="1:9">
      <c r="A226" s="37"/>
      <c r="B226" s="39"/>
      <c r="C226" s="39"/>
      <c r="D226" s="39"/>
      <c r="E226" s="39"/>
    </row>
    <row r="227" spans="1:9" ht="12.75" customHeight="1">
      <c r="A227" s="37"/>
      <c r="B227" s="39"/>
      <c r="C227" s="39"/>
      <c r="D227" s="39"/>
      <c r="E227" s="39"/>
    </row>
    <row r="228" spans="1:9">
      <c r="A228" s="37"/>
      <c r="B228" s="1237" t="s">
        <v>87</v>
      </c>
      <c r="C228" s="1238"/>
      <c r="D228" s="39"/>
      <c r="E228" s="1237" t="s">
        <v>88</v>
      </c>
      <c r="F228" s="1237"/>
      <c r="G228" s="1237"/>
      <c r="H228" s="1237"/>
      <c r="I228" s="1238"/>
    </row>
    <row r="229" spans="1:9" ht="12.75" customHeight="1">
      <c r="A229" s="37"/>
      <c r="B229" s="1246" t="s">
        <v>117</v>
      </c>
      <c r="C229" s="1247"/>
      <c r="E229" s="1246" t="s">
        <v>117</v>
      </c>
      <c r="F229" s="1246"/>
      <c r="G229" s="1246"/>
      <c r="H229" s="1246"/>
      <c r="I229" s="1247"/>
    </row>
    <row r="230" spans="1:9" ht="12.75" customHeight="1">
      <c r="A230" s="37"/>
      <c r="B230" s="1235" t="s">
        <v>118</v>
      </c>
      <c r="C230" s="1236"/>
      <c r="E230" s="1235" t="s">
        <v>125</v>
      </c>
      <c r="F230" s="1235"/>
      <c r="G230" s="1235"/>
      <c r="H230" s="1235"/>
      <c r="I230" s="1236"/>
    </row>
    <row r="231" spans="1:9" ht="12.75" customHeight="1">
      <c r="A231" s="37"/>
      <c r="B231" s="1235" t="s">
        <v>119</v>
      </c>
      <c r="C231" s="1236"/>
      <c r="E231" s="1235"/>
      <c r="F231" s="1235"/>
      <c r="G231" s="1235"/>
      <c r="H231" s="1235"/>
      <c r="I231" s="1236"/>
    </row>
    <row r="232" spans="1:9" ht="24" customHeight="1">
      <c r="A232" s="37"/>
      <c r="B232" s="1235" t="s">
        <v>126</v>
      </c>
      <c r="C232" s="1236"/>
      <c r="E232" s="1235"/>
      <c r="F232" s="1235"/>
      <c r="G232" s="1235"/>
      <c r="H232" s="1235"/>
      <c r="I232" s="1236"/>
    </row>
    <row r="233" spans="1:9">
      <c r="A233" s="37"/>
      <c r="B233" s="1235" t="s">
        <v>121</v>
      </c>
      <c r="C233" s="1236"/>
      <c r="E233" s="1235"/>
      <c r="F233" s="1235"/>
      <c r="G233" s="1235"/>
      <c r="H233" s="1235"/>
      <c r="I233" s="1236"/>
    </row>
    <row r="234" spans="1:9">
      <c r="A234" s="37"/>
      <c r="B234" s="1235" t="s">
        <v>122</v>
      </c>
      <c r="C234" s="1236"/>
      <c r="E234" s="1235"/>
      <c r="F234" s="1235"/>
      <c r="G234" s="1235"/>
      <c r="H234" s="1235"/>
      <c r="I234" s="1236"/>
    </row>
    <row r="235" spans="1:9" ht="12.75" customHeight="1">
      <c r="A235" s="37"/>
      <c r="B235" s="1235" t="s">
        <v>127</v>
      </c>
      <c r="C235" s="1236"/>
      <c r="E235" s="1235"/>
      <c r="F235" s="1235"/>
      <c r="G235" s="1235"/>
      <c r="H235" s="1235"/>
      <c r="I235" s="1236"/>
    </row>
    <row r="236" spans="1:9" ht="12.75" customHeight="1">
      <c r="A236" s="37"/>
      <c r="B236" s="1239" t="s">
        <v>124</v>
      </c>
      <c r="C236" s="1240"/>
      <c r="D236" s="39"/>
      <c r="E236" s="1239"/>
      <c r="F236" s="1239"/>
      <c r="G236" s="1239"/>
      <c r="H236" s="1239"/>
      <c r="I236" s="1240"/>
    </row>
    <row r="237" spans="1:9" ht="12.75" customHeight="1">
      <c r="A237" s="37"/>
      <c r="B237" s="37"/>
      <c r="C237" s="37"/>
      <c r="D237" s="39"/>
      <c r="E237" s="138"/>
      <c r="F237" s="138"/>
      <c r="G237" s="138"/>
      <c r="H237" s="138"/>
      <c r="I237" s="138"/>
    </row>
    <row r="238" spans="1:9" ht="12.75" customHeight="1">
      <c r="A238" s="37"/>
      <c r="B238" s="37"/>
      <c r="C238" s="37"/>
      <c r="D238" s="39"/>
      <c r="E238" s="138"/>
      <c r="F238" s="138"/>
      <c r="G238" s="138"/>
      <c r="H238" s="138"/>
      <c r="I238" s="138"/>
    </row>
    <row r="239" spans="1:9" ht="12.75" customHeight="1">
      <c r="A239" s="37"/>
      <c r="B239" s="1237" t="s">
        <v>29</v>
      </c>
      <c r="C239" s="1238"/>
      <c r="D239" s="39"/>
      <c r="E239" s="1237" t="s">
        <v>89</v>
      </c>
      <c r="F239" s="1237"/>
      <c r="G239" s="1237"/>
      <c r="H239" s="1237"/>
      <c r="I239" s="1238"/>
    </row>
    <row r="240" spans="1:9" ht="12.75" customHeight="1">
      <c r="A240" s="37"/>
      <c r="B240" s="1246" t="s">
        <v>128</v>
      </c>
      <c r="C240" s="1247"/>
      <c r="E240" s="1246" t="s">
        <v>129</v>
      </c>
      <c r="F240" s="1246"/>
      <c r="G240" s="1246"/>
      <c r="H240" s="1246"/>
      <c r="I240" s="1247"/>
    </row>
    <row r="241" spans="1:9" ht="25.5" customHeight="1">
      <c r="A241" s="37"/>
      <c r="B241" s="1235" t="s">
        <v>130</v>
      </c>
      <c r="C241" s="1236"/>
      <c r="E241" s="1235" t="s">
        <v>116</v>
      </c>
      <c r="F241" s="1235"/>
      <c r="G241" s="1235"/>
      <c r="H241" s="1235"/>
      <c r="I241" s="1236"/>
    </row>
    <row r="242" spans="1:9" ht="25.5" customHeight="1">
      <c r="A242" s="37"/>
      <c r="B242" s="1235"/>
      <c r="C242" s="1236"/>
      <c r="E242" s="1235"/>
      <c r="F242" s="1235"/>
      <c r="G242" s="1235"/>
      <c r="H242" s="1235"/>
      <c r="I242" s="1236"/>
    </row>
    <row r="243" spans="1:9" ht="25.5" customHeight="1">
      <c r="A243" s="37"/>
      <c r="B243" s="1235"/>
      <c r="C243" s="1236"/>
      <c r="E243" s="1235"/>
      <c r="F243" s="1235"/>
      <c r="G243" s="1235"/>
      <c r="H243" s="1235"/>
      <c r="I243" s="1236"/>
    </row>
    <row r="244" spans="1:9" ht="25.5" customHeight="1">
      <c r="A244" s="37"/>
      <c r="B244" s="1235"/>
      <c r="C244" s="1236"/>
      <c r="E244" s="1235"/>
      <c r="F244" s="1235"/>
      <c r="G244" s="1235"/>
      <c r="H244" s="1235"/>
      <c r="I244" s="1236"/>
    </row>
    <row r="245" spans="1:9" ht="25.5" customHeight="1">
      <c r="A245" s="37"/>
      <c r="B245" s="1235"/>
      <c r="C245" s="1236"/>
      <c r="E245" s="1235"/>
      <c r="F245" s="1235"/>
      <c r="G245" s="1235"/>
      <c r="H245" s="1235"/>
      <c r="I245" s="1236"/>
    </row>
    <row r="246" spans="1:9">
      <c r="A246" s="37"/>
      <c r="B246" s="1235"/>
      <c r="C246" s="1236"/>
      <c r="E246" s="1235"/>
      <c r="F246" s="1235"/>
      <c r="G246" s="1235"/>
      <c r="H246" s="1235"/>
      <c r="I246" s="1236"/>
    </row>
    <row r="247" spans="1:9">
      <c r="A247" s="37"/>
      <c r="B247" s="1239"/>
      <c r="C247" s="1240"/>
      <c r="D247" s="39"/>
      <c r="E247" s="1239"/>
      <c r="F247" s="1239"/>
      <c r="G247" s="1239"/>
      <c r="H247" s="1239"/>
      <c r="I247" s="1240"/>
    </row>
    <row r="248" spans="1:9">
      <c r="A248" s="37"/>
      <c r="D248" s="39"/>
      <c r="E248" s="39"/>
    </row>
    <row r="249" spans="1:9">
      <c r="A249" s="37"/>
      <c r="D249" s="39"/>
      <c r="E249" s="39"/>
    </row>
    <row r="250" spans="1:9">
      <c r="A250" s="37"/>
      <c r="B250" s="1237" t="s">
        <v>47</v>
      </c>
      <c r="C250" s="1238"/>
      <c r="D250" s="39"/>
      <c r="E250" s="39"/>
    </row>
    <row r="251" spans="1:9">
      <c r="A251" s="37"/>
      <c r="B251" s="1235" t="s">
        <v>129</v>
      </c>
      <c r="C251" s="1236"/>
      <c r="D251" s="1248"/>
      <c r="E251" s="1248"/>
    </row>
    <row r="252" spans="1:9">
      <c r="A252" s="37"/>
      <c r="B252" s="1235" t="s">
        <v>116</v>
      </c>
      <c r="C252" s="1236"/>
      <c r="D252" s="1248"/>
      <c r="E252" s="1248"/>
    </row>
    <row r="253" spans="1:9">
      <c r="A253" s="37"/>
      <c r="B253" s="1235"/>
      <c r="C253" s="1236"/>
      <c r="D253" s="39"/>
      <c r="E253" s="39"/>
    </row>
    <row r="254" spans="1:9">
      <c r="A254" s="37"/>
      <c r="B254" s="1235"/>
      <c r="C254" s="1236"/>
      <c r="D254" s="39"/>
      <c r="E254" s="39"/>
    </row>
    <row r="255" spans="1:9">
      <c r="A255" s="37"/>
      <c r="B255" s="1235"/>
      <c r="C255" s="1236"/>
      <c r="D255" s="39"/>
      <c r="E255" s="39"/>
    </row>
    <row r="256" spans="1:9">
      <c r="A256" s="37"/>
      <c r="B256" s="1235"/>
      <c r="C256" s="1236"/>
      <c r="D256" s="39"/>
      <c r="E256" s="39"/>
    </row>
    <row r="257" spans="1:36">
      <c r="A257" s="37"/>
      <c r="B257" s="1235"/>
      <c r="C257" s="1236"/>
      <c r="D257" s="39"/>
      <c r="E257" s="39"/>
    </row>
    <row r="258" spans="1:36">
      <c r="A258" s="37"/>
      <c r="B258" s="1239"/>
      <c r="C258" s="1240"/>
      <c r="D258" s="39"/>
      <c r="E258" s="39"/>
    </row>
    <row r="259" spans="1:36">
      <c r="A259" s="37"/>
      <c r="D259" s="39"/>
      <c r="E259" s="39"/>
    </row>
    <row r="260" spans="1:36">
      <c r="A260" s="37"/>
      <c r="D260" s="39"/>
      <c r="E260" s="39"/>
    </row>
    <row r="261" spans="1:36">
      <c r="A261" s="37"/>
      <c r="D261" s="39"/>
      <c r="E261" s="39"/>
    </row>
    <row r="262" spans="1:36">
      <c r="B262" s="98" t="s">
        <v>131</v>
      </c>
      <c r="C262" s="99"/>
      <c r="D262" s="99"/>
      <c r="E262" s="99"/>
      <c r="F262" s="97"/>
      <c r="G262" s="97"/>
      <c r="H262" s="97"/>
      <c r="I262" s="97"/>
      <c r="J262" s="97"/>
      <c r="K262" s="97"/>
      <c r="L262" s="97"/>
      <c r="M262" s="97"/>
      <c r="N262" s="97"/>
    </row>
    <row r="264" spans="1:36" ht="98.7">
      <c r="B264" s="376" t="s">
        <v>132</v>
      </c>
      <c r="C264" s="376" t="s">
        <v>133</v>
      </c>
      <c r="D264" s="376" t="s">
        <v>134</v>
      </c>
      <c r="E264" s="377" t="s">
        <v>135</v>
      </c>
      <c r="F264" s="377" t="s">
        <v>136</v>
      </c>
      <c r="G264" s="377" t="s">
        <v>137</v>
      </c>
      <c r="H264" s="377" t="s">
        <v>138</v>
      </c>
      <c r="I264" s="376" t="s">
        <v>139</v>
      </c>
      <c r="J264" s="376" t="s">
        <v>140</v>
      </c>
      <c r="K264" s="378" t="s">
        <v>141</v>
      </c>
      <c r="L264" s="378" t="s">
        <v>142</v>
      </c>
      <c r="M264" s="378" t="s">
        <v>143</v>
      </c>
      <c r="N264" s="378" t="s">
        <v>144</v>
      </c>
      <c r="O264" s="378" t="s">
        <v>145</v>
      </c>
      <c r="P264" s="378" t="s">
        <v>146</v>
      </c>
      <c r="Q264" s="378" t="s">
        <v>147</v>
      </c>
      <c r="R264" s="378" t="s">
        <v>148</v>
      </c>
      <c r="S264" s="378" t="s">
        <v>149</v>
      </c>
      <c r="T264" s="376" t="s">
        <v>150</v>
      </c>
      <c r="U264" s="376" t="s">
        <v>151</v>
      </c>
      <c r="V264" s="376" t="s">
        <v>152</v>
      </c>
      <c r="W264" s="376" t="s">
        <v>153</v>
      </c>
      <c r="X264" s="379" t="s">
        <v>154</v>
      </c>
      <c r="Y264" s="376" t="s">
        <v>155</v>
      </c>
      <c r="Z264" s="376" t="s">
        <v>156</v>
      </c>
      <c r="AA264" s="376" t="s">
        <v>157</v>
      </c>
      <c r="AB264" s="376" t="s">
        <v>158</v>
      </c>
      <c r="AC264" s="376" t="s">
        <v>159</v>
      </c>
      <c r="AD264" s="376" t="s">
        <v>160</v>
      </c>
      <c r="AE264" s="376" t="s">
        <v>161</v>
      </c>
      <c r="AF264" s="376" t="s">
        <v>162</v>
      </c>
      <c r="AG264" s="376" t="s">
        <v>163</v>
      </c>
      <c r="AH264" s="376" t="s">
        <v>164</v>
      </c>
      <c r="AI264" s="376" t="s">
        <v>165</v>
      </c>
      <c r="AJ264" s="380" t="s">
        <v>166</v>
      </c>
    </row>
    <row r="265" spans="1:36">
      <c r="B265" s="371" t="s">
        <v>19</v>
      </c>
      <c r="C265" t="s">
        <v>81</v>
      </c>
      <c r="D265" t="s">
        <v>167</v>
      </c>
      <c r="E265" t="s">
        <v>168</v>
      </c>
      <c r="F265" t="s">
        <v>169</v>
      </c>
      <c r="G265" t="s">
        <v>170</v>
      </c>
      <c r="H265" t="s">
        <v>171</v>
      </c>
      <c r="O265" t="s">
        <v>172</v>
      </c>
      <c r="Y265" t="s">
        <v>173</v>
      </c>
      <c r="Z265" t="s">
        <v>174</v>
      </c>
      <c r="AA265">
        <v>1</v>
      </c>
      <c r="AI265" t="s">
        <v>175</v>
      </c>
      <c r="AJ265" s="194" t="s">
        <v>175</v>
      </c>
    </row>
    <row r="266" spans="1:36">
      <c r="B266" s="371" t="s">
        <v>22</v>
      </c>
      <c r="C266" t="s">
        <v>176</v>
      </c>
      <c r="D266" t="s">
        <v>177</v>
      </c>
      <c r="E266" t="s">
        <v>178</v>
      </c>
      <c r="F266" t="s">
        <v>179</v>
      </c>
      <c r="G266" t="s">
        <v>180</v>
      </c>
      <c r="H266" t="s">
        <v>181</v>
      </c>
      <c r="O266" t="s">
        <v>182</v>
      </c>
      <c r="Y266" t="s">
        <v>183</v>
      </c>
      <c r="Z266" t="s">
        <v>184</v>
      </c>
      <c r="AA266">
        <v>2</v>
      </c>
      <c r="AI266" t="s">
        <v>185</v>
      </c>
      <c r="AJ266" s="194" t="s">
        <v>185</v>
      </c>
    </row>
    <row r="267" spans="1:36">
      <c r="B267" s="371" t="s">
        <v>25</v>
      </c>
      <c r="C267" t="s">
        <v>186</v>
      </c>
      <c r="D267" t="s">
        <v>187</v>
      </c>
      <c r="E267" t="s">
        <v>188</v>
      </c>
      <c r="F267" t="s">
        <v>189</v>
      </c>
      <c r="G267" t="s">
        <v>190</v>
      </c>
      <c r="O267" t="s">
        <v>191</v>
      </c>
      <c r="Y267" t="s">
        <v>192</v>
      </c>
      <c r="Z267" t="s">
        <v>193</v>
      </c>
      <c r="AA267">
        <v>3</v>
      </c>
      <c r="AI267" t="s">
        <v>194</v>
      </c>
      <c r="AJ267" s="194" t="s">
        <v>194</v>
      </c>
    </row>
    <row r="268" spans="1:36">
      <c r="B268" s="371" t="s">
        <v>27</v>
      </c>
      <c r="C268" t="s">
        <v>195</v>
      </c>
      <c r="D268" t="s">
        <v>196</v>
      </c>
      <c r="E268" t="s">
        <v>197</v>
      </c>
      <c r="G268" t="s">
        <v>198</v>
      </c>
      <c r="O268" t="s">
        <v>199</v>
      </c>
      <c r="Y268" t="s">
        <v>200</v>
      </c>
      <c r="Z268" t="s">
        <v>194</v>
      </c>
      <c r="AA268">
        <v>4</v>
      </c>
      <c r="AJ268" s="194"/>
    </row>
    <row r="269" spans="1:36">
      <c r="B269" s="371" t="s">
        <v>29</v>
      </c>
      <c r="C269" t="s">
        <v>84</v>
      </c>
      <c r="D269" t="s">
        <v>201</v>
      </c>
      <c r="E269" t="s">
        <v>202</v>
      </c>
      <c r="G269" t="s">
        <v>203</v>
      </c>
      <c r="O269" t="s">
        <v>204</v>
      </c>
      <c r="Y269" t="s">
        <v>205</v>
      </c>
      <c r="AA269">
        <v>5</v>
      </c>
      <c r="AJ269" s="194"/>
    </row>
    <row r="270" spans="1:36">
      <c r="B270" s="371"/>
      <c r="C270" t="s">
        <v>47</v>
      </c>
      <c r="D270" t="s">
        <v>206</v>
      </c>
      <c r="E270" t="s">
        <v>207</v>
      </c>
      <c r="O270" t="s">
        <v>208</v>
      </c>
      <c r="Y270" s="375" t="s">
        <v>209</v>
      </c>
      <c r="AA270">
        <v>6</v>
      </c>
      <c r="AJ270" s="194"/>
    </row>
    <row r="271" spans="1:36">
      <c r="B271" s="371"/>
      <c r="C271" t="s">
        <v>89</v>
      </c>
      <c r="D271" t="s">
        <v>210</v>
      </c>
      <c r="O271" t="s">
        <v>211</v>
      </c>
      <c r="Y271" t="s">
        <v>194</v>
      </c>
      <c r="AA271">
        <v>7</v>
      </c>
      <c r="AJ271" s="194"/>
    </row>
    <row r="272" spans="1:36">
      <c r="B272" s="371"/>
      <c r="C272" t="s">
        <v>212</v>
      </c>
      <c r="D272" t="s">
        <v>213</v>
      </c>
      <c r="O272" t="s">
        <v>214</v>
      </c>
      <c r="AA272">
        <v>8</v>
      </c>
      <c r="AJ272" s="194"/>
    </row>
    <row r="273" spans="2:36">
      <c r="B273" s="371"/>
      <c r="C273" t="s">
        <v>215</v>
      </c>
      <c r="D273" t="s">
        <v>216</v>
      </c>
      <c r="AA273">
        <v>9</v>
      </c>
      <c r="AJ273" s="194"/>
    </row>
    <row r="274" spans="2:36">
      <c r="B274" s="371"/>
      <c r="C274" t="s">
        <v>29</v>
      </c>
      <c r="D274" t="s">
        <v>217</v>
      </c>
      <c r="AA274">
        <v>10</v>
      </c>
      <c r="AJ274" s="194"/>
    </row>
    <row r="275" spans="2:36">
      <c r="B275" s="371"/>
      <c r="C275" t="s">
        <v>64</v>
      </c>
      <c r="D275" t="s">
        <v>207</v>
      </c>
      <c r="AA275">
        <v>11</v>
      </c>
      <c r="AJ275" s="194"/>
    </row>
    <row r="276" spans="2:36">
      <c r="B276" s="371"/>
      <c r="C276" t="s">
        <v>65</v>
      </c>
      <c r="AA276">
        <v>12</v>
      </c>
      <c r="AJ276" s="194"/>
    </row>
    <row r="277" spans="2:36">
      <c r="B277" s="371"/>
      <c r="C277" t="s">
        <v>66</v>
      </c>
      <c r="AA277" t="s">
        <v>194</v>
      </c>
      <c r="AJ277" s="194"/>
    </row>
    <row r="278" spans="2:36">
      <c r="B278" s="371"/>
      <c r="C278" t="s">
        <v>70</v>
      </c>
      <c r="AJ278" s="194"/>
    </row>
    <row r="279" spans="2:36">
      <c r="B279" s="371"/>
      <c r="C279" t="s">
        <v>71</v>
      </c>
      <c r="AJ279" s="194"/>
    </row>
    <row r="280" spans="2:36">
      <c r="B280" s="371"/>
      <c r="C280" t="s">
        <v>72</v>
      </c>
      <c r="AJ280" s="194"/>
    </row>
    <row r="281" spans="2:36">
      <c r="B281" s="371"/>
      <c r="C281" t="s">
        <v>73</v>
      </c>
      <c r="AJ281" s="194"/>
    </row>
    <row r="282" spans="2:36">
      <c r="B282" s="371"/>
      <c r="C282" t="s">
        <v>218</v>
      </c>
      <c r="AJ282" s="194"/>
    </row>
    <row r="283" spans="2:36">
      <c r="B283" s="371"/>
      <c r="C283" t="s">
        <v>219</v>
      </c>
      <c r="AJ283" s="194"/>
    </row>
    <row r="284" spans="2:36">
      <c r="B284" s="371"/>
      <c r="C284" t="s">
        <v>220</v>
      </c>
      <c r="AJ284" s="194"/>
    </row>
    <row r="285" spans="2:36">
      <c r="B285" s="371"/>
      <c r="C285" t="s">
        <v>221</v>
      </c>
      <c r="AJ285" s="194"/>
    </row>
    <row r="286" spans="2:36">
      <c r="B286" s="371"/>
      <c r="C286" t="s">
        <v>222</v>
      </c>
      <c r="AJ286" s="194"/>
    </row>
    <row r="287" spans="2:36">
      <c r="B287" s="371"/>
      <c r="C287" t="s">
        <v>223</v>
      </c>
      <c r="AJ287" s="194"/>
    </row>
    <row r="288" spans="2:36">
      <c r="B288" s="371"/>
      <c r="C288" t="s">
        <v>224</v>
      </c>
      <c r="AJ288" s="194"/>
    </row>
    <row r="289" spans="1:36">
      <c r="B289" s="371"/>
      <c r="C289" t="s">
        <v>225</v>
      </c>
      <c r="AJ289" s="194"/>
    </row>
    <row r="290" spans="1:36">
      <c r="B290" s="371"/>
      <c r="AJ290" s="194"/>
    </row>
    <row r="291" spans="1:36">
      <c r="B291" s="371"/>
      <c r="AJ291" s="194"/>
    </row>
    <row r="292" spans="1:36">
      <c r="B292" s="371"/>
      <c r="AJ292" s="194"/>
    </row>
    <row r="293" spans="1:36">
      <c r="B293" s="371"/>
      <c r="AJ293" s="194"/>
    </row>
    <row r="294" spans="1:36">
      <c r="B294" s="371"/>
      <c r="AJ294" s="194"/>
    </row>
    <row r="295" spans="1:36">
      <c r="B295" s="372"/>
      <c r="C295" s="231"/>
      <c r="D295" s="231"/>
      <c r="E295" s="231"/>
      <c r="F295" s="231"/>
      <c r="G295" s="231"/>
      <c r="H295" s="231"/>
      <c r="I295" s="231"/>
      <c r="J295" s="231"/>
      <c r="K295" s="231"/>
      <c r="L295" s="231"/>
      <c r="M295" s="231"/>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373"/>
    </row>
    <row r="296" spans="1:36">
      <c r="B296" s="374" t="s">
        <v>226</v>
      </c>
      <c r="C296" s="374"/>
      <c r="D296" s="374"/>
      <c r="E296" s="374"/>
      <c r="F296" s="374"/>
      <c r="G296" s="374"/>
      <c r="H296" s="374"/>
      <c r="I296" s="374"/>
      <c r="J296" s="374"/>
      <c r="K296" s="374"/>
      <c r="L296" s="374"/>
      <c r="M296" s="374"/>
      <c r="N296" s="374"/>
      <c r="O296" s="374"/>
      <c r="P296" s="374"/>
      <c r="Q296" s="374"/>
      <c r="R296" s="374"/>
      <c r="S296" s="374"/>
      <c r="T296" s="374"/>
      <c r="U296" s="374"/>
      <c r="V296" s="374"/>
      <c r="W296" s="374"/>
      <c r="X296" s="374"/>
      <c r="Y296" s="374"/>
      <c r="Z296" s="374"/>
      <c r="AA296" s="374"/>
      <c r="AB296" s="374"/>
      <c r="AC296" s="374"/>
      <c r="AD296" s="374"/>
      <c r="AE296" s="374"/>
      <c r="AF296" s="374"/>
      <c r="AG296" s="374"/>
      <c r="AH296" s="374"/>
      <c r="AI296" s="374"/>
      <c r="AJ296" s="374"/>
    </row>
    <row r="299" spans="1:36">
      <c r="A299" s="37"/>
      <c r="B299" s="98" t="s">
        <v>227</v>
      </c>
      <c r="C299" s="99"/>
      <c r="D299" s="99"/>
      <c r="E299" s="99"/>
      <c r="F299" s="97"/>
      <c r="G299" s="97"/>
      <c r="H299" s="97"/>
      <c r="I299" s="97"/>
      <c r="J299" s="97"/>
      <c r="K299" s="97"/>
      <c r="L299" s="97"/>
      <c r="M299" s="97"/>
      <c r="N299" s="97"/>
      <c r="O299" s="97"/>
      <c r="P299" s="97"/>
      <c r="Q299" s="97"/>
      <c r="R299" s="97"/>
      <c r="S299" s="97"/>
    </row>
    <row r="300" spans="1:36">
      <c r="B300" s="139"/>
      <c r="C300" s="140"/>
      <c r="D300" s="140"/>
      <c r="E300" s="140"/>
      <c r="F300" s="141"/>
      <c r="G300" s="141"/>
      <c r="H300" s="141"/>
      <c r="I300" s="141"/>
      <c r="J300" s="141"/>
      <c r="K300" s="141"/>
      <c r="L300" s="413"/>
      <c r="M300" s="141"/>
      <c r="N300" s="141"/>
    </row>
    <row r="301" spans="1:36">
      <c r="A301" s="124" t="s">
        <v>228</v>
      </c>
      <c r="B301" s="124" t="s">
        <v>229</v>
      </c>
      <c r="C301" s="39"/>
      <c r="D301" s="39"/>
      <c r="E301" s="39"/>
      <c r="K301" s="124" t="s">
        <v>230</v>
      </c>
      <c r="L301" s="124" t="s">
        <v>231</v>
      </c>
      <c r="M301" s="141"/>
      <c r="N301" s="141"/>
    </row>
    <row r="302" spans="1:36">
      <c r="B302" s="414"/>
      <c r="C302" s="140"/>
      <c r="D302" s="140"/>
      <c r="E302" s="140"/>
      <c r="F302" s="141"/>
      <c r="G302" s="141"/>
      <c r="H302" s="141"/>
      <c r="I302" s="141"/>
      <c r="J302" s="141"/>
      <c r="K302" s="141"/>
      <c r="L302" s="414"/>
      <c r="M302" s="141"/>
      <c r="N302" s="141"/>
    </row>
    <row r="303" spans="1:36">
      <c r="A303" s="50" t="s">
        <v>6</v>
      </c>
      <c r="B303" s="407" t="s">
        <v>3</v>
      </c>
      <c r="C303" s="211">
        <f>RIIO_2_start_date</f>
        <v>2022</v>
      </c>
      <c r="D303" s="212">
        <f>C303+1</f>
        <v>2023</v>
      </c>
      <c r="E303" s="212">
        <f>D303+1</f>
        <v>2024</v>
      </c>
      <c r="F303" s="212">
        <f t="shared" ref="F303" si="24">E303+1</f>
        <v>2025</v>
      </c>
      <c r="G303" s="212">
        <f t="shared" ref="G303" si="25">F303+1</f>
        <v>2026</v>
      </c>
      <c r="H303" s="212">
        <f t="shared" ref="H303" si="26">G303+1</f>
        <v>2027</v>
      </c>
      <c r="I303" s="212">
        <f t="shared" ref="I303" si="27">H303+1</f>
        <v>2028</v>
      </c>
      <c r="K303" s="50" t="s">
        <v>6</v>
      </c>
      <c r="L303" s="407" t="s">
        <v>3</v>
      </c>
      <c r="M303" s="211">
        <f>RIIO_2_start_date</f>
        <v>2022</v>
      </c>
      <c r="N303" s="212">
        <f t="shared" ref="N303" si="28">M303+1</f>
        <v>2023</v>
      </c>
      <c r="O303" s="212">
        <f t="shared" ref="O303" si="29">N303+1</f>
        <v>2024</v>
      </c>
      <c r="P303" s="212">
        <f t="shared" ref="P303" si="30">O303+1</f>
        <v>2025</v>
      </c>
      <c r="Q303" s="212">
        <f t="shared" ref="Q303" si="31">P303+1</f>
        <v>2026</v>
      </c>
      <c r="R303" s="212">
        <f t="shared" ref="R303" si="32">Q303+1</f>
        <v>2027</v>
      </c>
      <c r="S303" s="212">
        <f t="shared" ref="S303" si="33">R303+1</f>
        <v>2028</v>
      </c>
    </row>
    <row r="304" spans="1:36">
      <c r="A304" s="13" t="s">
        <v>19</v>
      </c>
      <c r="B304" s="406" t="s">
        <v>64</v>
      </c>
      <c r="C304" s="409"/>
      <c r="D304" s="409"/>
      <c r="E304" s="411">
        <v>1.4366690915062783</v>
      </c>
      <c r="F304" s="411">
        <v>1.3797759532786635</v>
      </c>
      <c r="G304" s="411">
        <v>1.2994160329983981</v>
      </c>
      <c r="H304" s="411">
        <v>1.2615281568238033</v>
      </c>
      <c r="I304" s="411">
        <v>1.2611798067947679</v>
      </c>
      <c r="K304" s="13" t="s">
        <v>19</v>
      </c>
      <c r="L304" s="406" t="s">
        <v>64</v>
      </c>
      <c r="M304" s="409"/>
      <c r="N304" s="409"/>
      <c r="O304" s="411">
        <f>((E304*H$27)/H$19)*(1-H$19)</f>
        <v>5.3271839755875101</v>
      </c>
      <c r="P304" s="411">
        <f t="shared" ref="P304:S304" si="34">((F304*I$27)/I$19)*(1-I$19)</f>
        <v>5.1535953318244525</v>
      </c>
      <c r="Q304" s="411">
        <f t="shared" si="34"/>
        <v>4.8656218680089873</v>
      </c>
      <c r="R304" s="411">
        <f t="shared" si="34"/>
        <v>4.8182269632636636</v>
      </c>
      <c r="S304" s="411">
        <f t="shared" si="34"/>
        <v>4.9132344197850113</v>
      </c>
    </row>
    <row r="305" spans="1:19">
      <c r="A305" s="13" t="s">
        <v>19</v>
      </c>
      <c r="B305" s="406" t="s">
        <v>65</v>
      </c>
      <c r="C305" s="409"/>
      <c r="D305" s="409"/>
      <c r="E305" s="411">
        <v>1.368578491828039</v>
      </c>
      <c r="F305" s="411">
        <v>1.4008338175049104</v>
      </c>
      <c r="G305" s="411">
        <v>1.2944169556388054</v>
      </c>
      <c r="H305" s="411">
        <v>1.1615288221705597</v>
      </c>
      <c r="I305" s="411">
        <v>1.0171476978779488</v>
      </c>
      <c r="K305" s="13" t="s">
        <v>19</v>
      </c>
      <c r="L305" s="406" t="s">
        <v>65</v>
      </c>
      <c r="M305" s="409"/>
      <c r="N305" s="409"/>
      <c r="O305" s="411">
        <f t="shared" ref="O305:O317" si="35">((E305*H$27)/H$19)*(1-H$19)</f>
        <v>5.0747033218040043</v>
      </c>
      <c r="P305" s="411">
        <f t="shared" ref="P305:P317" si="36">((F305*I$27)/I$19)*(1-I$19)</f>
        <v>5.2322484715002826</v>
      </c>
      <c r="Q305" s="411">
        <f t="shared" ref="Q305:Q317" si="37">((G305*J$27)/J$19)*(1-J$19)</f>
        <v>4.8469029823688157</v>
      </c>
      <c r="R305" s="411">
        <f t="shared" ref="R305:R317" si="38">((H305*K$27)/K$19)*(1-K$19)</f>
        <v>4.4362937595309946</v>
      </c>
      <c r="S305" s="411">
        <f t="shared" ref="S305:S317" si="39">((I305*L$27)/L$19)*(1-L$19)</f>
        <v>3.9625476496645691</v>
      </c>
    </row>
    <row r="306" spans="1:19">
      <c r="A306" s="13" t="s">
        <v>19</v>
      </c>
      <c r="B306" s="406" t="s">
        <v>66</v>
      </c>
      <c r="C306" s="409"/>
      <c r="D306" s="409"/>
      <c r="E306" s="411">
        <v>1.8517886877112844</v>
      </c>
      <c r="F306" s="411">
        <v>1.8549995484009258</v>
      </c>
      <c r="G306" s="411">
        <v>1.5955311955633462</v>
      </c>
      <c r="H306" s="411">
        <v>1.4243694121247401</v>
      </c>
      <c r="I306" s="411">
        <v>1.2090605175362352</v>
      </c>
      <c r="K306" s="13" t="s">
        <v>19</v>
      </c>
      <c r="L306" s="406" t="s">
        <v>66</v>
      </c>
      <c r="M306" s="409"/>
      <c r="N306" s="409"/>
      <c r="O306" s="411">
        <f t="shared" si="35"/>
        <v>6.8664517679620918</v>
      </c>
      <c r="P306" s="411">
        <f t="shared" si="36"/>
        <v>6.9286009735558345</v>
      </c>
      <c r="Q306" s="411">
        <f t="shared" si="37"/>
        <v>5.9744156444721286</v>
      </c>
      <c r="R306" s="411">
        <f t="shared" si="38"/>
        <v>5.4401759247502701</v>
      </c>
      <c r="S306" s="411">
        <f t="shared" si="39"/>
        <v>4.7101909801897044</v>
      </c>
    </row>
    <row r="307" spans="1:19">
      <c r="A307" s="13" t="s">
        <v>19</v>
      </c>
      <c r="B307" s="406" t="s">
        <v>67</v>
      </c>
      <c r="C307" s="409"/>
      <c r="D307" s="409"/>
      <c r="E307" s="411">
        <v>1.9633660656588319</v>
      </c>
      <c r="F307" s="411">
        <v>2.1083575561921606</v>
      </c>
      <c r="G307" s="411">
        <v>2.5083164621053555</v>
      </c>
      <c r="H307" s="411">
        <v>2.4606563837546958</v>
      </c>
      <c r="I307" s="411">
        <v>2.3736687667861531</v>
      </c>
      <c r="K307" s="13" t="s">
        <v>19</v>
      </c>
      <c r="L307" s="406" t="s">
        <v>67</v>
      </c>
      <c r="M307" s="409"/>
      <c r="N307" s="409"/>
      <c r="O307" s="411">
        <f t="shared" si="35"/>
        <v>7.280181849129951</v>
      </c>
      <c r="P307" s="411">
        <f t="shared" si="36"/>
        <v>7.8749173977046958</v>
      </c>
      <c r="Q307" s="411">
        <f t="shared" si="37"/>
        <v>9.3923109458214604</v>
      </c>
      <c r="R307" s="411">
        <f t="shared" si="38"/>
        <v>9.3981262894551918</v>
      </c>
      <c r="S307" s="411">
        <f t="shared" si="39"/>
        <v>9.2472072763215358</v>
      </c>
    </row>
    <row r="308" spans="1:19">
      <c r="A308" s="13" t="s">
        <v>19</v>
      </c>
      <c r="B308" s="406" t="s">
        <v>68</v>
      </c>
      <c r="C308" s="409"/>
      <c r="D308" s="409"/>
      <c r="E308" s="411">
        <v>1.3074390315981681</v>
      </c>
      <c r="F308" s="411">
        <v>1.3001216768501926</v>
      </c>
      <c r="G308" s="411">
        <v>1.5417405565806881</v>
      </c>
      <c r="H308" s="411">
        <v>1.5753974334268079</v>
      </c>
      <c r="I308" s="411">
        <v>1.5749617313468214</v>
      </c>
      <c r="K308" s="13" t="s">
        <v>19</v>
      </c>
      <c r="L308" s="406" t="s">
        <v>68</v>
      </c>
      <c r="M308" s="409"/>
      <c r="N308" s="409"/>
      <c r="O308" s="411">
        <f t="shared" si="35"/>
        <v>4.8479975655945786</v>
      </c>
      <c r="P308" s="411">
        <f t="shared" si="36"/>
        <v>4.8560789805746962</v>
      </c>
      <c r="Q308" s="411">
        <f t="shared" si="37"/>
        <v>5.7729983133928222</v>
      </c>
      <c r="R308" s="411">
        <f t="shared" si="38"/>
        <v>6.0170059229629995</v>
      </c>
      <c r="S308" s="411">
        <f t="shared" si="39"/>
        <v>6.1356486573976907</v>
      </c>
    </row>
    <row r="309" spans="1:19">
      <c r="A309" s="13" t="s">
        <v>19</v>
      </c>
      <c r="B309" s="406" t="s">
        <v>69</v>
      </c>
      <c r="C309" s="409"/>
      <c r="D309" s="409"/>
      <c r="E309" s="411">
        <v>2.0191738224902593</v>
      </c>
      <c r="F309" s="411">
        <v>1.5784133044437496</v>
      </c>
      <c r="G309" s="411">
        <v>1.7691618048462701</v>
      </c>
      <c r="H309" s="411">
        <v>1.741401016001106</v>
      </c>
      <c r="I309" s="411">
        <v>1.6345343485877493</v>
      </c>
      <c r="K309" s="13" t="s">
        <v>19</v>
      </c>
      <c r="L309" s="406" t="s">
        <v>69</v>
      </c>
      <c r="M309" s="409"/>
      <c r="N309" s="409"/>
      <c r="O309" s="411">
        <f t="shared" si="35"/>
        <v>7.4871175935289358</v>
      </c>
      <c r="P309" s="411">
        <f t="shared" si="36"/>
        <v>5.8955248626717065</v>
      </c>
      <c r="Q309" s="411">
        <f t="shared" si="37"/>
        <v>6.6245699199533199</v>
      </c>
      <c r="R309" s="411">
        <f t="shared" si="38"/>
        <v>6.6510329426782331</v>
      </c>
      <c r="S309" s="411">
        <f t="shared" si="39"/>
        <v>6.3677283592196492</v>
      </c>
    </row>
    <row r="310" spans="1:19">
      <c r="A310" s="13" t="s">
        <v>19</v>
      </c>
      <c r="B310" s="406" t="s">
        <v>70</v>
      </c>
      <c r="C310" s="409"/>
      <c r="D310" s="409"/>
      <c r="E310" s="411">
        <v>1.5418188657920666</v>
      </c>
      <c r="F310" s="411">
        <v>1.5421689490890813</v>
      </c>
      <c r="G310" s="411">
        <v>1.1986919632990878</v>
      </c>
      <c r="H310" s="411">
        <v>1.2051150219812068</v>
      </c>
      <c r="I310" s="411">
        <v>1.2030871425295599</v>
      </c>
      <c r="K310" s="13" t="s">
        <v>19</v>
      </c>
      <c r="L310" s="406" t="s">
        <v>70</v>
      </c>
      <c r="M310" s="409"/>
      <c r="N310" s="409"/>
      <c r="O310" s="411">
        <f t="shared" si="35"/>
        <v>5.7170804353384481</v>
      </c>
      <c r="P310" s="411">
        <f t="shared" si="36"/>
        <v>5.7601487241638925</v>
      </c>
      <c r="Q310" s="411">
        <f t="shared" si="37"/>
        <v>4.4884638033720936</v>
      </c>
      <c r="R310" s="411">
        <f t="shared" si="38"/>
        <v>4.6027650364643637</v>
      </c>
      <c r="S310" s="411">
        <f t="shared" si="39"/>
        <v>4.6869202367739273</v>
      </c>
    </row>
    <row r="311" spans="1:19">
      <c r="A311" s="13" t="s">
        <v>19</v>
      </c>
      <c r="B311" s="406" t="s">
        <v>71</v>
      </c>
      <c r="C311" s="409"/>
      <c r="D311" s="409"/>
      <c r="E311" s="411">
        <v>1.3630193716187557</v>
      </c>
      <c r="F311" s="411">
        <v>1.3768904698776971</v>
      </c>
      <c r="G311" s="411">
        <v>1.3602523162213354</v>
      </c>
      <c r="H311" s="411">
        <v>1.3398436564847218</v>
      </c>
      <c r="I311" s="411">
        <v>1.3157905788825448</v>
      </c>
      <c r="K311" s="13" t="s">
        <v>19</v>
      </c>
      <c r="L311" s="406" t="s">
        <v>71</v>
      </c>
      <c r="M311" s="409"/>
      <c r="N311" s="409"/>
      <c r="O311" s="411">
        <f t="shared" si="35"/>
        <v>5.0540900460870404</v>
      </c>
      <c r="P311" s="411">
        <f t="shared" si="36"/>
        <v>5.1428177749682531</v>
      </c>
      <c r="Q311" s="411">
        <f t="shared" si="37"/>
        <v>5.0934213891022271</v>
      </c>
      <c r="R311" s="411">
        <f t="shared" si="38"/>
        <v>5.1173418502890566</v>
      </c>
      <c r="S311" s="411">
        <f t="shared" si="39"/>
        <v>5.1259840401540622</v>
      </c>
    </row>
    <row r="312" spans="1:19">
      <c r="A312" s="13" t="s">
        <v>19</v>
      </c>
      <c r="B312" s="406" t="s">
        <v>72</v>
      </c>
      <c r="C312" s="409"/>
      <c r="D312" s="409"/>
      <c r="E312" s="411">
        <v>0.88691188538891907</v>
      </c>
      <c r="F312" s="411">
        <v>0.97956684032180519</v>
      </c>
      <c r="G312" s="411">
        <v>0.7570821246417444</v>
      </c>
      <c r="H312" s="411">
        <v>0.71183271144208338</v>
      </c>
      <c r="I312" s="411">
        <v>0.66972194319581801</v>
      </c>
      <c r="K312" s="13" t="s">
        <v>19</v>
      </c>
      <c r="L312" s="406" t="s">
        <v>72</v>
      </c>
      <c r="M312" s="409"/>
      <c r="N312" s="409"/>
      <c r="O312" s="411">
        <f t="shared" si="35"/>
        <v>3.2886785214041816</v>
      </c>
      <c r="P312" s="411">
        <f t="shared" si="36"/>
        <v>3.6587759653997365</v>
      </c>
      <c r="Q312" s="411">
        <f t="shared" si="37"/>
        <v>2.8348698553730394</v>
      </c>
      <c r="R312" s="411">
        <f t="shared" si="38"/>
        <v>2.7187435691000301</v>
      </c>
      <c r="S312" s="411">
        <f t="shared" si="39"/>
        <v>2.6090656425570722</v>
      </c>
    </row>
    <row r="313" spans="1:19">
      <c r="A313" s="13" t="s">
        <v>19</v>
      </c>
      <c r="B313" s="406" t="s">
        <v>73</v>
      </c>
      <c r="C313" s="409"/>
      <c r="D313" s="409"/>
      <c r="E313" s="411">
        <v>2.5538076548384012</v>
      </c>
      <c r="F313" s="411">
        <v>2.7027627943750261</v>
      </c>
      <c r="G313" s="411">
        <v>2.4755882180772915</v>
      </c>
      <c r="H313" s="411">
        <v>2.1518380701030111</v>
      </c>
      <c r="I313" s="411">
        <v>1.7678169461084547</v>
      </c>
      <c r="K313" s="13" t="s">
        <v>19</v>
      </c>
      <c r="L313" s="406" t="s">
        <v>73</v>
      </c>
      <c r="M313" s="409"/>
      <c r="N313" s="409"/>
      <c r="O313" s="411">
        <f t="shared" si="35"/>
        <v>9.469545420041074</v>
      </c>
      <c r="P313" s="411">
        <f t="shared" si="36"/>
        <v>10.095077890741306</v>
      </c>
      <c r="Q313" s="411">
        <f t="shared" si="37"/>
        <v>9.2697610804969344</v>
      </c>
      <c r="R313" s="411">
        <f t="shared" si="38"/>
        <v>8.218638762730107</v>
      </c>
      <c r="S313" s="411">
        <f t="shared" si="39"/>
        <v>6.8869633185561385</v>
      </c>
    </row>
    <row r="314" spans="1:19">
      <c r="A314" s="13" t="s">
        <v>19</v>
      </c>
      <c r="B314" s="406" t="s">
        <v>74</v>
      </c>
      <c r="C314" s="409"/>
      <c r="D314" s="409"/>
      <c r="E314" s="411">
        <v>2.1594507853983487</v>
      </c>
      <c r="F314" s="411">
        <v>2.108783385973247</v>
      </c>
      <c r="G314" s="411">
        <v>1.9571099436141921</v>
      </c>
      <c r="H314" s="411">
        <v>1.6739883971269975</v>
      </c>
      <c r="I314" s="411">
        <v>1.4057277322201749</v>
      </c>
      <c r="K314" s="13" t="s">
        <v>19</v>
      </c>
      <c r="L314" s="406" t="s">
        <v>74</v>
      </c>
      <c r="M314" s="409"/>
      <c r="N314" s="409"/>
      <c r="O314" s="411">
        <f t="shared" si="35"/>
        <v>8.0072660350636298</v>
      </c>
      <c r="P314" s="411">
        <f t="shared" si="36"/>
        <v>7.8765079127203723</v>
      </c>
      <c r="Q314" s="411">
        <f t="shared" si="37"/>
        <v>7.3283357276835979</v>
      </c>
      <c r="R314" s="411">
        <f t="shared" si="38"/>
        <v>6.3935600546047482</v>
      </c>
      <c r="S314" s="411">
        <f t="shared" si="39"/>
        <v>5.476356219454134</v>
      </c>
    </row>
    <row r="315" spans="1:19">
      <c r="A315" s="13" t="s">
        <v>19</v>
      </c>
      <c r="B315" s="406" t="s">
        <v>75</v>
      </c>
      <c r="C315" s="409"/>
      <c r="D315" s="409"/>
      <c r="E315" s="411">
        <v>2.3320557909214585</v>
      </c>
      <c r="F315" s="411">
        <v>2.3253369118631113</v>
      </c>
      <c r="G315" s="411">
        <v>2.1691122806593768</v>
      </c>
      <c r="H315" s="411">
        <v>1.831433598356611</v>
      </c>
      <c r="I315" s="411">
        <v>1.6964022421334342</v>
      </c>
      <c r="K315" s="13" t="s">
        <v>19</v>
      </c>
      <c r="L315" s="406" t="s">
        <v>75</v>
      </c>
      <c r="M315" s="409"/>
      <c r="N315" s="409"/>
      <c r="O315" s="411">
        <f t="shared" si="35"/>
        <v>8.6472871957923374</v>
      </c>
      <c r="P315" s="411">
        <f t="shared" si="36"/>
        <v>8.6853560720640601</v>
      </c>
      <c r="Q315" s="411">
        <f t="shared" si="37"/>
        <v>8.1221717132346036</v>
      </c>
      <c r="R315" s="411">
        <f t="shared" si="38"/>
        <v>6.9948995567772307</v>
      </c>
      <c r="S315" s="411">
        <f t="shared" si="39"/>
        <v>6.608749871307432</v>
      </c>
    </row>
    <row r="316" spans="1:19">
      <c r="A316" s="13" t="s">
        <v>19</v>
      </c>
      <c r="B316" s="406" t="s">
        <v>76</v>
      </c>
      <c r="C316" s="409"/>
      <c r="D316" s="409"/>
      <c r="E316" s="411">
        <v>0.94083766340920505</v>
      </c>
      <c r="F316" s="411">
        <v>0.89327362005723643</v>
      </c>
      <c r="G316" s="411">
        <v>0.85016201774887534</v>
      </c>
      <c r="H316" s="411">
        <v>0.70172058348408528</v>
      </c>
      <c r="I316" s="411">
        <v>0.70273163357435342</v>
      </c>
      <c r="K316" s="13" t="s">
        <v>19</v>
      </c>
      <c r="L316" s="406" t="s">
        <v>76</v>
      </c>
      <c r="M316" s="409"/>
      <c r="N316" s="409"/>
      <c r="O316" s="411">
        <f t="shared" si="35"/>
        <v>3.4886358687426453</v>
      </c>
      <c r="P316" s="411">
        <f t="shared" si="36"/>
        <v>3.3364625230855527</v>
      </c>
      <c r="Q316" s="411">
        <f t="shared" si="37"/>
        <v>3.1834045447049464</v>
      </c>
      <c r="R316" s="411">
        <f t="shared" si="38"/>
        <v>2.6801217378553996</v>
      </c>
      <c r="S316" s="411">
        <f t="shared" si="39"/>
        <v>2.7376629655402636</v>
      </c>
    </row>
    <row r="317" spans="1:19">
      <c r="A317" s="13" t="s">
        <v>19</v>
      </c>
      <c r="B317" s="406" t="s">
        <v>77</v>
      </c>
      <c r="C317" s="409"/>
      <c r="D317" s="409"/>
      <c r="E317" s="411">
        <v>1.3538563803454693</v>
      </c>
      <c r="F317" s="411">
        <v>1.399085447927888</v>
      </c>
      <c r="G317" s="411">
        <v>1.3245039630700681</v>
      </c>
      <c r="H317" s="411">
        <v>1.0767587664923539</v>
      </c>
      <c r="I317" s="411">
        <v>1.0135822369351568</v>
      </c>
      <c r="K317" s="13" t="s">
        <v>19</v>
      </c>
      <c r="L317" s="406" t="s">
        <v>77</v>
      </c>
      <c r="M317" s="409"/>
      <c r="N317" s="409"/>
      <c r="O317" s="411">
        <f t="shared" si="35"/>
        <v>5.0201135788768205</v>
      </c>
      <c r="P317" s="411">
        <f t="shared" si="36"/>
        <v>5.2257181436821796</v>
      </c>
      <c r="Q317" s="411">
        <f t="shared" si="37"/>
        <v>4.9595628215449583</v>
      </c>
      <c r="R317" s="411">
        <f t="shared" si="38"/>
        <v>4.1125266158990668</v>
      </c>
      <c r="S317" s="411">
        <f t="shared" si="39"/>
        <v>3.9486575244562965</v>
      </c>
    </row>
    <row r="318" spans="1:19">
      <c r="A318" s="13" t="s">
        <v>25</v>
      </c>
      <c r="B318" s="406" t="s">
        <v>78</v>
      </c>
      <c r="C318" s="411">
        <v>1.8560134718227432</v>
      </c>
      <c r="D318" s="411">
        <v>1.8152215314521964</v>
      </c>
      <c r="E318" s="411">
        <v>1.7979279925217375</v>
      </c>
      <c r="F318" s="411">
        <v>1.7736992270475671</v>
      </c>
      <c r="G318" s="411">
        <v>1.7484964755788579</v>
      </c>
      <c r="H318" s="409"/>
      <c r="I318" s="409"/>
      <c r="K318" s="13" t="s">
        <v>25</v>
      </c>
      <c r="L318" s="406" t="s">
        <v>78</v>
      </c>
      <c r="M318" s="411">
        <f>((C318*F$27)/F$19)*(1-F$19)</f>
        <v>8.5833263439657195</v>
      </c>
      <c r="N318" s="411">
        <f>((D318*G$27)/G$19)*(1-G$19)</f>
        <v>9.1312396620225407</v>
      </c>
      <c r="O318" s="411">
        <f t="shared" ref="O318:O332" si="40">((E318*H$27)/H$19)*(1-H$19)</f>
        <v>6.666735748438815</v>
      </c>
      <c r="P318" s="411">
        <f t="shared" ref="P318:P332" si="41">((F318*I$27)/I$19)*(1-I$19)</f>
        <v>6.6249364868637137</v>
      </c>
      <c r="Q318" s="411">
        <f t="shared" ref="Q318:Q332" si="42">((G318*J$27)/J$19)*(1-J$19)</f>
        <v>6.5471892539928511</v>
      </c>
      <c r="R318" s="409"/>
      <c r="S318" s="409"/>
    </row>
    <row r="319" spans="1:19">
      <c r="A319" s="13" t="s">
        <v>25</v>
      </c>
      <c r="B319" s="406" t="s">
        <v>79</v>
      </c>
      <c r="C319" s="411">
        <v>1.338141135548405</v>
      </c>
      <c r="D319" s="411">
        <v>1.3118504623849501</v>
      </c>
      <c r="E319" s="411">
        <v>1.305225167423345</v>
      </c>
      <c r="F319" s="411">
        <v>1.2886796623765773</v>
      </c>
      <c r="G319" s="411">
        <v>1.2709115989265294</v>
      </c>
      <c r="H319" s="409"/>
      <c r="I319" s="409"/>
      <c r="K319" s="13" t="s">
        <v>25</v>
      </c>
      <c r="L319" s="406" t="s">
        <v>79</v>
      </c>
      <c r="M319" s="411">
        <f t="shared" ref="M319:M332" si="43">((C319*F$27)/F$19)*(1-F$19)</f>
        <v>6.1883721401100686</v>
      </c>
      <c r="N319" s="411">
        <f t="shared" ref="N319:N332" si="44">((D319*G$27)/G$19)*(1-G$19)</f>
        <v>6.5990959038420405</v>
      </c>
      <c r="O319" s="411">
        <f t="shared" si="40"/>
        <v>4.8397885341440041</v>
      </c>
      <c r="P319" s="411">
        <f t="shared" si="41"/>
        <v>4.8133419606710142</v>
      </c>
      <c r="Q319" s="411">
        <f t="shared" si="42"/>
        <v>4.7588879242732967</v>
      </c>
      <c r="R319" s="409"/>
      <c r="S319" s="409"/>
    </row>
    <row r="320" spans="1:19">
      <c r="A320" s="13" t="s">
        <v>25</v>
      </c>
      <c r="B320" s="406" t="s">
        <v>80</v>
      </c>
      <c r="C320" s="411">
        <v>0.99104421987024149</v>
      </c>
      <c r="D320" s="411">
        <v>0.97030415837322381</v>
      </c>
      <c r="E320" s="411">
        <v>0.96243789501775268</v>
      </c>
      <c r="F320" s="411">
        <v>0.94766848511264923</v>
      </c>
      <c r="G320" s="411">
        <v>0.93824870565692475</v>
      </c>
      <c r="H320" s="409"/>
      <c r="I320" s="409"/>
      <c r="K320" s="13" t="s">
        <v>25</v>
      </c>
      <c r="L320" s="406" t="s">
        <v>80</v>
      </c>
      <c r="M320" s="411">
        <f t="shared" si="43"/>
        <v>4.5831865391005095</v>
      </c>
      <c r="N320" s="411">
        <f t="shared" si="44"/>
        <v>4.8809909212980873</v>
      </c>
      <c r="O320" s="411">
        <f t="shared" si="40"/>
        <v>3.568729752834904</v>
      </c>
      <c r="P320" s="411">
        <f t="shared" si="41"/>
        <v>3.5396325536681776</v>
      </c>
      <c r="Q320" s="411">
        <f t="shared" si="42"/>
        <v>3.5132423365143195</v>
      </c>
      <c r="R320" s="409"/>
      <c r="S320" s="409"/>
    </row>
    <row r="321" spans="1:19">
      <c r="A321" s="13" t="s">
        <v>25</v>
      </c>
      <c r="B321" s="406" t="s">
        <v>4</v>
      </c>
      <c r="C321" s="411">
        <v>1.2910496821028619</v>
      </c>
      <c r="D321" s="411">
        <v>1.2750295337136959</v>
      </c>
      <c r="E321" s="411">
        <v>1.2614754781555608</v>
      </c>
      <c r="F321" s="411">
        <v>1.2360763844788194</v>
      </c>
      <c r="G321" s="411">
        <v>1.2156373101435318</v>
      </c>
      <c r="H321" s="409"/>
      <c r="I321" s="409"/>
      <c r="K321" s="13" t="s">
        <v>25</v>
      </c>
      <c r="L321" s="406" t="s">
        <v>4</v>
      </c>
      <c r="M321" s="411">
        <f t="shared" si="43"/>
        <v>5.9705928410526052</v>
      </c>
      <c r="N321" s="411">
        <f t="shared" si="44"/>
        <v>6.4138729332845683</v>
      </c>
      <c r="O321" s="411">
        <f t="shared" si="40"/>
        <v>4.6775642300351725</v>
      </c>
      <c r="P321" s="411">
        <f t="shared" si="41"/>
        <v>4.6168636797092661</v>
      </c>
      <c r="Q321" s="411">
        <f t="shared" si="42"/>
        <v>4.5519151138635241</v>
      </c>
      <c r="R321" s="409"/>
      <c r="S321" s="409"/>
    </row>
    <row r="322" spans="1:19">
      <c r="A322" s="13" t="s">
        <v>25</v>
      </c>
      <c r="B322" s="406" t="s">
        <v>81</v>
      </c>
      <c r="C322" s="411">
        <v>1.2693796122665177</v>
      </c>
      <c r="D322" s="411">
        <v>1.2456515312513812</v>
      </c>
      <c r="E322" s="411">
        <v>1.2761225755818488</v>
      </c>
      <c r="F322" s="411">
        <v>1.2778726893812531</v>
      </c>
      <c r="G322" s="411">
        <v>1.2727838897081032</v>
      </c>
      <c r="H322" s="409"/>
      <c r="I322" s="409"/>
      <c r="K322" s="13" t="s">
        <v>25</v>
      </c>
      <c r="L322" s="406" t="s">
        <v>81</v>
      </c>
      <c r="M322" s="411">
        <f t="shared" si="43"/>
        <v>5.8703773608712018</v>
      </c>
      <c r="N322" s="411">
        <f t="shared" si="44"/>
        <v>6.2660906507219138</v>
      </c>
      <c r="O322" s="411">
        <f t="shared" si="40"/>
        <v>4.7318758200592761</v>
      </c>
      <c r="P322" s="411">
        <f t="shared" si="41"/>
        <v>4.7729768815090594</v>
      </c>
      <c r="Q322" s="411">
        <f t="shared" si="42"/>
        <v>4.7658986573555078</v>
      </c>
      <c r="R322" s="409"/>
      <c r="S322" s="409"/>
    </row>
    <row r="323" spans="1:19">
      <c r="A323" s="13" t="s">
        <v>25</v>
      </c>
      <c r="B323" s="406" t="s">
        <v>82</v>
      </c>
      <c r="C323" s="411">
        <v>0.9684370522563619</v>
      </c>
      <c r="D323" s="411">
        <v>0.97408615926807074</v>
      </c>
      <c r="E323" s="411">
        <v>0.97438656582868766</v>
      </c>
      <c r="F323" s="411">
        <v>0.96522259273076072</v>
      </c>
      <c r="G323" s="411">
        <v>0.95735847603512469</v>
      </c>
      <c r="H323" s="409"/>
      <c r="I323" s="409"/>
      <c r="K323" s="13" t="s">
        <v>25</v>
      </c>
      <c r="L323" s="406" t="s">
        <v>82</v>
      </c>
      <c r="M323" s="411">
        <f t="shared" si="43"/>
        <v>4.4786373532844728</v>
      </c>
      <c r="N323" s="411">
        <f t="shared" si="44"/>
        <v>4.9000157929043668</v>
      </c>
      <c r="O323" s="411">
        <f t="shared" si="40"/>
        <v>3.6130355488250201</v>
      </c>
      <c r="P323" s="411">
        <f t="shared" si="41"/>
        <v>3.605198826844684</v>
      </c>
      <c r="Q323" s="411">
        <f t="shared" si="42"/>
        <v>3.5847982618558341</v>
      </c>
      <c r="R323" s="409"/>
      <c r="S323" s="409"/>
    </row>
    <row r="324" spans="1:19">
      <c r="A324" s="13" t="s">
        <v>25</v>
      </c>
      <c r="B324" s="406" t="s">
        <v>83</v>
      </c>
      <c r="C324" s="411">
        <v>2.0413918945479947</v>
      </c>
      <c r="D324" s="411">
        <v>2.002834526545016</v>
      </c>
      <c r="E324" s="411">
        <v>2.0176858680119603</v>
      </c>
      <c r="F324" s="411">
        <v>2.010800066369304</v>
      </c>
      <c r="G324" s="411">
        <v>2.012461933717149</v>
      </c>
      <c r="H324" s="409"/>
      <c r="I324" s="409"/>
      <c r="K324" s="13" t="s">
        <v>25</v>
      </c>
      <c r="L324" s="406" t="s">
        <v>83</v>
      </c>
      <c r="M324" s="411">
        <f t="shared" si="43"/>
        <v>9.4406280411445778</v>
      </c>
      <c r="N324" s="411">
        <f t="shared" si="44"/>
        <v>10.075002829337917</v>
      </c>
      <c r="O324" s="411">
        <f t="shared" si="40"/>
        <v>7.4816002428042196</v>
      </c>
      <c r="P324" s="411">
        <f t="shared" si="41"/>
        <v>7.5105308297688769</v>
      </c>
      <c r="Q324" s="411">
        <f t="shared" si="42"/>
        <v>7.5355994882063175</v>
      </c>
      <c r="R324" s="409"/>
      <c r="S324" s="409"/>
    </row>
    <row r="325" spans="1:19">
      <c r="A325" s="13" t="s">
        <v>25</v>
      </c>
      <c r="B325" s="406" t="s">
        <v>84</v>
      </c>
      <c r="C325" s="411">
        <v>1.2655629156032961</v>
      </c>
      <c r="D325" s="411">
        <v>1.2655629156032961</v>
      </c>
      <c r="E325" s="411">
        <v>1.253112719644278</v>
      </c>
      <c r="F325" s="411">
        <v>1.2591017686030721</v>
      </c>
      <c r="G325" s="411">
        <v>1.2643657265074015</v>
      </c>
      <c r="H325" s="410"/>
      <c r="I325" s="410"/>
      <c r="K325" s="13" t="s">
        <v>25</v>
      </c>
      <c r="L325" s="406" t="s">
        <v>84</v>
      </c>
      <c r="M325" s="411">
        <f t="shared" si="43"/>
        <v>5.8527266522348134</v>
      </c>
      <c r="N325" s="411">
        <f t="shared" si="44"/>
        <v>6.3662523221045397</v>
      </c>
      <c r="O325" s="411">
        <f t="shared" si="40"/>
        <v>4.6465550342527919</v>
      </c>
      <c r="P325" s="411">
        <f t="shared" si="41"/>
        <v>4.7028656946409235</v>
      </c>
      <c r="Q325" s="411">
        <f t="shared" si="42"/>
        <v>4.7343771138947206</v>
      </c>
      <c r="R325" s="410"/>
      <c r="S325" s="410"/>
    </row>
    <row r="326" spans="1:19">
      <c r="A326" s="13" t="s">
        <v>27</v>
      </c>
      <c r="B326" s="406" t="s">
        <v>85</v>
      </c>
      <c r="C326" s="411">
        <v>2.4</v>
      </c>
      <c r="D326" s="411">
        <v>2.5</v>
      </c>
      <c r="E326" s="411">
        <v>2.5</v>
      </c>
      <c r="F326" s="411">
        <v>2.2999999999999998</v>
      </c>
      <c r="G326" s="411">
        <v>2.2999999999999998</v>
      </c>
      <c r="H326" s="409"/>
      <c r="I326" s="409"/>
      <c r="K326" s="13" t="s">
        <v>27</v>
      </c>
      <c r="L326" s="406" t="s">
        <v>85</v>
      </c>
      <c r="M326" s="411">
        <f t="shared" si="43"/>
        <v>11.099048330337286</v>
      </c>
      <c r="N326" s="411">
        <f t="shared" si="44"/>
        <v>12.575930132777584</v>
      </c>
      <c r="O326" s="411">
        <f t="shared" si="40"/>
        <v>9.2700260746930496</v>
      </c>
      <c r="P326" s="411">
        <f t="shared" si="41"/>
        <v>8.5907202796440671</v>
      </c>
      <c r="Q326" s="411">
        <f t="shared" si="42"/>
        <v>8.6122766013573298</v>
      </c>
      <c r="R326" s="409"/>
      <c r="S326" s="409"/>
    </row>
    <row r="327" spans="1:19">
      <c r="A327" s="13" t="s">
        <v>27</v>
      </c>
      <c r="B327" s="406" t="s">
        <v>86</v>
      </c>
      <c r="C327" s="411">
        <v>0.4</v>
      </c>
      <c r="D327" s="411">
        <v>0.3</v>
      </c>
      <c r="E327" s="411">
        <v>0.4</v>
      </c>
      <c r="F327" s="411">
        <v>0.3</v>
      </c>
      <c r="G327" s="411">
        <v>0.3</v>
      </c>
      <c r="H327" s="409"/>
      <c r="I327" s="409"/>
      <c r="K327" s="13" t="s">
        <v>27</v>
      </c>
      <c r="L327" s="406" t="s">
        <v>86</v>
      </c>
      <c r="M327" s="411">
        <f t="shared" si="43"/>
        <v>1.8498413883895477</v>
      </c>
      <c r="N327" s="411">
        <f t="shared" si="44"/>
        <v>1.5091116159333102</v>
      </c>
      <c r="O327" s="411">
        <f t="shared" si="40"/>
        <v>1.4832041719508879</v>
      </c>
      <c r="P327" s="411">
        <f t="shared" si="41"/>
        <v>1.120528732127487</v>
      </c>
      <c r="Q327" s="411">
        <f t="shared" si="42"/>
        <v>1.1233404262639997</v>
      </c>
      <c r="R327" s="409"/>
      <c r="S327" s="409"/>
    </row>
    <row r="328" spans="1:19">
      <c r="A328" s="13" t="s">
        <v>27</v>
      </c>
      <c r="B328" s="406" t="s">
        <v>87</v>
      </c>
      <c r="C328" s="411">
        <f>C326+C327</f>
        <v>2.8</v>
      </c>
      <c r="D328" s="411">
        <f t="shared" ref="D328:G328" si="45">D326+D327</f>
        <v>2.8</v>
      </c>
      <c r="E328" s="411">
        <f t="shared" si="45"/>
        <v>2.9</v>
      </c>
      <c r="F328" s="411">
        <f t="shared" si="45"/>
        <v>2.5999999999999996</v>
      </c>
      <c r="G328" s="411">
        <f t="shared" si="45"/>
        <v>2.5999999999999996</v>
      </c>
      <c r="H328" s="409"/>
      <c r="I328" s="409"/>
      <c r="K328" s="13" t="s">
        <v>27</v>
      </c>
      <c r="L328" s="406" t="s">
        <v>87</v>
      </c>
      <c r="M328" s="411">
        <f t="shared" si="43"/>
        <v>12.948889718726832</v>
      </c>
      <c r="N328" s="411">
        <f t="shared" si="44"/>
        <v>14.085041748710895</v>
      </c>
      <c r="O328" s="411">
        <f t="shared" si="40"/>
        <v>10.753230246643938</v>
      </c>
      <c r="P328" s="411">
        <f t="shared" si="41"/>
        <v>9.7112490117715531</v>
      </c>
      <c r="Q328" s="411">
        <f t="shared" si="42"/>
        <v>9.7356170276213305</v>
      </c>
      <c r="R328" s="409"/>
      <c r="S328" s="409"/>
    </row>
    <row r="329" spans="1:19">
      <c r="A329" s="13" t="s">
        <v>22</v>
      </c>
      <c r="B329" s="406" t="s">
        <v>88</v>
      </c>
      <c r="C329" s="411">
        <v>5.794647515116063</v>
      </c>
      <c r="D329" s="411">
        <v>5.6654995528096048</v>
      </c>
      <c r="E329" s="411">
        <v>5.4459801653220365</v>
      </c>
      <c r="F329" s="411">
        <v>5.2315625946540782</v>
      </c>
      <c r="G329" s="411">
        <v>5.0709512798558656</v>
      </c>
      <c r="H329" s="409"/>
      <c r="I329" s="409"/>
      <c r="K329" s="13" t="s">
        <v>22</v>
      </c>
      <c r="L329" s="406" t="s">
        <v>88</v>
      </c>
      <c r="M329" s="411">
        <f t="shared" si="43"/>
        <v>26.797947011475848</v>
      </c>
      <c r="N329" s="411">
        <f t="shared" si="44"/>
        <v>28.499570617366494</v>
      </c>
      <c r="O329" s="411">
        <f t="shared" si="40"/>
        <v>20.193751253918578</v>
      </c>
      <c r="P329" s="411">
        <f t="shared" si="41"/>
        <v>19.540387337444404</v>
      </c>
      <c r="Q329" s="411">
        <f t="shared" si="42"/>
        <v>18.988015240924213</v>
      </c>
      <c r="R329" s="409"/>
      <c r="S329" s="409"/>
    </row>
    <row r="330" spans="1:19">
      <c r="A330" s="13" t="s">
        <v>29</v>
      </c>
      <c r="B330" s="406" t="s">
        <v>29</v>
      </c>
      <c r="C330" s="411">
        <v>0.8</v>
      </c>
      <c r="D330" s="411">
        <v>0.8</v>
      </c>
      <c r="E330" s="411">
        <v>0.8</v>
      </c>
      <c r="F330" s="411">
        <v>0.9</v>
      </c>
      <c r="G330" s="411">
        <v>0.9</v>
      </c>
      <c r="H330" s="409"/>
      <c r="I330" s="409"/>
      <c r="K330" s="13" t="s">
        <v>29</v>
      </c>
      <c r="L330" s="406" t="s">
        <v>29</v>
      </c>
      <c r="M330" s="411">
        <f t="shared" si="43"/>
        <v>3.6996827767790954</v>
      </c>
      <c r="N330" s="411">
        <f t="shared" si="44"/>
        <v>4.0242976424888273</v>
      </c>
      <c r="O330" s="411">
        <f t="shared" si="40"/>
        <v>2.9664083439017759</v>
      </c>
      <c r="P330" s="411">
        <f t="shared" si="41"/>
        <v>3.3615861963824614</v>
      </c>
      <c r="Q330" s="411">
        <f t="shared" si="42"/>
        <v>3.3700212787919996</v>
      </c>
      <c r="R330" s="409"/>
      <c r="S330" s="409"/>
    </row>
    <row r="331" spans="1:19">
      <c r="A331" s="13" t="s">
        <v>22</v>
      </c>
      <c r="B331" s="406" t="s">
        <v>89</v>
      </c>
      <c r="C331" s="411">
        <v>1.067077173491312</v>
      </c>
      <c r="D331" s="411">
        <v>1.1377699704587949</v>
      </c>
      <c r="E331" s="411">
        <v>1.1288688837653649</v>
      </c>
      <c r="F331" s="411">
        <v>1.0874595680858687</v>
      </c>
      <c r="G331" s="411">
        <v>1.0132559350168759</v>
      </c>
      <c r="H331" s="409"/>
      <c r="I331" s="409"/>
      <c r="K331" s="13" t="s">
        <v>22</v>
      </c>
      <c r="L331" s="406" t="s">
        <v>89</v>
      </c>
      <c r="M331" s="411">
        <f t="shared" si="43"/>
        <v>4.9348088003249071</v>
      </c>
      <c r="N331" s="411">
        <f t="shared" si="44"/>
        <v>5.7234062622648887</v>
      </c>
      <c r="O331" s="411">
        <f t="shared" si="40"/>
        <v>4.1858575949658281</v>
      </c>
      <c r="P331" s="411">
        <f t="shared" si="41"/>
        <v>4.0617656368905442</v>
      </c>
      <c r="Q331" s="411">
        <f t="shared" si="42"/>
        <v>3.7941045131879507</v>
      </c>
      <c r="R331" s="409"/>
      <c r="S331" s="409"/>
    </row>
    <row r="332" spans="1:19">
      <c r="A332" s="13" t="s">
        <v>22</v>
      </c>
      <c r="B332" s="406" t="s">
        <v>47</v>
      </c>
      <c r="C332" s="411">
        <v>1.4458842789006556</v>
      </c>
      <c r="D332" s="411">
        <v>1.7460048691359407</v>
      </c>
      <c r="E332" s="411">
        <v>1.7400275177290305</v>
      </c>
      <c r="F332" s="411">
        <v>1.7353254561791309</v>
      </c>
      <c r="G332" s="411">
        <v>1.6416771715292762</v>
      </c>
      <c r="H332" s="409"/>
      <c r="I332" s="409"/>
      <c r="K332" s="13" t="s">
        <v>22</v>
      </c>
      <c r="L332" s="406" t="s">
        <v>47</v>
      </c>
      <c r="M332" s="411">
        <f t="shared" si="43"/>
        <v>6.6866414548305206</v>
      </c>
      <c r="N332" s="411">
        <f t="shared" si="44"/>
        <v>8.7830540982972245</v>
      </c>
      <c r="O332" s="411">
        <f t="shared" si="40"/>
        <v>6.4520401840126143</v>
      </c>
      <c r="P332" s="411">
        <f t="shared" si="41"/>
        <v>6.4816067774698496</v>
      </c>
      <c r="Q332" s="411">
        <f t="shared" si="42"/>
        <v>6.1472077788452495</v>
      </c>
      <c r="R332" s="409"/>
      <c r="S332" s="409"/>
    </row>
    <row r="333" spans="1:19">
      <c r="K333" s="141"/>
      <c r="L333" s="141"/>
      <c r="M333" s="141"/>
    </row>
    <row r="334" spans="1:19">
      <c r="K334" s="141"/>
      <c r="L334" s="141"/>
      <c r="M334" s="424"/>
    </row>
    <row r="335" spans="1:19">
      <c r="K335" s="141"/>
      <c r="M335" s="141"/>
    </row>
    <row r="336" spans="1:19">
      <c r="K336" s="124" t="s">
        <v>232</v>
      </c>
      <c r="L336" s="124" t="s">
        <v>233</v>
      </c>
      <c r="M336" s="141"/>
      <c r="N336" s="141"/>
    </row>
    <row r="337" spans="10:19">
      <c r="J337" s="412"/>
      <c r="K337" s="141"/>
      <c r="L337" s="414"/>
      <c r="M337" s="141"/>
      <c r="N337" s="141"/>
    </row>
    <row r="338" spans="10:19">
      <c r="J338" s="412"/>
      <c r="K338" s="50" t="s">
        <v>6</v>
      </c>
      <c r="L338" s="407" t="s">
        <v>3</v>
      </c>
      <c r="M338" s="211">
        <f>RIIO_2_start_date</f>
        <v>2022</v>
      </c>
      <c r="N338" s="212">
        <f t="shared" ref="N338:S338" si="46">M338+1</f>
        <v>2023</v>
      </c>
      <c r="O338" s="212">
        <f t="shared" si="46"/>
        <v>2024</v>
      </c>
      <c r="P338" s="212">
        <f t="shared" si="46"/>
        <v>2025</v>
      </c>
      <c r="Q338" s="212">
        <f t="shared" si="46"/>
        <v>2026</v>
      </c>
      <c r="R338" s="212">
        <f t="shared" si="46"/>
        <v>2027</v>
      </c>
      <c r="S338" s="212">
        <f t="shared" si="46"/>
        <v>2028</v>
      </c>
    </row>
    <row r="339" spans="10:19">
      <c r="J339" s="412"/>
      <c r="K339" s="13" t="s">
        <v>19</v>
      </c>
      <c r="L339" s="406" t="s">
        <v>64</v>
      </c>
      <c r="M339" s="409"/>
      <c r="N339" s="409"/>
      <c r="O339" s="411">
        <f t="shared" ref="O339:O352" si="47">E304*H$27</f>
        <v>1.7757279918625033</v>
      </c>
      <c r="P339" s="411">
        <f t="shared" ref="P339:P352" si="48">F304*I$27</f>
        <v>1.7178651106081508</v>
      </c>
      <c r="Q339" s="411">
        <f t="shared" ref="Q339:Q352" si="49">G304*J$27</f>
        <v>1.6218739560029958</v>
      </c>
      <c r="R339" s="411">
        <f t="shared" ref="R339:R352" si="50">H304*K$27</f>
        <v>1.6060756544212214</v>
      </c>
      <c r="S339" s="411">
        <f t="shared" ref="S339:S352" si="51">I304*L$27</f>
        <v>1.6377448065950038</v>
      </c>
    </row>
    <row r="340" spans="10:19">
      <c r="J340" s="412"/>
      <c r="K340" s="13" t="s">
        <v>19</v>
      </c>
      <c r="L340" s="406" t="s">
        <v>65</v>
      </c>
      <c r="M340" s="409"/>
      <c r="N340" s="409"/>
      <c r="O340" s="411">
        <f t="shared" si="47"/>
        <v>1.6915677739346682</v>
      </c>
      <c r="P340" s="411">
        <f t="shared" si="48"/>
        <v>1.7440828238334276</v>
      </c>
      <c r="Q340" s="411">
        <f t="shared" si="49"/>
        <v>1.6156343274562719</v>
      </c>
      <c r="R340" s="411">
        <f t="shared" si="50"/>
        <v>1.4787645865103316</v>
      </c>
      <c r="S340" s="411">
        <f t="shared" si="51"/>
        <v>1.3208492165548564</v>
      </c>
    </row>
    <row r="341" spans="10:19">
      <c r="J341" s="412"/>
      <c r="K341" s="13" t="s">
        <v>19</v>
      </c>
      <c r="L341" s="406" t="s">
        <v>66</v>
      </c>
      <c r="M341" s="409"/>
      <c r="N341" s="409"/>
      <c r="O341" s="411">
        <f t="shared" si="47"/>
        <v>2.2888172559873641</v>
      </c>
      <c r="P341" s="411">
        <f t="shared" si="48"/>
        <v>2.309533657851945</v>
      </c>
      <c r="Q341" s="411">
        <f t="shared" si="49"/>
        <v>1.9914718814907095</v>
      </c>
      <c r="R341" s="411">
        <f t="shared" si="50"/>
        <v>1.8133919749167566</v>
      </c>
      <c r="S341" s="411">
        <f t="shared" si="51"/>
        <v>1.5700636600632347</v>
      </c>
    </row>
    <row r="342" spans="10:19">
      <c r="J342" s="412"/>
      <c r="K342" s="13" t="s">
        <v>19</v>
      </c>
      <c r="L342" s="406" t="s">
        <v>67</v>
      </c>
      <c r="M342" s="409"/>
      <c r="N342" s="409"/>
      <c r="O342" s="411">
        <f t="shared" si="47"/>
        <v>2.4267272830433169</v>
      </c>
      <c r="P342" s="411">
        <f t="shared" si="48"/>
        <v>2.6249724659015654</v>
      </c>
      <c r="Q342" s="411">
        <f t="shared" si="49"/>
        <v>3.13077031527382</v>
      </c>
      <c r="R342" s="411">
        <f t="shared" si="50"/>
        <v>3.1327087631517303</v>
      </c>
      <c r="S342" s="411">
        <f t="shared" si="51"/>
        <v>3.0824024254405122</v>
      </c>
    </row>
    <row r="343" spans="10:19">
      <c r="J343" s="412"/>
      <c r="K343" s="13" t="s">
        <v>19</v>
      </c>
      <c r="L343" s="406" t="s">
        <v>68</v>
      </c>
      <c r="M343" s="409"/>
      <c r="N343" s="409"/>
      <c r="O343" s="411">
        <f t="shared" si="47"/>
        <v>1.6159991885315264</v>
      </c>
      <c r="P343" s="411">
        <f t="shared" si="48"/>
        <v>1.6186929935248988</v>
      </c>
      <c r="Q343" s="411">
        <f t="shared" si="49"/>
        <v>1.9243327711309406</v>
      </c>
      <c r="R343" s="411">
        <f t="shared" si="50"/>
        <v>2.0056686409876665</v>
      </c>
      <c r="S343" s="411">
        <f t="shared" si="51"/>
        <v>2.0452162191325636</v>
      </c>
    </row>
    <row r="344" spans="10:19">
      <c r="J344" s="412"/>
      <c r="K344" s="13" t="s">
        <v>19</v>
      </c>
      <c r="L344" s="406" t="s">
        <v>69</v>
      </c>
      <c r="M344" s="409"/>
      <c r="N344" s="409"/>
      <c r="O344" s="411">
        <f t="shared" si="47"/>
        <v>2.4957058645096453</v>
      </c>
      <c r="P344" s="411">
        <f t="shared" si="48"/>
        <v>1.9651749542239023</v>
      </c>
      <c r="Q344" s="411">
        <f t="shared" si="49"/>
        <v>2.2081899733177734</v>
      </c>
      <c r="R344" s="411">
        <f t="shared" si="50"/>
        <v>2.2170109808927445</v>
      </c>
      <c r="S344" s="411">
        <f t="shared" si="51"/>
        <v>2.1225761197398829</v>
      </c>
    </row>
    <row r="345" spans="10:19">
      <c r="J345" s="412"/>
      <c r="K345" s="13" t="s">
        <v>19</v>
      </c>
      <c r="L345" s="406" t="s">
        <v>70</v>
      </c>
      <c r="M345" s="409"/>
      <c r="N345" s="409"/>
      <c r="O345" s="411">
        <f t="shared" si="47"/>
        <v>1.9056934784461494</v>
      </c>
      <c r="P345" s="411">
        <f t="shared" si="48"/>
        <v>1.9200495747212973</v>
      </c>
      <c r="Q345" s="411">
        <f t="shared" si="49"/>
        <v>1.4961546011240312</v>
      </c>
      <c r="R345" s="411">
        <f t="shared" si="50"/>
        <v>1.5342550121547878</v>
      </c>
      <c r="S345" s="411">
        <f t="shared" si="51"/>
        <v>1.5623067455913091</v>
      </c>
    </row>
    <row r="346" spans="10:19">
      <c r="J346" s="412"/>
      <c r="K346" s="13" t="s">
        <v>19</v>
      </c>
      <c r="L346" s="406" t="s">
        <v>71</v>
      </c>
      <c r="M346" s="409"/>
      <c r="N346" s="409"/>
      <c r="O346" s="411">
        <f t="shared" si="47"/>
        <v>1.6846966820290135</v>
      </c>
      <c r="P346" s="411">
        <f t="shared" si="48"/>
        <v>1.7142725916560844</v>
      </c>
      <c r="Q346" s="411">
        <f t="shared" si="49"/>
        <v>1.6978071297007422</v>
      </c>
      <c r="R346" s="411">
        <f t="shared" si="50"/>
        <v>1.705780616763019</v>
      </c>
      <c r="S346" s="411">
        <f t="shared" si="51"/>
        <v>1.7086613467180207</v>
      </c>
    </row>
    <row r="347" spans="10:19">
      <c r="J347" s="412"/>
      <c r="K347" s="13" t="s">
        <v>19</v>
      </c>
      <c r="L347" s="406" t="s">
        <v>72</v>
      </c>
      <c r="M347" s="409"/>
      <c r="N347" s="409"/>
      <c r="O347" s="411">
        <f t="shared" si="47"/>
        <v>1.0962261738013939</v>
      </c>
      <c r="P347" s="411">
        <f t="shared" si="48"/>
        <v>1.2195919884665789</v>
      </c>
      <c r="Q347" s="411">
        <f t="shared" si="49"/>
        <v>0.94495661845767975</v>
      </c>
      <c r="R347" s="411">
        <f t="shared" si="50"/>
        <v>0.90624785636667671</v>
      </c>
      <c r="S347" s="411">
        <f t="shared" si="51"/>
        <v>0.86968854751902402</v>
      </c>
    </row>
    <row r="348" spans="10:19">
      <c r="J348" s="412"/>
      <c r="K348" s="13" t="s">
        <v>19</v>
      </c>
      <c r="L348" s="406" t="s">
        <v>73</v>
      </c>
      <c r="M348" s="409"/>
      <c r="N348" s="409"/>
      <c r="O348" s="411">
        <f t="shared" si="47"/>
        <v>3.1565151400136915</v>
      </c>
      <c r="P348" s="411">
        <f t="shared" si="48"/>
        <v>3.3650259635804356</v>
      </c>
      <c r="Q348" s="411">
        <f t="shared" si="49"/>
        <v>3.0899203601656446</v>
      </c>
      <c r="R348" s="411">
        <f t="shared" si="50"/>
        <v>2.7395462542433688</v>
      </c>
      <c r="S348" s="411">
        <f t="shared" si="51"/>
        <v>2.2956544395187128</v>
      </c>
    </row>
    <row r="349" spans="10:19">
      <c r="J349" s="412"/>
      <c r="K349" s="13" t="s">
        <v>19</v>
      </c>
      <c r="L349" s="406" t="s">
        <v>74</v>
      </c>
      <c r="M349" s="409"/>
      <c r="N349" s="409"/>
      <c r="O349" s="411">
        <f t="shared" si="47"/>
        <v>2.6690886783545436</v>
      </c>
      <c r="P349" s="411">
        <f t="shared" si="48"/>
        <v>2.6255026375734576</v>
      </c>
      <c r="Q349" s="411">
        <f t="shared" si="49"/>
        <v>2.4427785758945326</v>
      </c>
      <c r="R349" s="411">
        <f t="shared" si="50"/>
        <v>2.1311866848682492</v>
      </c>
      <c r="S349" s="411">
        <f t="shared" si="51"/>
        <v>1.8254520731513779</v>
      </c>
    </row>
    <row r="350" spans="10:19">
      <c r="J350" s="412"/>
      <c r="K350" s="13" t="s">
        <v>19</v>
      </c>
      <c r="L350" s="406" t="s">
        <v>75</v>
      </c>
      <c r="M350" s="409"/>
      <c r="N350" s="409"/>
      <c r="O350" s="411">
        <f t="shared" si="47"/>
        <v>2.8824290652641125</v>
      </c>
      <c r="P350" s="411">
        <f t="shared" si="48"/>
        <v>2.8951186906880202</v>
      </c>
      <c r="Q350" s="411">
        <f t="shared" si="49"/>
        <v>2.7073905710782014</v>
      </c>
      <c r="R350" s="411">
        <f t="shared" si="50"/>
        <v>2.3316331855924104</v>
      </c>
      <c r="S350" s="411">
        <f t="shared" si="51"/>
        <v>2.202916623769144</v>
      </c>
    </row>
    <row r="351" spans="10:19">
      <c r="J351" s="412"/>
      <c r="K351" s="13" t="s">
        <v>19</v>
      </c>
      <c r="L351" s="406" t="s">
        <v>76</v>
      </c>
      <c r="M351" s="409"/>
      <c r="N351" s="409"/>
      <c r="O351" s="411">
        <f t="shared" si="47"/>
        <v>1.1628786229142152</v>
      </c>
      <c r="P351" s="411">
        <f t="shared" si="48"/>
        <v>1.1121541743618508</v>
      </c>
      <c r="Q351" s="411">
        <f t="shared" si="49"/>
        <v>1.0611348482349821</v>
      </c>
      <c r="R351" s="411">
        <f t="shared" si="50"/>
        <v>0.89337391261846655</v>
      </c>
      <c r="S351" s="411">
        <f t="shared" si="51"/>
        <v>0.91255432184675456</v>
      </c>
    </row>
    <row r="352" spans="10:19">
      <c r="J352" s="412"/>
      <c r="K352" s="13" t="s">
        <v>19</v>
      </c>
      <c r="L352" s="406" t="s">
        <v>77</v>
      </c>
      <c r="M352" s="409"/>
      <c r="N352" s="409"/>
      <c r="O352" s="411">
        <f t="shared" si="47"/>
        <v>1.6733711929589401</v>
      </c>
      <c r="P352" s="411">
        <f t="shared" si="48"/>
        <v>1.7419060478940598</v>
      </c>
      <c r="Q352" s="411">
        <f t="shared" si="49"/>
        <v>1.6531876071816527</v>
      </c>
      <c r="R352" s="411">
        <f t="shared" si="50"/>
        <v>1.3708422052996889</v>
      </c>
      <c r="S352" s="411">
        <f t="shared" si="51"/>
        <v>1.3162191748187655</v>
      </c>
    </row>
    <row r="353" spans="9:19">
      <c r="J353" s="412"/>
      <c r="K353" s="13" t="s">
        <v>25</v>
      </c>
      <c r="L353" s="406" t="s">
        <v>78</v>
      </c>
      <c r="M353" s="411">
        <f t="shared" ref="M353:M367" si="52">C318*F$27</f>
        <v>2.0133728461154154</v>
      </c>
      <c r="N353" s="411">
        <f t="shared" ref="N353:N367" si="53">D318*G$27</f>
        <v>2.1418957231904723</v>
      </c>
      <c r="O353" s="411">
        <f t="shared" ref="O353:O367" si="54">E318*H$27</f>
        <v>2.222245249479605</v>
      </c>
      <c r="P353" s="411">
        <f t="shared" ref="P353:P367" si="55">F318*I$27</f>
        <v>2.2083121622879047</v>
      </c>
      <c r="Q353" s="411">
        <f t="shared" ref="Q353:Q367" si="56">G318*J$27</f>
        <v>2.1823964179976172</v>
      </c>
      <c r="R353" s="409"/>
      <c r="S353" s="409"/>
    </row>
    <row r="354" spans="9:19">
      <c r="J354" s="412"/>
      <c r="K354" s="13" t="s">
        <v>25</v>
      </c>
      <c r="L354" s="406" t="s">
        <v>79</v>
      </c>
      <c r="M354" s="411">
        <f t="shared" si="52"/>
        <v>1.45159346496409</v>
      </c>
      <c r="N354" s="411">
        <f t="shared" si="53"/>
        <v>1.5479360762098613</v>
      </c>
      <c r="O354" s="411">
        <f t="shared" si="54"/>
        <v>1.613262844714668</v>
      </c>
      <c r="P354" s="411">
        <f t="shared" si="55"/>
        <v>1.6044473202236715</v>
      </c>
      <c r="Q354" s="411">
        <f t="shared" si="56"/>
        <v>1.5862959747577656</v>
      </c>
      <c r="R354" s="409"/>
      <c r="S354" s="409"/>
    </row>
    <row r="355" spans="9:19">
      <c r="J355" s="412"/>
      <c r="K355" s="13" t="s">
        <v>25</v>
      </c>
      <c r="L355" s="406" t="s">
        <v>80</v>
      </c>
      <c r="M355" s="411">
        <f t="shared" si="52"/>
        <v>1.0750684474433292</v>
      </c>
      <c r="N355" s="411">
        <f t="shared" si="53"/>
        <v>1.1449237963538723</v>
      </c>
      <c r="O355" s="411">
        <f t="shared" si="54"/>
        <v>1.1895765842783013</v>
      </c>
      <c r="P355" s="411">
        <f t="shared" si="55"/>
        <v>1.1798775178893925</v>
      </c>
      <c r="Q355" s="411">
        <f t="shared" si="56"/>
        <v>1.1710807788381066</v>
      </c>
      <c r="R355" s="409"/>
      <c r="S355" s="409"/>
    </row>
    <row r="356" spans="9:19">
      <c r="J356" s="412"/>
      <c r="K356" s="13" t="s">
        <v>25</v>
      </c>
      <c r="L356" s="406" t="s">
        <v>4</v>
      </c>
      <c r="M356" s="411">
        <f t="shared" si="52"/>
        <v>1.4005094318518456</v>
      </c>
      <c r="N356" s="411">
        <f t="shared" si="53"/>
        <v>1.5044887127457629</v>
      </c>
      <c r="O356" s="411">
        <f t="shared" si="54"/>
        <v>1.5591880766783908</v>
      </c>
      <c r="P356" s="411">
        <f t="shared" si="55"/>
        <v>1.5389545599030887</v>
      </c>
      <c r="Q356" s="411">
        <f t="shared" si="56"/>
        <v>1.5173050379545079</v>
      </c>
      <c r="R356" s="409"/>
      <c r="S356" s="409"/>
    </row>
    <row r="357" spans="9:19">
      <c r="J357" s="412"/>
      <c r="K357" s="13" t="s">
        <v>25</v>
      </c>
      <c r="L357" s="406" t="s">
        <v>81</v>
      </c>
      <c r="M357" s="411">
        <f t="shared" si="52"/>
        <v>1.3770020969944794</v>
      </c>
      <c r="N357" s="411">
        <f t="shared" si="53"/>
        <v>1.4698237328853871</v>
      </c>
      <c r="O357" s="411">
        <f t="shared" si="54"/>
        <v>1.5772919400197587</v>
      </c>
      <c r="P357" s="411">
        <f t="shared" si="55"/>
        <v>1.590992293836353</v>
      </c>
      <c r="Q357" s="411">
        <f t="shared" si="56"/>
        <v>1.5886328857851693</v>
      </c>
      <c r="R357" s="409"/>
      <c r="S357" s="409"/>
    </row>
    <row r="358" spans="9:19">
      <c r="J358" s="412"/>
      <c r="K358" s="13" t="s">
        <v>25</v>
      </c>
      <c r="L358" s="406" t="s">
        <v>82</v>
      </c>
      <c r="M358" s="411">
        <f t="shared" si="52"/>
        <v>1.0505445643506788</v>
      </c>
      <c r="N358" s="411">
        <f t="shared" si="53"/>
        <v>1.1493864205578144</v>
      </c>
      <c r="O358" s="411">
        <f t="shared" si="54"/>
        <v>1.2043451829416734</v>
      </c>
      <c r="P358" s="411">
        <f t="shared" si="55"/>
        <v>1.2017329422815612</v>
      </c>
      <c r="Q358" s="411">
        <f t="shared" si="56"/>
        <v>1.1949327539519448</v>
      </c>
      <c r="R358" s="409"/>
      <c r="S358" s="409"/>
    </row>
    <row r="359" spans="9:19">
      <c r="J359" s="412"/>
      <c r="K359" s="13" t="s">
        <v>25</v>
      </c>
      <c r="L359" s="406" t="s">
        <v>83</v>
      </c>
      <c r="M359" s="411">
        <f t="shared" si="52"/>
        <v>2.2144683059474937</v>
      </c>
      <c r="N359" s="411">
        <f t="shared" si="53"/>
        <v>2.3632722686101286</v>
      </c>
      <c r="O359" s="411">
        <f t="shared" si="54"/>
        <v>2.4938667476014067</v>
      </c>
      <c r="P359" s="411">
        <f t="shared" si="55"/>
        <v>2.5035102765896258</v>
      </c>
      <c r="Q359" s="411">
        <f t="shared" si="56"/>
        <v>2.5118664960687727</v>
      </c>
      <c r="R359" s="409"/>
      <c r="S359" s="409"/>
    </row>
    <row r="360" spans="9:19">
      <c r="J360" s="412"/>
      <c r="K360" s="13" t="s">
        <v>25</v>
      </c>
      <c r="L360" s="406" t="s">
        <v>84</v>
      </c>
      <c r="M360" s="411">
        <f t="shared" si="52"/>
        <v>1.3728618073143388</v>
      </c>
      <c r="N360" s="411">
        <f t="shared" si="53"/>
        <v>1.493318445925756</v>
      </c>
      <c r="O360" s="411">
        <f t="shared" si="54"/>
        <v>1.5488516780842638</v>
      </c>
      <c r="P360" s="411">
        <f t="shared" si="55"/>
        <v>1.5676218982136412</v>
      </c>
      <c r="Q360" s="411">
        <f t="shared" si="56"/>
        <v>1.5781257046315735</v>
      </c>
      <c r="R360" s="410"/>
      <c r="S360" s="410"/>
    </row>
    <row r="361" spans="9:19">
      <c r="J361" s="412"/>
      <c r="K361" s="13" t="s">
        <v>27</v>
      </c>
      <c r="L361" s="406" t="s">
        <v>85</v>
      </c>
      <c r="M361" s="411">
        <f t="shared" si="52"/>
        <v>2.6034804725482519</v>
      </c>
      <c r="N361" s="411">
        <f t="shared" si="53"/>
        <v>2.9499095373181987</v>
      </c>
      <c r="O361" s="411">
        <f t="shared" si="54"/>
        <v>3.0900086915643499</v>
      </c>
      <c r="P361" s="411">
        <f t="shared" si="55"/>
        <v>2.8635734265480224</v>
      </c>
      <c r="Q361" s="411">
        <f t="shared" si="56"/>
        <v>2.8707588671191102</v>
      </c>
      <c r="R361" s="409"/>
      <c r="S361" s="409"/>
    </row>
    <row r="362" spans="9:19">
      <c r="J362" s="412"/>
      <c r="K362" s="13" t="s">
        <v>27</v>
      </c>
      <c r="L362" s="406" t="s">
        <v>86</v>
      </c>
      <c r="M362" s="411">
        <f t="shared" si="52"/>
        <v>0.43391341209137535</v>
      </c>
      <c r="N362" s="411">
        <f t="shared" si="53"/>
        <v>0.35398914447818386</v>
      </c>
      <c r="O362" s="411">
        <f t="shared" si="54"/>
        <v>0.49440139065029598</v>
      </c>
      <c r="P362" s="411">
        <f t="shared" si="55"/>
        <v>0.37350957737582902</v>
      </c>
      <c r="Q362" s="411">
        <f t="shared" si="56"/>
        <v>0.37444680875466657</v>
      </c>
      <c r="R362" s="409"/>
      <c r="S362" s="409"/>
    </row>
    <row r="363" spans="9:19">
      <c r="J363" s="412"/>
      <c r="K363" s="13" t="s">
        <v>27</v>
      </c>
      <c r="L363" s="406" t="s">
        <v>87</v>
      </c>
      <c r="M363" s="411">
        <f t="shared" si="52"/>
        <v>3.0373938846396271</v>
      </c>
      <c r="N363" s="411">
        <f t="shared" si="53"/>
        <v>3.3038986817963827</v>
      </c>
      <c r="O363" s="411">
        <f t="shared" si="54"/>
        <v>3.5844100822146459</v>
      </c>
      <c r="P363" s="411">
        <f t="shared" si="55"/>
        <v>3.2370830039238512</v>
      </c>
      <c r="Q363" s="411">
        <f t="shared" si="56"/>
        <v>3.2452056758737768</v>
      </c>
      <c r="R363" s="409"/>
      <c r="S363" s="409"/>
    </row>
    <row r="364" spans="9:19">
      <c r="K364" s="13" t="s">
        <v>22</v>
      </c>
      <c r="L364" s="406" t="s">
        <v>88</v>
      </c>
      <c r="M364" s="411">
        <f t="shared" si="52"/>
        <v>6.2859381878770506</v>
      </c>
      <c r="N364" s="411">
        <f t="shared" si="53"/>
        <v>6.6850844658020172</v>
      </c>
      <c r="O364" s="411">
        <f t="shared" si="54"/>
        <v>6.7312504179728592</v>
      </c>
      <c r="P364" s="411">
        <f t="shared" si="55"/>
        <v>6.5134624458148016</v>
      </c>
      <c r="Q364" s="411">
        <f t="shared" si="56"/>
        <v>6.3293384136414037</v>
      </c>
      <c r="R364" s="409"/>
      <c r="S364" s="409"/>
    </row>
    <row r="365" spans="9:19">
      <c r="I365" s="412"/>
      <c r="K365" s="13" t="s">
        <v>29</v>
      </c>
      <c r="L365" s="406" t="s">
        <v>29</v>
      </c>
      <c r="M365" s="411">
        <f t="shared" si="52"/>
        <v>0.8678268241827507</v>
      </c>
      <c r="N365" s="411">
        <f t="shared" si="53"/>
        <v>0.94397105194182362</v>
      </c>
      <c r="O365" s="411">
        <f t="shared" si="54"/>
        <v>0.98880278130059196</v>
      </c>
      <c r="P365" s="411">
        <f t="shared" si="55"/>
        <v>1.120528732127487</v>
      </c>
      <c r="Q365" s="411">
        <f t="shared" si="56"/>
        <v>1.1233404262639999</v>
      </c>
      <c r="R365" s="409"/>
      <c r="S365" s="409"/>
    </row>
    <row r="366" spans="9:19">
      <c r="I366" s="412"/>
      <c r="K366" s="13" t="s">
        <v>22</v>
      </c>
      <c r="L366" s="406" t="s">
        <v>89</v>
      </c>
      <c r="M366" s="411">
        <f t="shared" si="52"/>
        <v>1.1575477432860892</v>
      </c>
      <c r="N366" s="411">
        <f t="shared" si="53"/>
        <v>1.3425273948522578</v>
      </c>
      <c r="O366" s="411">
        <f t="shared" si="54"/>
        <v>1.3952858649886093</v>
      </c>
      <c r="P366" s="411">
        <f t="shared" si="55"/>
        <v>1.3539218789635148</v>
      </c>
      <c r="Q366" s="411">
        <f t="shared" si="56"/>
        <v>1.2647015043959835</v>
      </c>
      <c r="R366" s="409"/>
      <c r="S366" s="409"/>
    </row>
    <row r="367" spans="9:19">
      <c r="I367" s="412"/>
      <c r="K367" s="13" t="s">
        <v>22</v>
      </c>
      <c r="L367" s="406" t="s">
        <v>47</v>
      </c>
      <c r="M367" s="411">
        <f t="shared" si="52"/>
        <v>1.5684714523676531</v>
      </c>
      <c r="N367" s="411">
        <f t="shared" si="53"/>
        <v>2.06022256626725</v>
      </c>
      <c r="O367" s="411">
        <f t="shared" si="54"/>
        <v>2.1506800613375381</v>
      </c>
      <c r="P367" s="411">
        <f t="shared" si="55"/>
        <v>2.1605355924899499</v>
      </c>
      <c r="Q367" s="411">
        <f t="shared" si="56"/>
        <v>2.049069259615083</v>
      </c>
      <c r="R367" s="409"/>
      <c r="S367" s="409"/>
    </row>
    <row r="368" spans="9:19">
      <c r="I368" s="412"/>
      <c r="K368" s="141"/>
      <c r="L368" s="141"/>
      <c r="M368" s="141"/>
    </row>
    <row r="369" spans="9:9">
      <c r="I369" s="412"/>
    </row>
    <row r="370" spans="9:9">
      <c r="I370" s="412"/>
    </row>
    <row r="371" spans="9:9">
      <c r="I371" s="412"/>
    </row>
    <row r="372" spans="9:9">
      <c r="I372" s="412"/>
    </row>
  </sheetData>
  <mergeCells count="139">
    <mergeCell ref="E247:I247"/>
    <mergeCell ref="B239:C239"/>
    <mergeCell ref="B240:C240"/>
    <mergeCell ref="B241:C241"/>
    <mergeCell ref="B242:C242"/>
    <mergeCell ref="B243:C243"/>
    <mergeCell ref="B244:C244"/>
    <mergeCell ref="B246:C246"/>
    <mergeCell ref="B247:C247"/>
    <mergeCell ref="E240:I240"/>
    <mergeCell ref="E241:I241"/>
    <mergeCell ref="B211:C211"/>
    <mergeCell ref="E239:I239"/>
    <mergeCell ref="E236:I236"/>
    <mergeCell ref="B230:C230"/>
    <mergeCell ref="E218:I218"/>
    <mergeCell ref="E219:I219"/>
    <mergeCell ref="E220:I220"/>
    <mergeCell ref="E217:I217"/>
    <mergeCell ref="B218:C218"/>
    <mergeCell ref="B219:C219"/>
    <mergeCell ref="B220:C220"/>
    <mergeCell ref="B224:C224"/>
    <mergeCell ref="B225:C225"/>
    <mergeCell ref="E221:I221"/>
    <mergeCell ref="E223:I223"/>
    <mergeCell ref="E224:I224"/>
    <mergeCell ref="E225:I225"/>
    <mergeCell ref="E235:I235"/>
    <mergeCell ref="E229:I229"/>
    <mergeCell ref="E230:I230"/>
    <mergeCell ref="E231:I231"/>
    <mergeCell ref="E232:I232"/>
    <mergeCell ref="E233:I233"/>
    <mergeCell ref="O54:U54"/>
    <mergeCell ref="H54:N54"/>
    <mergeCell ref="B178:C178"/>
    <mergeCell ref="B196:C196"/>
    <mergeCell ref="B197:C197"/>
    <mergeCell ref="B198:C198"/>
    <mergeCell ref="B195:C195"/>
    <mergeCell ref="B207:C207"/>
    <mergeCell ref="B133:C133"/>
    <mergeCell ref="B165:C165"/>
    <mergeCell ref="B164:C164"/>
    <mergeCell ref="B144:C144"/>
    <mergeCell ref="B145:C145"/>
    <mergeCell ref="B146:C146"/>
    <mergeCell ref="B147:C147"/>
    <mergeCell ref="B148:C148"/>
    <mergeCell ref="B149:C149"/>
    <mergeCell ref="B134:C134"/>
    <mergeCell ref="B135:C135"/>
    <mergeCell ref="B136:C136"/>
    <mergeCell ref="B137:C137"/>
    <mergeCell ref="B138:C138"/>
    <mergeCell ref="B139:C139"/>
    <mergeCell ref="B153:C153"/>
    <mergeCell ref="E163:H163"/>
    <mergeCell ref="E174:H174"/>
    <mergeCell ref="E173:H173"/>
    <mergeCell ref="B158:C158"/>
    <mergeCell ref="B159:C159"/>
    <mergeCell ref="B160:C160"/>
    <mergeCell ref="B170:C170"/>
    <mergeCell ref="B150:C150"/>
    <mergeCell ref="B140:C140"/>
    <mergeCell ref="B173:C173"/>
    <mergeCell ref="B163:C163"/>
    <mergeCell ref="B166:C166"/>
    <mergeCell ref="B167:C167"/>
    <mergeCell ref="B168:C168"/>
    <mergeCell ref="B169:C169"/>
    <mergeCell ref="B155:C155"/>
    <mergeCell ref="B143:C143"/>
    <mergeCell ref="B154:C154"/>
    <mergeCell ref="B156:C156"/>
    <mergeCell ref="B157:C157"/>
    <mergeCell ref="B174:C174"/>
    <mergeCell ref="B175:C175"/>
    <mergeCell ref="B176:C176"/>
    <mergeCell ref="B177:C177"/>
    <mergeCell ref="B179:C179"/>
    <mergeCell ref="B180:C180"/>
    <mergeCell ref="E170:F170"/>
    <mergeCell ref="E164:H164"/>
    <mergeCell ref="E165:H165"/>
    <mergeCell ref="E166:H166"/>
    <mergeCell ref="E167:H167"/>
    <mergeCell ref="E168:H168"/>
    <mergeCell ref="E169:H169"/>
    <mergeCell ref="B256:C256"/>
    <mergeCell ref="B257:C257"/>
    <mergeCell ref="B258:C258"/>
    <mergeCell ref="D251:E251"/>
    <mergeCell ref="D252:E252"/>
    <mergeCell ref="E175:H175"/>
    <mergeCell ref="E176:H176"/>
    <mergeCell ref="E177:H177"/>
    <mergeCell ref="E178:H178"/>
    <mergeCell ref="E179:H179"/>
    <mergeCell ref="E180:H180"/>
    <mergeCell ref="B200:C200"/>
    <mergeCell ref="B201:C201"/>
    <mergeCell ref="E242:I242"/>
    <mergeCell ref="E243:I243"/>
    <mergeCell ref="E244:I244"/>
    <mergeCell ref="B231:C231"/>
    <mergeCell ref="B232:C232"/>
    <mergeCell ref="B235:C235"/>
    <mergeCell ref="B236:C236"/>
    <mergeCell ref="B228:C228"/>
    <mergeCell ref="E228:I228"/>
    <mergeCell ref="B233:C233"/>
    <mergeCell ref="B202:C202"/>
    <mergeCell ref="B199:C199"/>
    <mergeCell ref="B210:C210"/>
    <mergeCell ref="B245:C245"/>
    <mergeCell ref="E245:I245"/>
    <mergeCell ref="B255:C255"/>
    <mergeCell ref="B250:C250"/>
    <mergeCell ref="B251:C251"/>
    <mergeCell ref="B252:C252"/>
    <mergeCell ref="B253:C253"/>
    <mergeCell ref="B254:C254"/>
    <mergeCell ref="B203:C203"/>
    <mergeCell ref="E222:I222"/>
    <mergeCell ref="B213:C213"/>
    <mergeCell ref="B214:C214"/>
    <mergeCell ref="B212:C212"/>
    <mergeCell ref="B206:C206"/>
    <mergeCell ref="B234:C234"/>
    <mergeCell ref="E234:I234"/>
    <mergeCell ref="E246:I246"/>
    <mergeCell ref="B221:C221"/>
    <mergeCell ref="B223:C223"/>
    <mergeCell ref="B208:C208"/>
    <mergeCell ref="B209:C209"/>
    <mergeCell ref="B229:C229"/>
  </mergeCells>
  <conditionalFormatting sqref="C90:I90">
    <cfRule type="expression" dxfId="93" priority="13">
      <formula>AND(#REF!="Actuals",#REF!="Forecast")</formula>
    </cfRule>
  </conditionalFormatting>
  <conditionalFormatting sqref="H54">
    <cfRule type="expression" dxfId="90" priority="18">
      <formula>AND(#REF!="Actuals",#REF!="Forecast")</formula>
    </cfRule>
  </conditionalFormatting>
  <conditionalFormatting sqref="H55:U55">
    <cfRule type="expression" dxfId="88" priority="6">
      <formula>AND(#REF!="Actuals",#REF!="Forecast")</formula>
    </cfRule>
  </conditionalFormatting>
  <conditionalFormatting sqref="O54">
    <cfRule type="expression" dxfId="85"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C303:G303</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C36:J36 C47:J47</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E26:L26</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H303</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I303</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M303:S303 M338:S338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activeCell="C9" sqref="C9"/>
    </sheetView>
  </sheetViews>
  <sheetFormatPr defaultRowHeight="12.35"/>
  <cols>
    <col min="1" max="1" width="8.3671875" customWidth="1"/>
    <col min="2" max="2" width="23.734375" customWidth="1"/>
    <col min="3" max="3" width="25.734375" customWidth="1"/>
    <col min="4" max="4" width="9.734375" customWidth="1"/>
  </cols>
  <sheetData>
    <row r="1" spans="1:13" ht="20.350000000000001">
      <c r="A1" s="157" t="s">
        <v>234</v>
      </c>
      <c r="B1" s="157"/>
      <c r="C1" s="157"/>
      <c r="D1" s="157"/>
      <c r="E1" s="157"/>
      <c r="F1" s="157"/>
      <c r="G1" s="157"/>
      <c r="H1" s="157"/>
      <c r="I1" s="9" t="s">
        <v>235</v>
      </c>
      <c r="J1" s="10"/>
      <c r="K1" s="10"/>
      <c r="L1" s="10"/>
      <c r="M1" s="10"/>
    </row>
    <row r="2" spans="1:13" ht="20.350000000000001">
      <c r="A2" s="422" t="str">
        <f>Licensee</f>
        <v>Cadent-WM</v>
      </c>
      <c r="B2" s="157"/>
      <c r="C2" s="157"/>
      <c r="D2" s="157"/>
      <c r="E2" s="157"/>
      <c r="F2" s="157"/>
      <c r="G2" s="157"/>
      <c r="H2" s="157"/>
      <c r="I2" s="10"/>
      <c r="J2" s="10"/>
      <c r="K2" s="10"/>
      <c r="L2" s="10"/>
      <c r="M2" s="10"/>
    </row>
    <row r="3" spans="1:13" ht="20.350000000000001">
      <c r="A3" s="157">
        <f>Reporting_Year</f>
        <v>2023</v>
      </c>
      <c r="B3" s="157"/>
      <c r="C3" s="157"/>
      <c r="D3" s="157"/>
      <c r="E3" s="157"/>
      <c r="F3" s="157"/>
      <c r="G3" s="157"/>
      <c r="H3" s="157"/>
      <c r="I3" s="10"/>
      <c r="J3" s="10"/>
      <c r="K3" s="10"/>
      <c r="L3" s="10"/>
      <c r="M3" s="10"/>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236</v>
      </c>
      <c r="C6" s="4"/>
      <c r="D6" s="4"/>
      <c r="E6" s="4"/>
      <c r="F6" s="4"/>
      <c r="G6" s="4"/>
      <c r="H6" s="4"/>
      <c r="I6" s="4"/>
      <c r="J6" s="4"/>
      <c r="K6" s="4"/>
      <c r="L6" s="4"/>
      <c r="M6" s="4"/>
    </row>
    <row r="7" spans="1:13">
      <c r="A7" s="4"/>
      <c r="B7" s="4"/>
      <c r="C7" s="4"/>
      <c r="D7" s="4"/>
      <c r="E7" s="4"/>
      <c r="F7" s="4"/>
      <c r="G7" s="4"/>
      <c r="H7" s="4"/>
      <c r="I7" s="4"/>
      <c r="J7" s="4"/>
      <c r="K7" s="4"/>
      <c r="L7" s="4"/>
      <c r="M7" s="4"/>
    </row>
    <row r="8" spans="1:13">
      <c r="A8" s="4"/>
      <c r="B8" s="324" t="s">
        <v>237</v>
      </c>
      <c r="C8" s="324" t="s">
        <v>238</v>
      </c>
      <c r="D8" s="1281" t="s">
        <v>239</v>
      </c>
      <c r="E8" s="1282"/>
      <c r="F8" s="1282"/>
      <c r="G8" s="1282"/>
      <c r="H8" s="1282"/>
      <c r="I8" s="4"/>
      <c r="J8" s="4"/>
      <c r="K8" s="4"/>
      <c r="L8" s="4"/>
      <c r="M8" s="4"/>
    </row>
    <row r="9" spans="1:13">
      <c r="A9" s="4"/>
      <c r="B9" s="325" t="s">
        <v>240</v>
      </c>
      <c r="C9" s="326" t="s">
        <v>1021</v>
      </c>
      <c r="D9" s="1279"/>
      <c r="E9" s="1280"/>
      <c r="F9" s="1280"/>
      <c r="G9" s="1280"/>
      <c r="H9" s="1280"/>
      <c r="I9" s="4"/>
      <c r="J9" s="4"/>
      <c r="K9" s="4"/>
      <c r="L9" s="4"/>
      <c r="M9" s="4"/>
    </row>
    <row r="10" spans="1:13">
      <c r="A10" s="4"/>
      <c r="B10" s="325" t="s">
        <v>241</v>
      </c>
      <c r="C10" s="326"/>
      <c r="D10" s="1279"/>
      <c r="E10" s="1280"/>
      <c r="F10" s="1280"/>
      <c r="G10" s="1280"/>
      <c r="H10" s="1280"/>
      <c r="I10" s="4"/>
      <c r="J10" s="4"/>
      <c r="K10" s="4"/>
      <c r="L10" s="4"/>
      <c r="M10" s="4"/>
    </row>
    <row r="11" spans="1:13">
      <c r="A11" s="4"/>
      <c r="B11" s="325" t="s">
        <v>242</v>
      </c>
      <c r="C11" s="326"/>
      <c r="D11" s="1279"/>
      <c r="E11" s="1280"/>
      <c r="F11" s="1280"/>
      <c r="G11" s="1280"/>
      <c r="H11" s="1280"/>
      <c r="I11" s="4"/>
      <c r="J11" s="4"/>
      <c r="K11" s="4"/>
      <c r="L11" s="4"/>
      <c r="M11" s="4"/>
    </row>
    <row r="12" spans="1:13">
      <c r="A12" s="4"/>
      <c r="B12" s="325" t="s">
        <v>243</v>
      </c>
      <c r="C12" s="326"/>
      <c r="D12" s="1279"/>
      <c r="E12" s="1280"/>
      <c r="F12" s="1280"/>
      <c r="G12" s="1280"/>
      <c r="H12" s="1280"/>
      <c r="I12" s="4"/>
      <c r="J12" s="4"/>
      <c r="K12" s="4"/>
      <c r="L12" s="4"/>
      <c r="M12" s="4"/>
    </row>
    <row r="13" spans="1:13">
      <c r="A13" s="4"/>
      <c r="B13" s="325" t="s">
        <v>244</v>
      </c>
      <c r="C13" s="326"/>
      <c r="D13" s="1279"/>
      <c r="E13" s="1280"/>
      <c r="F13" s="1280"/>
      <c r="G13" s="1280"/>
      <c r="H13" s="1280"/>
      <c r="I13" s="4"/>
      <c r="J13" s="4"/>
      <c r="K13" s="4"/>
      <c r="L13" s="4"/>
      <c r="M13" s="4"/>
    </row>
    <row r="14" spans="1:13">
      <c r="A14" s="4"/>
      <c r="B14" s="325" t="s">
        <v>245</v>
      </c>
      <c r="C14" s="326"/>
      <c r="D14" s="1279"/>
      <c r="E14" s="1280"/>
      <c r="F14" s="1280"/>
      <c r="G14" s="1280"/>
      <c r="H14" s="1280"/>
      <c r="I14" s="4"/>
      <c r="J14" s="4"/>
      <c r="K14" s="4"/>
      <c r="L14" s="4"/>
      <c r="M14" s="4"/>
    </row>
    <row r="15" spans="1:13">
      <c r="A15" s="4"/>
      <c r="B15" s="325" t="s">
        <v>246</v>
      </c>
      <c r="C15" s="326"/>
      <c r="D15" s="1279"/>
      <c r="E15" s="1280"/>
      <c r="F15" s="1280"/>
      <c r="G15" s="1280"/>
      <c r="H15" s="1280"/>
      <c r="I15" s="4"/>
      <c r="J15" s="4"/>
      <c r="K15" s="4"/>
      <c r="L15" s="4"/>
      <c r="M15" s="4"/>
    </row>
    <row r="16" spans="1:13">
      <c r="A16" s="4"/>
      <c r="B16" s="325" t="s">
        <v>247</v>
      </c>
      <c r="C16" s="326"/>
      <c r="D16" s="1279"/>
      <c r="E16" s="1280"/>
      <c r="F16" s="1280"/>
      <c r="G16" s="1280"/>
      <c r="H16" s="1280"/>
      <c r="I16" s="4"/>
      <c r="J16" s="4"/>
      <c r="K16" s="4"/>
      <c r="L16" s="4"/>
      <c r="M16" s="4"/>
    </row>
    <row r="17" spans="1:13">
      <c r="A17" s="4"/>
      <c r="B17" s="325" t="s">
        <v>248</v>
      </c>
      <c r="C17" s="326"/>
      <c r="D17" s="1279"/>
      <c r="E17" s="1280"/>
      <c r="F17" s="1280"/>
      <c r="G17" s="1280"/>
      <c r="H17" s="1280"/>
      <c r="I17" s="4"/>
      <c r="J17" s="4"/>
      <c r="K17" s="4"/>
      <c r="L17" s="4"/>
      <c r="M17" s="4"/>
    </row>
    <row r="18" spans="1:13">
      <c r="A18" s="4"/>
      <c r="B18" s="325" t="s">
        <v>249</v>
      </c>
      <c r="C18" s="326"/>
      <c r="D18" s="1279"/>
      <c r="E18" s="1280"/>
      <c r="F18" s="1280"/>
      <c r="G18" s="1280"/>
      <c r="H18" s="1280"/>
      <c r="I18" s="4"/>
      <c r="J18" s="4"/>
      <c r="K18" s="4"/>
      <c r="L18" s="4"/>
      <c r="M18" s="4"/>
    </row>
    <row r="19" spans="1:13">
      <c r="A19" s="4"/>
      <c r="B19" s="4"/>
      <c r="C19" s="4"/>
      <c r="D19" s="4"/>
      <c r="E19" s="4"/>
      <c r="F19" s="4"/>
      <c r="G19" s="4"/>
      <c r="H19" s="4"/>
      <c r="I19" s="4"/>
      <c r="J19" s="4"/>
      <c r="K19" s="4"/>
      <c r="L19" s="4"/>
      <c r="M19" s="4"/>
    </row>
    <row r="20" spans="1:13">
      <c r="A20" s="4"/>
      <c r="B20" s="36"/>
      <c r="C20" s="4"/>
      <c r="D20" s="4"/>
      <c r="E20" s="4"/>
      <c r="F20" s="4"/>
      <c r="G20" s="4"/>
      <c r="H20" s="4"/>
      <c r="I20" s="4"/>
      <c r="J20" s="4"/>
      <c r="K20" s="4"/>
      <c r="L20" s="4"/>
    </row>
    <row r="21" spans="1:13">
      <c r="A21" s="4"/>
      <c r="B21" s="49" t="s">
        <v>250</v>
      </c>
      <c r="C21" s="4"/>
      <c r="D21" s="4"/>
      <c r="E21" s="4"/>
      <c r="F21" s="4"/>
      <c r="G21" s="4"/>
      <c r="H21" s="4"/>
      <c r="I21" s="4"/>
      <c r="J21" s="4"/>
      <c r="K21" s="4"/>
      <c r="L21" s="4"/>
    </row>
    <row r="22" spans="1:13">
      <c r="A22" s="4"/>
      <c r="B22" s="49" t="s">
        <v>251</v>
      </c>
      <c r="C22" s="4"/>
      <c r="D22" s="4"/>
      <c r="E22" s="4"/>
      <c r="F22" s="4"/>
      <c r="G22" s="4"/>
      <c r="H22" s="4"/>
      <c r="I22" s="4"/>
      <c r="J22" s="4"/>
      <c r="K22" s="4"/>
      <c r="L22" s="4"/>
    </row>
    <row r="23" spans="1:13">
      <c r="A23" s="4"/>
      <c r="B23" s="49" t="s">
        <v>252</v>
      </c>
      <c r="C23" s="4"/>
      <c r="D23" s="4"/>
      <c r="E23" s="4"/>
      <c r="F23" s="4"/>
      <c r="G23" s="4"/>
      <c r="H23" s="4"/>
      <c r="I23" s="4"/>
      <c r="J23" s="4"/>
      <c r="K23" s="4"/>
      <c r="L23" s="4"/>
    </row>
    <row r="24" spans="1:13">
      <c r="B24" s="49" t="s">
        <v>253</v>
      </c>
    </row>
    <row r="25" spans="1:13">
      <c r="B25" s="49" t="s">
        <v>254</v>
      </c>
    </row>
    <row r="26" spans="1:13">
      <c r="B26" s="49" t="s">
        <v>255</v>
      </c>
    </row>
    <row r="27" spans="1:13">
      <c r="B27" s="49" t="s">
        <v>256</v>
      </c>
    </row>
    <row r="28" spans="1:13">
      <c r="B28" s="49" t="s">
        <v>257</v>
      </c>
    </row>
    <row r="29" spans="1:13">
      <c r="B29" s="49" t="s">
        <v>258</v>
      </c>
    </row>
    <row r="30" spans="1:13">
      <c r="B30" s="49" t="s">
        <v>259</v>
      </c>
    </row>
    <row r="31" spans="1:13">
      <c r="B31" s="290" t="s">
        <v>260</v>
      </c>
    </row>
    <row r="32" spans="1:13">
      <c r="B32" s="49" t="s">
        <v>261</v>
      </c>
    </row>
    <row r="33" spans="2:5">
      <c r="B33" s="49" t="s">
        <v>262</v>
      </c>
    </row>
    <row r="34" spans="2:5">
      <c r="B34" s="49" t="s">
        <v>263</v>
      </c>
    </row>
    <row r="35" spans="2:5">
      <c r="B35" s="49" t="s">
        <v>264</v>
      </c>
      <c r="E35" s="49"/>
    </row>
    <row r="36" spans="2:5">
      <c r="B36" s="49" t="s">
        <v>265</v>
      </c>
    </row>
    <row r="37" spans="2:5">
      <c r="B37" s="49" t="s">
        <v>266</v>
      </c>
    </row>
    <row r="38" spans="2:5">
      <c r="B38" s="49" t="s">
        <v>267</v>
      </c>
    </row>
    <row r="39" spans="2:5">
      <c r="B39" s="49" t="s">
        <v>268</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63"/>
  <sheetViews>
    <sheetView zoomScaleNormal="100" workbookViewId="0"/>
  </sheetViews>
  <sheetFormatPr defaultRowHeight="12.35"/>
  <cols>
    <col min="1" max="1" width="19.1015625" bestFit="1" customWidth="1"/>
    <col min="2" max="2" width="21.734375" customWidth="1"/>
    <col min="3" max="3" width="104.1015625" customWidth="1"/>
    <col min="4" max="4" width="16.47265625" customWidth="1"/>
    <col min="5" max="5" width="35.47265625" customWidth="1"/>
    <col min="6" max="6" width="41.734375" customWidth="1"/>
  </cols>
  <sheetData>
    <row r="1" spans="1:10" ht="20">
      <c r="A1" s="7" t="s">
        <v>269</v>
      </c>
      <c r="B1" s="7"/>
      <c r="C1" s="7"/>
      <c r="D1" s="7"/>
      <c r="E1" s="7"/>
    </row>
    <row r="2" spans="1:10" ht="20">
      <c r="A2" s="422" t="str">
        <f>Licensee</f>
        <v>Cadent-WM</v>
      </c>
      <c r="B2" s="7"/>
      <c r="C2" s="7"/>
      <c r="D2" s="7"/>
      <c r="E2" s="7"/>
    </row>
    <row r="3" spans="1:10" ht="20">
      <c r="A3" s="157">
        <f>Reporting_Year</f>
        <v>2023</v>
      </c>
      <c r="B3" s="7"/>
      <c r="C3" s="7"/>
      <c r="D3" s="7"/>
      <c r="E3" s="7"/>
    </row>
    <row r="4" spans="1:10" ht="20">
      <c r="A4" s="144"/>
      <c r="B4" s="144"/>
      <c r="C4" s="144"/>
      <c r="D4" s="144"/>
      <c r="E4" s="144"/>
    </row>
    <row r="5" spans="1:10" ht="13.7">
      <c r="A5" s="389" t="s">
        <v>270</v>
      </c>
      <c r="B5" s="390" t="s">
        <v>271</v>
      </c>
      <c r="C5" s="391" t="s">
        <v>272</v>
      </c>
      <c r="D5" s="354" t="s">
        <v>273</v>
      </c>
    </row>
    <row r="6" spans="1:10">
      <c r="A6" s="392" t="s">
        <v>274</v>
      </c>
      <c r="B6" s="393" t="s">
        <v>275</v>
      </c>
      <c r="C6" s="388" t="s">
        <v>276</v>
      </c>
      <c r="D6" s="388" t="s">
        <v>277</v>
      </c>
    </row>
    <row r="7" spans="1:10">
      <c r="A7" s="392" t="s">
        <v>274</v>
      </c>
      <c r="B7" s="393" t="s">
        <v>278</v>
      </c>
      <c r="C7" s="388" t="s">
        <v>279</v>
      </c>
      <c r="D7" s="388" t="s">
        <v>277</v>
      </c>
    </row>
    <row r="8" spans="1:10" ht="24.7">
      <c r="A8" s="392" t="s">
        <v>274</v>
      </c>
      <c r="B8" s="393" t="s">
        <v>280</v>
      </c>
      <c r="C8" s="388" t="s">
        <v>281</v>
      </c>
      <c r="D8" s="388" t="s">
        <v>277</v>
      </c>
    </row>
    <row r="9" spans="1:10" ht="33.950000000000003" customHeight="1">
      <c r="A9" s="392" t="s">
        <v>274</v>
      </c>
      <c r="B9" s="393" t="s">
        <v>282</v>
      </c>
      <c r="C9" s="388" t="s">
        <v>283</v>
      </c>
      <c r="D9" s="388" t="s">
        <v>277</v>
      </c>
    </row>
    <row r="10" spans="1:10" ht="24.7">
      <c r="A10" s="392" t="s">
        <v>274</v>
      </c>
      <c r="B10" s="393" t="s">
        <v>284</v>
      </c>
      <c r="C10" s="388" t="s">
        <v>285</v>
      </c>
      <c r="D10" s="388" t="s">
        <v>277</v>
      </c>
    </row>
    <row r="11" spans="1:10" ht="24.7">
      <c r="A11" s="287" t="s">
        <v>274</v>
      </c>
      <c r="B11" s="393" t="s">
        <v>251</v>
      </c>
      <c r="C11" s="388" t="s">
        <v>286</v>
      </c>
      <c r="D11" s="388" t="s">
        <v>287</v>
      </c>
      <c r="J11" s="184"/>
    </row>
    <row r="12" spans="1:10" ht="24.7">
      <c r="A12" s="287" t="s">
        <v>274</v>
      </c>
      <c r="B12" s="393" t="s">
        <v>288</v>
      </c>
      <c r="C12" s="388" t="s">
        <v>289</v>
      </c>
      <c r="D12" s="388" t="s">
        <v>290</v>
      </c>
    </row>
    <row r="13" spans="1:10">
      <c r="A13" s="287" t="s">
        <v>274</v>
      </c>
      <c r="B13" s="393" t="s">
        <v>291</v>
      </c>
      <c r="C13" s="388" t="s">
        <v>292</v>
      </c>
      <c r="D13" s="388" t="s">
        <v>293</v>
      </c>
    </row>
    <row r="14" spans="1:10" ht="24.7">
      <c r="A14" s="287" t="s">
        <v>274</v>
      </c>
      <c r="B14" s="393" t="s">
        <v>294</v>
      </c>
      <c r="C14" s="388" t="s">
        <v>295</v>
      </c>
      <c r="D14" s="388" t="s">
        <v>84</v>
      </c>
    </row>
    <row r="15" spans="1:10">
      <c r="A15" s="287" t="s">
        <v>274</v>
      </c>
      <c r="B15" s="393" t="s">
        <v>296</v>
      </c>
      <c r="C15" s="388" t="s">
        <v>297</v>
      </c>
      <c r="D15" s="388" t="s">
        <v>298</v>
      </c>
    </row>
    <row r="16" spans="1:10" ht="74.25" customHeight="1">
      <c r="A16" s="287" t="s">
        <v>274</v>
      </c>
      <c r="B16" s="393" t="s">
        <v>258</v>
      </c>
      <c r="C16" s="388" t="s">
        <v>299</v>
      </c>
      <c r="D16" s="388" t="s">
        <v>89</v>
      </c>
    </row>
    <row r="17" spans="1:4" ht="20.25" customHeight="1">
      <c r="A17" s="287" t="s">
        <v>274</v>
      </c>
      <c r="B17" s="393" t="s">
        <v>296</v>
      </c>
      <c r="C17" s="388" t="s">
        <v>300</v>
      </c>
      <c r="D17" s="388" t="s">
        <v>212</v>
      </c>
    </row>
    <row r="18" spans="1:4" ht="21" customHeight="1">
      <c r="A18" s="287" t="s">
        <v>274</v>
      </c>
      <c r="B18" s="393" t="s">
        <v>296</v>
      </c>
      <c r="C18" s="388" t="s">
        <v>301</v>
      </c>
      <c r="D18" s="388" t="s">
        <v>212</v>
      </c>
    </row>
    <row r="19" spans="1:4" ht="21" customHeight="1">
      <c r="A19" s="287" t="s">
        <v>274</v>
      </c>
      <c r="B19" s="393" t="s">
        <v>302</v>
      </c>
      <c r="C19" s="388" t="s">
        <v>303</v>
      </c>
      <c r="D19" s="388" t="s">
        <v>212</v>
      </c>
    </row>
    <row r="20" spans="1:4" ht="38.450000000000003" customHeight="1">
      <c r="A20" s="287" t="s">
        <v>274</v>
      </c>
      <c r="B20" s="393" t="s">
        <v>304</v>
      </c>
      <c r="C20" s="397" t="s">
        <v>305</v>
      </c>
      <c r="D20" s="388" t="s">
        <v>212</v>
      </c>
    </row>
    <row r="21" spans="1:4">
      <c r="A21" s="287" t="s">
        <v>274</v>
      </c>
      <c r="B21" s="393" t="s">
        <v>278</v>
      </c>
      <c r="C21" s="388" t="s">
        <v>306</v>
      </c>
      <c r="D21" s="388" t="s">
        <v>212</v>
      </c>
    </row>
    <row r="22" spans="1:4" ht="24.7">
      <c r="A22" s="394" t="s">
        <v>274</v>
      </c>
      <c r="B22" s="393" t="s">
        <v>307</v>
      </c>
      <c r="C22" s="395" t="s">
        <v>308</v>
      </c>
      <c r="D22" s="396" t="s">
        <v>277</v>
      </c>
    </row>
    <row r="23" spans="1:4" ht="24.7">
      <c r="A23" s="394" t="s">
        <v>274</v>
      </c>
      <c r="B23" s="393" t="s">
        <v>309</v>
      </c>
      <c r="C23" s="395" t="s">
        <v>310</v>
      </c>
      <c r="D23" s="396" t="s">
        <v>277</v>
      </c>
    </row>
    <row r="24" spans="1:4">
      <c r="A24" s="394" t="s">
        <v>274</v>
      </c>
      <c r="B24" s="393" t="s">
        <v>311</v>
      </c>
      <c r="C24" s="395" t="s">
        <v>312</v>
      </c>
      <c r="D24" s="396" t="s">
        <v>277</v>
      </c>
    </row>
    <row r="25" spans="1:4" ht="24.7">
      <c r="A25" s="394" t="s">
        <v>274</v>
      </c>
      <c r="B25" s="393" t="s">
        <v>313</v>
      </c>
      <c r="C25" s="395" t="s">
        <v>314</v>
      </c>
      <c r="D25" s="396" t="s">
        <v>277</v>
      </c>
    </row>
    <row r="26" spans="1:4" ht="57.6" customHeight="1">
      <c r="A26" s="394" t="s">
        <v>274</v>
      </c>
      <c r="B26" s="393" t="s">
        <v>315</v>
      </c>
      <c r="C26" s="388" t="s">
        <v>316</v>
      </c>
      <c r="D26" s="314" t="s">
        <v>81</v>
      </c>
    </row>
    <row r="27" spans="1:4" ht="63.6" customHeight="1">
      <c r="A27" s="394" t="s">
        <v>274</v>
      </c>
      <c r="B27" s="393" t="s">
        <v>317</v>
      </c>
      <c r="C27" s="388" t="s">
        <v>318</v>
      </c>
      <c r="D27" s="314" t="s">
        <v>81</v>
      </c>
    </row>
    <row r="28" spans="1:4" ht="24" customHeight="1">
      <c r="A28" s="394" t="s">
        <v>274</v>
      </c>
      <c r="B28" s="393" t="s">
        <v>319</v>
      </c>
      <c r="C28" s="314" t="s">
        <v>320</v>
      </c>
      <c r="D28" s="314" t="s">
        <v>321</v>
      </c>
    </row>
    <row r="29" spans="1:4" ht="49.35">
      <c r="A29" s="394" t="s">
        <v>274</v>
      </c>
      <c r="B29" s="393" t="s">
        <v>322</v>
      </c>
      <c r="C29" s="388" t="s">
        <v>323</v>
      </c>
      <c r="D29" s="388" t="s">
        <v>324</v>
      </c>
    </row>
    <row r="30" spans="1:4">
      <c r="A30" s="394" t="s">
        <v>274</v>
      </c>
      <c r="B30" s="393" t="s">
        <v>258</v>
      </c>
      <c r="C30" s="388" t="s">
        <v>325</v>
      </c>
      <c r="D30" s="388" t="s">
        <v>29</v>
      </c>
    </row>
    <row r="31" spans="1:4">
      <c r="A31" s="394" t="s">
        <v>274</v>
      </c>
      <c r="B31" s="393" t="s">
        <v>326</v>
      </c>
      <c r="C31" s="388" t="s">
        <v>327</v>
      </c>
      <c r="D31" s="388" t="s">
        <v>328</v>
      </c>
    </row>
    <row r="32" spans="1:4">
      <c r="A32" s="394" t="s">
        <v>274</v>
      </c>
      <c r="B32" s="393" t="s">
        <v>329</v>
      </c>
      <c r="C32" s="388" t="s">
        <v>330</v>
      </c>
      <c r="D32" s="388" t="s">
        <v>277</v>
      </c>
    </row>
    <row r="33" spans="1:4">
      <c r="A33" s="394" t="s">
        <v>274</v>
      </c>
      <c r="B33" s="393" t="s">
        <v>329</v>
      </c>
      <c r="C33" s="388" t="s">
        <v>331</v>
      </c>
      <c r="D33" s="388" t="s">
        <v>277</v>
      </c>
    </row>
    <row r="34" spans="1:4">
      <c r="A34" s="394" t="s">
        <v>274</v>
      </c>
      <c r="B34" s="393" t="s">
        <v>332</v>
      </c>
      <c r="C34" s="388" t="s">
        <v>333</v>
      </c>
      <c r="D34" s="388" t="s">
        <v>277</v>
      </c>
    </row>
    <row r="35" spans="1:4">
      <c r="A35" s="394" t="s">
        <v>274</v>
      </c>
      <c r="B35" s="393" t="s">
        <v>334</v>
      </c>
      <c r="C35" s="388" t="s">
        <v>335</v>
      </c>
      <c r="D35" s="388" t="s">
        <v>277</v>
      </c>
    </row>
    <row r="36" spans="1:4">
      <c r="A36" s="394" t="s">
        <v>274</v>
      </c>
      <c r="B36" s="393" t="s">
        <v>336</v>
      </c>
      <c r="C36" s="388" t="s">
        <v>337</v>
      </c>
      <c r="D36" s="388" t="s">
        <v>338</v>
      </c>
    </row>
    <row r="37" spans="1:4" ht="15" customHeight="1">
      <c r="A37" s="394" t="s">
        <v>274</v>
      </c>
      <c r="B37" s="393" t="s">
        <v>336</v>
      </c>
      <c r="C37" s="421" t="s">
        <v>339</v>
      </c>
      <c r="D37" s="388" t="s">
        <v>338</v>
      </c>
    </row>
    <row r="38" spans="1:4" ht="17.45" customHeight="1">
      <c r="A38" s="394" t="s">
        <v>274</v>
      </c>
      <c r="B38" s="393" t="s">
        <v>336</v>
      </c>
      <c r="C38" s="421" t="s">
        <v>340</v>
      </c>
      <c r="D38" s="388" t="s">
        <v>212</v>
      </c>
    </row>
    <row r="39" spans="1:4" ht="26.1" customHeight="1">
      <c r="A39" s="394" t="s">
        <v>274</v>
      </c>
      <c r="B39" s="393" t="s">
        <v>336</v>
      </c>
      <c r="C39" s="421" t="s">
        <v>341</v>
      </c>
      <c r="D39" s="388" t="s">
        <v>338</v>
      </c>
    </row>
    <row r="40" spans="1:4" ht="24.7">
      <c r="A40" s="394" t="s">
        <v>274</v>
      </c>
      <c r="B40" s="393" t="s">
        <v>332</v>
      </c>
      <c r="C40" s="395" t="s">
        <v>342</v>
      </c>
      <c r="D40" s="388" t="s">
        <v>212</v>
      </c>
    </row>
    <row r="41" spans="1:4" ht="24.7">
      <c r="A41" s="394" t="s">
        <v>274</v>
      </c>
      <c r="B41" s="393" t="s">
        <v>343</v>
      </c>
      <c r="C41" s="388" t="s">
        <v>344</v>
      </c>
      <c r="D41" s="388" t="s">
        <v>277</v>
      </c>
    </row>
    <row r="42" spans="1:4">
      <c r="A42" s="394" t="s">
        <v>274</v>
      </c>
      <c r="B42" s="393" t="s">
        <v>345</v>
      </c>
      <c r="C42" s="395" t="s">
        <v>346</v>
      </c>
      <c r="D42" s="388" t="s">
        <v>347</v>
      </c>
    </row>
    <row r="43" spans="1:4">
      <c r="A43" s="394" t="s">
        <v>274</v>
      </c>
      <c r="B43" s="393" t="s">
        <v>348</v>
      </c>
      <c r="C43" s="395" t="s">
        <v>349</v>
      </c>
      <c r="D43" s="388" t="s">
        <v>277</v>
      </c>
    </row>
    <row r="44" spans="1:4">
      <c r="A44" s="394"/>
      <c r="B44" s="210" t="s">
        <v>350</v>
      </c>
      <c r="C44" s="388" t="s">
        <v>351</v>
      </c>
      <c r="D44" s="388" t="s">
        <v>277</v>
      </c>
    </row>
    <row r="45" spans="1:4" ht="24.7">
      <c r="A45" s="394"/>
      <c r="B45" s="210" t="s">
        <v>352</v>
      </c>
      <c r="C45" s="388" t="s">
        <v>353</v>
      </c>
      <c r="D45" s="388" t="s">
        <v>277</v>
      </c>
    </row>
    <row r="46" spans="1:4">
      <c r="A46" s="394" t="s">
        <v>274</v>
      </c>
      <c r="B46" s="393" t="s">
        <v>354</v>
      </c>
      <c r="C46" s="395" t="s">
        <v>355</v>
      </c>
      <c r="D46" s="388" t="s">
        <v>277</v>
      </c>
    </row>
    <row r="47" spans="1:4">
      <c r="A47" s="394" t="s">
        <v>274</v>
      </c>
      <c r="B47" s="393" t="s">
        <v>356</v>
      </c>
      <c r="C47" s="395" t="s">
        <v>357</v>
      </c>
      <c r="D47" s="388" t="s">
        <v>277</v>
      </c>
    </row>
    <row r="48" spans="1:4">
      <c r="A48" s="394" t="s">
        <v>274</v>
      </c>
      <c r="B48" s="393" t="s">
        <v>356</v>
      </c>
      <c r="C48" s="395" t="s">
        <v>358</v>
      </c>
      <c r="D48" s="388" t="s">
        <v>277</v>
      </c>
    </row>
    <row r="49" spans="1:4">
      <c r="A49" s="394" t="s">
        <v>274</v>
      </c>
      <c r="B49" s="393" t="s">
        <v>356</v>
      </c>
      <c r="C49" s="395" t="s">
        <v>359</v>
      </c>
      <c r="D49" s="388" t="s">
        <v>360</v>
      </c>
    </row>
    <row r="50" spans="1:4">
      <c r="A50" s="394" t="s">
        <v>274</v>
      </c>
      <c r="B50" s="393" t="s">
        <v>356</v>
      </c>
      <c r="C50" s="395" t="s">
        <v>361</v>
      </c>
      <c r="D50" s="388" t="s">
        <v>362</v>
      </c>
    </row>
    <row r="51" spans="1:4">
      <c r="A51" s="394" t="s">
        <v>274</v>
      </c>
      <c r="B51" s="393" t="s">
        <v>363</v>
      </c>
      <c r="C51" s="395" t="s">
        <v>364</v>
      </c>
      <c r="D51" s="388" t="s">
        <v>365</v>
      </c>
    </row>
    <row r="52" spans="1:4">
      <c r="A52" s="394" t="s">
        <v>274</v>
      </c>
      <c r="B52" s="393" t="s">
        <v>296</v>
      </c>
      <c r="C52" s="395" t="s">
        <v>366</v>
      </c>
      <c r="D52" s="388" t="s">
        <v>367</v>
      </c>
    </row>
    <row r="53" spans="1:4">
      <c r="A53" s="394" t="s">
        <v>274</v>
      </c>
      <c r="B53" s="393" t="s">
        <v>368</v>
      </c>
      <c r="C53" s="395" t="s">
        <v>369</v>
      </c>
      <c r="D53" s="388" t="s">
        <v>367</v>
      </c>
    </row>
    <row r="54" spans="1:4">
      <c r="A54" s="394" t="s">
        <v>370</v>
      </c>
      <c r="B54" s="393" t="s">
        <v>371</v>
      </c>
      <c r="C54" s="395" t="s">
        <v>372</v>
      </c>
      <c r="D54" s="314" t="s">
        <v>277</v>
      </c>
    </row>
    <row r="55" spans="1:4" ht="49.35">
      <c r="A55" s="394" t="s">
        <v>373</v>
      </c>
      <c r="B55" s="393" t="s">
        <v>374</v>
      </c>
      <c r="C55" s="395" t="s">
        <v>375</v>
      </c>
      <c r="D55" s="396" t="s">
        <v>277</v>
      </c>
    </row>
    <row r="56" spans="1:4" ht="61.7">
      <c r="A56" s="394" t="s">
        <v>373</v>
      </c>
      <c r="B56" s="393" t="s">
        <v>376</v>
      </c>
      <c r="C56" s="395" t="s">
        <v>377</v>
      </c>
      <c r="D56" s="396" t="s">
        <v>277</v>
      </c>
    </row>
    <row r="57" spans="1:4">
      <c r="A57" s="394" t="s">
        <v>373</v>
      </c>
      <c r="B57" s="393" t="s">
        <v>378</v>
      </c>
      <c r="C57" s="395" t="s">
        <v>379</v>
      </c>
      <c r="D57" s="396" t="s">
        <v>277</v>
      </c>
    </row>
    <row r="58" spans="1:4">
      <c r="A58" s="394" t="s">
        <v>373</v>
      </c>
      <c r="B58" s="393" t="s">
        <v>363</v>
      </c>
      <c r="C58" s="395" t="s">
        <v>380</v>
      </c>
      <c r="D58" s="396" t="s">
        <v>277</v>
      </c>
    </row>
    <row r="59" spans="1:4">
      <c r="A59" s="394" t="s">
        <v>373</v>
      </c>
      <c r="B59" s="393" t="s">
        <v>381</v>
      </c>
      <c r="C59" s="395" t="s">
        <v>382</v>
      </c>
      <c r="D59" s="396" t="s">
        <v>383</v>
      </c>
    </row>
    <row r="60" spans="1:4" ht="24.7">
      <c r="A60" s="394" t="s">
        <v>373</v>
      </c>
      <c r="B60" s="393" t="s">
        <v>332</v>
      </c>
      <c r="C60" s="395" t="s">
        <v>384</v>
      </c>
      <c r="D60" s="396" t="s">
        <v>383</v>
      </c>
    </row>
    <row r="61" spans="1:4" ht="24.7">
      <c r="A61" s="394" t="s">
        <v>1014</v>
      </c>
      <c r="B61" s="393" t="s">
        <v>1015</v>
      </c>
      <c r="C61" s="395" t="s">
        <v>1016</v>
      </c>
      <c r="D61" s="396" t="s">
        <v>195</v>
      </c>
    </row>
    <row r="62" spans="1:4">
      <c r="A62" s="394" t="s">
        <v>1014</v>
      </c>
      <c r="B62" s="393" t="s">
        <v>1017</v>
      </c>
      <c r="C62" s="395" t="s">
        <v>1018</v>
      </c>
      <c r="D62" s="396" t="s">
        <v>195</v>
      </c>
    </row>
    <row r="63" spans="1:4">
      <c r="A63" s="394" t="s">
        <v>1014</v>
      </c>
      <c r="B63" s="393" t="s">
        <v>1019</v>
      </c>
      <c r="C63" s="395" t="s">
        <v>1020</v>
      </c>
      <c r="D63" s="396" t="s">
        <v>195</v>
      </c>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zoomScale="85" zoomScaleNormal="85" workbookViewId="0"/>
  </sheetViews>
  <sheetFormatPr defaultColWidth="9" defaultRowHeight="12.35"/>
  <cols>
    <col min="1" max="1" width="8.3671875" customWidth="1"/>
    <col min="2" max="2" width="50.1015625" style="36" customWidth="1"/>
    <col min="3" max="3" width="13.3671875" customWidth="1"/>
    <col min="4" max="4" width="10.62890625" bestFit="1" customWidth="1"/>
    <col min="5" max="5" width="10.89453125" bestFit="1" customWidth="1"/>
    <col min="6" max="8" width="9.1015625" customWidth="1"/>
    <col min="9" max="9" width="2.62890625" customWidth="1"/>
    <col min="10" max="11" width="13.734375" customWidth="1"/>
    <col min="12" max="12" width="5.1015625" customWidth="1"/>
    <col min="16" max="16" width="10.47265625" bestFit="1" customWidth="1"/>
  </cols>
  <sheetData>
    <row r="1" spans="1:20" ht="20.350000000000001">
      <c r="A1" s="350" t="s">
        <v>385</v>
      </c>
      <c r="B1" s="444"/>
      <c r="C1" s="473"/>
      <c r="D1" s="473"/>
      <c r="E1" s="473"/>
      <c r="F1" s="473"/>
      <c r="G1" s="445"/>
      <c r="H1" s="445"/>
      <c r="I1" s="446"/>
      <c r="J1" s="446"/>
      <c r="K1" s="446"/>
      <c r="L1" s="474" t="s">
        <v>235</v>
      </c>
    </row>
    <row r="2" spans="1:20" ht="20.350000000000001">
      <c r="A2" s="422" t="str">
        <f>Licensee</f>
        <v>Cadent-WM</v>
      </c>
      <c r="B2" s="164"/>
      <c r="C2" s="157"/>
      <c r="D2" s="157"/>
      <c r="E2" s="157"/>
      <c r="F2" s="157"/>
      <c r="G2" s="7"/>
      <c r="H2" s="7"/>
      <c r="I2" s="6"/>
      <c r="J2" s="6"/>
      <c r="K2" s="6"/>
      <c r="L2" s="475"/>
    </row>
    <row r="3" spans="1:20" ht="20.350000000000001">
      <c r="A3" s="157">
        <f>Reporting_Year</f>
        <v>2023</v>
      </c>
      <c r="B3" s="7" t="str">
        <f>IF(Licensee=Data!$B$79,"Only required to be completed to show Operational Performance",IF(Licensee=Data!$B$82,"not required to be completed",""))</f>
        <v/>
      </c>
      <c r="C3" s="7"/>
      <c r="D3" s="7"/>
      <c r="E3" s="7"/>
      <c r="F3" s="7"/>
      <c r="G3" s="7"/>
      <c r="H3" s="327"/>
      <c r="I3" s="328"/>
      <c r="J3" s="328"/>
      <c r="K3" s="328"/>
      <c r="L3" s="476"/>
    </row>
    <row r="4" spans="1:20" ht="12.75" customHeight="1"/>
    <row r="5" spans="1:20">
      <c r="D5" s="477" t="str">
        <f t="shared" ref="D5:H5" si="0">IF(D6&lt;=Reporting_Year,"Actuals","Forecast")</f>
        <v>Actuals</v>
      </c>
      <c r="E5" s="477" t="str">
        <f t="shared" si="0"/>
        <v>Actuals</v>
      </c>
      <c r="F5" s="477" t="str">
        <f t="shared" si="0"/>
        <v>Forecast</v>
      </c>
      <c r="G5" s="477" t="str">
        <f t="shared" si="0"/>
        <v>Forecast</v>
      </c>
      <c r="H5" s="477" t="str">
        <f t="shared" si="0"/>
        <v>Forecast</v>
      </c>
      <c r="I5" s="478"/>
      <c r="J5" s="478"/>
    </row>
    <row r="6" spans="1:20" ht="31.5" customHeight="1">
      <c r="C6" s="479"/>
      <c r="D6" s="480">
        <f>RIIO_2_start_date</f>
        <v>2022</v>
      </c>
      <c r="E6" s="480">
        <f>D6+1</f>
        <v>2023</v>
      </c>
      <c r="F6" s="480">
        <f>E6+1</f>
        <v>2024</v>
      </c>
      <c r="G6" s="480">
        <f t="shared" ref="G6:H6" si="1">F6+1</f>
        <v>2025</v>
      </c>
      <c r="H6" s="480">
        <f t="shared" si="1"/>
        <v>2026</v>
      </c>
      <c r="I6" s="11"/>
      <c r="J6" s="481" t="str">
        <f>"Cumulative to "&amp;'RFPR cover'!$C$9</f>
        <v>Cumulative to 2023</v>
      </c>
      <c r="K6" s="482" t="s">
        <v>386</v>
      </c>
    </row>
    <row r="7" spans="1:20">
      <c r="C7" s="479"/>
      <c r="D7" s="483" t="str">
        <f>RIIO_2_start_date-1&amp;"/"&amp;RIGHT(RIIO_2_start_date,2)</f>
        <v>2021/22</v>
      </c>
      <c r="E7" s="483" t="str">
        <f>RIIO_2_start_date&amp;"/"&amp;RIGHT(RIIO_2_start_date+1,2)</f>
        <v>2022/23</v>
      </c>
      <c r="F7" s="483" t="str">
        <f>RIIO_2_start_date+1&amp;"/"&amp;RIGHT(RIIO_2_start_date+2,2)</f>
        <v>2023/24</v>
      </c>
      <c r="G7" s="483" t="str">
        <f>RIIO_2_start_date+2&amp;"/"&amp;RIGHT(RIIO_2_start_date+3,2)</f>
        <v>2024/25</v>
      </c>
      <c r="H7" s="483" t="str">
        <f>RIIO_2_start_date+3&amp;"/"&amp;RIGHT(RIIO_2_start_date+4,2)</f>
        <v>2025/26</v>
      </c>
      <c r="I7" s="479"/>
      <c r="J7" s="479"/>
      <c r="K7" s="479"/>
      <c r="L7" s="479"/>
    </row>
    <row r="8" spans="1:20">
      <c r="C8" s="36"/>
      <c r="D8" s="36"/>
      <c r="E8" s="36"/>
      <c r="F8" s="36"/>
      <c r="G8" s="36"/>
      <c r="H8" s="36"/>
      <c r="I8" s="36"/>
      <c r="J8" s="36"/>
      <c r="K8" s="36"/>
      <c r="L8" s="36"/>
      <c r="M8" s="36"/>
      <c r="N8" s="36"/>
      <c r="O8" s="36"/>
      <c r="P8" s="36"/>
      <c r="Q8" s="36"/>
      <c r="R8" s="36"/>
      <c r="S8" s="36"/>
      <c r="T8" s="36"/>
    </row>
    <row r="9" spans="1:20">
      <c r="B9" s="484" t="s">
        <v>387</v>
      </c>
      <c r="C9" s="40"/>
      <c r="D9" s="40"/>
      <c r="E9" s="40"/>
      <c r="F9" s="40"/>
      <c r="G9" s="40"/>
      <c r="H9" s="40"/>
      <c r="I9" s="485"/>
      <c r="J9" s="40"/>
      <c r="K9" s="40"/>
      <c r="L9" s="40"/>
    </row>
    <row r="10" spans="1:20">
      <c r="B10" s="486"/>
      <c r="I10" s="11"/>
    </row>
    <row r="11" spans="1:20">
      <c r="B11" s="244" t="s">
        <v>388</v>
      </c>
      <c r="C11" s="243" t="s">
        <v>389</v>
      </c>
      <c r="D11" s="107">
        <f>IFERROR(Equity_Return_on_the_RAV/NPV_neutral_equity_element_of_RAV,0)</f>
        <v>4.5181881000000007E-2</v>
      </c>
      <c r="E11" s="107">
        <f>IFERROR(Equity_Return_on_the_RAV/NPV_neutral_equity_element_of_RAV,0)</f>
        <v>4.5568105000000005E-2</v>
      </c>
      <c r="F11" s="107">
        <f>IFERROR(Equity_Return_on_the_RAV/NPV_neutral_equity_element_of_RAV,0)</f>
        <v>5.2833944000000008E-2</v>
      </c>
      <c r="G11" s="107">
        <f>IFERROR(Equity_Return_on_the_RAV/NPV_neutral_equity_element_of_RAV,0)</f>
        <v>5.2351164000000006E-2</v>
      </c>
      <c r="H11" s="107">
        <f>IFERROR(Equity_Return_on_the_RAV/NPV_neutral_equity_element_of_RAV,0)</f>
        <v>5.2520137000000001E-2</v>
      </c>
      <c r="I11" s="487"/>
      <c r="J11" s="108">
        <f>IFERROR(AVERAGE(D65:INDEX(D65:H65,0,MATCH('RFPR cover'!$C$9,$D$6:$H$6,0)))/AVERAGE($D$90:INDEX($D$90:$H$90,0,MATCH('RFPR cover'!$C$9,$D$6:$H$6,0))),0)</f>
        <v>4.5375835509106399E-2</v>
      </c>
      <c r="K11" s="108">
        <f t="shared" ref="K11:K21" si="2">IFERROR(AVERAGE(D65:H65)/AVERAGE($D$90:$H$90),0)</f>
        <v>4.9708635876150237E-2</v>
      </c>
    </row>
    <row r="12" spans="1:20">
      <c r="B12" s="244" t="str">
        <f t="shared" ref="B12:B18" si="3">B66</f>
        <v>Totex outperformance</v>
      </c>
      <c r="C12" s="243" t="s">
        <v>389</v>
      </c>
      <c r="D12" s="107">
        <f>IFERROR(Totex_outperformance/NPV_neutral_equity_element_of_RAV,0)</f>
        <v>1.9960684336334012E-2</v>
      </c>
      <c r="E12" s="107">
        <f>IFERROR(Totex_outperformance/NPV_neutral_equity_element_of_RAV,0)</f>
        <v>8.2457502869151059E-3</v>
      </c>
      <c r="F12" s="107">
        <f>IFERROR(Totex_outperformance/NPV_neutral_equity_element_of_RAV,0)</f>
        <v>4.0294933902669501E-3</v>
      </c>
      <c r="G12" s="107">
        <f>IFERROR(Totex_outperformance/NPV_neutral_equity_element_of_RAV,0)</f>
        <v>7.831409425382312E-3</v>
      </c>
      <c r="H12" s="107">
        <f>IFERROR(Totex_outperformance/NPV_neutral_equity_element_of_RAV,0)</f>
        <v>1.0248383243954847E-2</v>
      </c>
      <c r="I12" s="487"/>
      <c r="J12" s="108">
        <f>IFERROR(AVERAGE(D66:INDEX(D66:H66,0,MATCH('RFPR cover'!$C$9,$D$6:$H$6,0)))/AVERAGE($D$90:INDEX($D$90:$H$90,0,MATCH('RFPR cover'!$C$9,$D$6:$H$6,0))),0)</f>
        <v>1.4077662352281049E-2</v>
      </c>
      <c r="K12" s="108">
        <f t="shared" si="2"/>
        <v>1.0038801604206333E-2</v>
      </c>
      <c r="M12" s="487"/>
    </row>
    <row r="13" spans="1:20">
      <c r="A13" s="488" t="s">
        <v>390</v>
      </c>
      <c r="B13" s="244" t="str">
        <f t="shared" si="3"/>
        <v>Business Plan Incentive</v>
      </c>
      <c r="C13" s="243" t="s">
        <v>389</v>
      </c>
      <c r="D13" s="107">
        <f>IFERROR(Business_Plan_Incentive/NPV_neutral_equity_element_of_RAV,0)</f>
        <v>-1.0261118843435314E-5</v>
      </c>
      <c r="E13" s="107">
        <f>IFERROR(Business_Plan_Incentive/NPV_neutral_equity_element_of_RAV,0)</f>
        <v>-1.0171973341149687E-5</v>
      </c>
      <c r="F13" s="107">
        <f>IFERROR(Business_Plan_Incentive/NPV_neutral_equity_element_of_RAV,0)</f>
        <v>-1.01345562873639E-5</v>
      </c>
      <c r="G13" s="107">
        <f>IFERROR(Business_Plan_Incentive/NPV_neutral_equity_element_of_RAV,0)</f>
        <v>-1.0104346585184175E-5</v>
      </c>
      <c r="H13" s="107">
        <f>IFERROR(Business_Plan_Incentive/NPV_neutral_equity_element_of_RAV,0)</f>
        <v>-1.0102277653884116E-5</v>
      </c>
      <c r="I13" s="487"/>
      <c r="J13" s="108">
        <f>IFERROR(AVERAGE(D67:INDEX(D67:H67,0,MATCH('RFPR cover'!$C$9,$D$6:$H$6,0)))/AVERAGE($D$90:INDEX($D$90:$H$90,0,MATCH('RFPR cover'!$C$9,$D$6:$H$6,0))),0)</f>
        <v>-1.021635163027701E-5</v>
      </c>
      <c r="K13" s="108">
        <f t="shared" si="2"/>
        <v>-1.0154515344607445E-5</v>
      </c>
    </row>
    <row r="14" spans="1:20">
      <c r="A14" s="488" t="s">
        <v>391</v>
      </c>
      <c r="B14" s="244" t="str">
        <f t="shared" si="3"/>
        <v>Customer Satisfaction Survey ODI - (SpC 4.2)</v>
      </c>
      <c r="C14" s="243" t="s">
        <v>389</v>
      </c>
      <c r="D14" s="107">
        <f>IFERROR(ODI_1/NPV_neutral_equity_element_of_RAV,0)</f>
        <v>1.1673652876032436E-3</v>
      </c>
      <c r="E14" s="107">
        <f>IFERROR(ODI_1/NPV_neutral_equity_element_of_RAV,0)</f>
        <v>1.3385476038974332E-3</v>
      </c>
      <c r="F14" s="107">
        <f>IFERROR(ODI_1/NPV_neutral_equity_element_of_RAV,0)</f>
        <v>1.9447105025230166E-3</v>
      </c>
      <c r="G14" s="107">
        <f>IFERROR(ODI_1/NPV_neutral_equity_element_of_RAV,0)</f>
        <v>1.9896704913908215E-3</v>
      </c>
      <c r="H14" s="107">
        <f>IFERROR(ODI_1/NPV_neutral_equity_element_of_RAV,0)</f>
        <v>2.0704575052664181E-3</v>
      </c>
      <c r="I14" s="487"/>
      <c r="J14" s="108">
        <f>IFERROR(AVERAGE(D68:INDEX(D68:H68,0,MATCH('RFPR cover'!$C$9,$D$6:$H$6,0)))/AVERAGE($D$90:INDEX($D$90:$H$90,0,MATCH('RFPR cover'!$C$9,$D$6:$H$6,0))),0)</f>
        <v>1.253329862887368E-3</v>
      </c>
      <c r="K14" s="108">
        <f t="shared" si="2"/>
        <v>1.7041482171845648E-3</v>
      </c>
    </row>
    <row r="15" spans="1:20">
      <c r="A15" s="488" t="s">
        <v>392</v>
      </c>
      <c r="B15" s="244" t="str">
        <f t="shared" si="3"/>
        <v>Complaints metric ODI - (SpC 4.3)</v>
      </c>
      <c r="C15" s="243" t="s">
        <v>389</v>
      </c>
      <c r="D15" s="107">
        <f>IFERROR(ODI_2/NPV_neutral_equity_element_of_RAV,0)</f>
        <v>0</v>
      </c>
      <c r="E15" s="107">
        <f>IFERROR(ODI_2/NPV_neutral_equity_element_of_RAV,0)</f>
        <v>0</v>
      </c>
      <c r="F15" s="107">
        <f>IFERROR(ODI_2/NPV_neutral_equity_element_of_RAV,0)</f>
        <v>0</v>
      </c>
      <c r="G15" s="107">
        <f>IFERROR(ODI_2/NPV_neutral_equity_element_of_RAV,0)</f>
        <v>0</v>
      </c>
      <c r="H15" s="107">
        <f>IFERROR(ODI_2/NPV_neutral_equity_element_of_RAV,0)</f>
        <v>0</v>
      </c>
      <c r="I15" s="487"/>
      <c r="J15" s="108">
        <f>IFERROR(AVERAGE(D69:INDEX(D69:H69,0,MATCH('RFPR cover'!$C$9,$D$6:$H$6,0)))/AVERAGE($D$90:INDEX($D$90:$H$90,0,MATCH('RFPR cover'!$C$9,$D$6:$H$6,0))),0)</f>
        <v>0</v>
      </c>
      <c r="K15" s="108">
        <f t="shared" si="2"/>
        <v>0</v>
      </c>
    </row>
    <row r="16" spans="1:20">
      <c r="A16" s="488" t="s">
        <v>393</v>
      </c>
      <c r="B16" s="244" t="str">
        <f t="shared" si="3"/>
        <v>Unplanned Interruption Mean Duration ODI [NGN, SGN and WWU] - (SpC 4.5)</v>
      </c>
      <c r="C16" s="243" t="s">
        <v>389</v>
      </c>
      <c r="D16" s="107">
        <f>IFERROR(ODI_3/NPV_neutral_equity_element_of_RAV,0)</f>
        <v>0</v>
      </c>
      <c r="E16" s="107">
        <f>IFERROR(ODI_3/NPV_neutral_equity_element_of_RAV,0)</f>
        <v>0</v>
      </c>
      <c r="F16" s="107">
        <f>IFERROR(ODI_3/NPV_neutral_equity_element_of_RAV,0)</f>
        <v>0</v>
      </c>
      <c r="G16" s="107">
        <f>IFERROR(ODI_3/NPV_neutral_equity_element_of_RAV,0)</f>
        <v>0</v>
      </c>
      <c r="H16" s="107">
        <f>IFERROR(ODI_3/NPV_neutral_equity_element_of_RAV,0)</f>
        <v>0</v>
      </c>
      <c r="I16" s="487"/>
      <c r="J16" s="108">
        <f>IFERROR(AVERAGE(D70:INDEX(D70:H70,0,MATCH('RFPR cover'!$C$9,$D$6:$H$6,0)))/AVERAGE($D$90:INDEX($D$90:$H$90,0,MATCH('RFPR cover'!$C$9,$D$6:$H$6,0))),0)</f>
        <v>0</v>
      </c>
      <c r="K16" s="108">
        <f t="shared" si="2"/>
        <v>0</v>
      </c>
    </row>
    <row r="17" spans="1:11">
      <c r="A17" s="488" t="s">
        <v>394</v>
      </c>
      <c r="B17" s="244" t="str">
        <f t="shared" si="3"/>
        <v>Unplanned Interruption Mean Duration ODI [Cadent only]- (SpC 4.6)</v>
      </c>
      <c r="C17" s="243" t="s">
        <v>389</v>
      </c>
      <c r="D17" s="107">
        <f>IFERROR(ODI_4/NPV_neutral_equity_element_of_RAV,0)</f>
        <v>0</v>
      </c>
      <c r="E17" s="107">
        <f>IFERROR(ODI_4/NPV_neutral_equity_element_of_RAV,0)</f>
        <v>0</v>
      </c>
      <c r="F17" s="107">
        <f>IFERROR(ODI_4/NPV_neutral_equity_element_of_RAV,0)</f>
        <v>0</v>
      </c>
      <c r="G17" s="107">
        <f>IFERROR(ODI_4/NPV_neutral_equity_element_of_RAV,0)</f>
        <v>0</v>
      </c>
      <c r="H17" s="107">
        <f>IFERROR(ODI_4/NPV_neutral_equity_element_of_RAV,0)</f>
        <v>0</v>
      </c>
      <c r="I17" s="487"/>
      <c r="J17" s="108">
        <f>IFERROR(AVERAGE(D71:INDEX(D71:H71,0,MATCH('RFPR cover'!$C$9,$D$6:$H$6,0)))/AVERAGE($D$90:INDEX($D$90:$H$90,0,MATCH('RFPR cover'!$C$9,$D$6:$H$6,0))),0)</f>
        <v>0</v>
      </c>
      <c r="K17" s="108">
        <f t="shared" si="2"/>
        <v>0</v>
      </c>
    </row>
    <row r="18" spans="1:11">
      <c r="A18" s="488" t="s">
        <v>395</v>
      </c>
      <c r="B18" s="244" t="str">
        <f t="shared" si="3"/>
        <v>Shrinkage Management ODI- (SpC 4.4)</v>
      </c>
      <c r="C18" s="243" t="s">
        <v>389</v>
      </c>
      <c r="D18" s="107">
        <f>IFERROR(ODI_5/NPV_neutral_equity_element_of_RAV,0)</f>
        <v>5.2575298486408589E-4</v>
      </c>
      <c r="E18" s="107">
        <f>IFERROR(ODI_5/NPV_neutral_equity_element_of_RAV,0)</f>
        <v>5.211854016766188E-4</v>
      </c>
      <c r="F18" s="107">
        <f>IFERROR(ODI_5/NPV_neutral_equity_element_of_RAV,0)</f>
        <v>5.1926824936478471E-4</v>
      </c>
      <c r="G18" s="107">
        <f>IFERROR(ODI_5/NPV_neutral_equity_element_of_RAV,0)</f>
        <v>5.1772038296393828E-4</v>
      </c>
      <c r="H18" s="107">
        <f>IFERROR(ODI_5/NPV_neutral_equity_element_of_RAV,0)</f>
        <v>5.1761437631660451E-4</v>
      </c>
      <c r="I18" s="487"/>
      <c r="J18" s="108">
        <f>IFERROR(AVERAGE(D72:INDEX(D72:H72,0,MATCH('RFPR cover'!$C$9,$D$6:$H$6,0)))/AVERAGE($D$90:INDEX($D$90:$H$90,0,MATCH('RFPR cover'!$C$9,$D$6:$H$6,0))),0)</f>
        <v>5.2345922954352621E-4</v>
      </c>
      <c r="K18" s="108">
        <f t="shared" si="2"/>
        <v>5.2029089943647546E-4</v>
      </c>
    </row>
    <row r="19" spans="1:11">
      <c r="A19" s="488" t="s">
        <v>396</v>
      </c>
      <c r="B19" s="244" t="str">
        <f>B73</f>
        <v>Collaborative streetworks ODI [Cadent Lon &amp; EoE, SGN So only]- (SpC 4.7)</v>
      </c>
      <c r="C19" s="243" t="s">
        <v>389</v>
      </c>
      <c r="D19" s="107">
        <f>IFERROR(ODI_6/NPV_neutral_equity_element_of_RAV,0)</f>
        <v>0</v>
      </c>
      <c r="E19" s="107">
        <f>IFERROR(ODI_6/NPV_neutral_equity_element_of_RAV,0)</f>
        <v>0</v>
      </c>
      <c r="F19" s="107">
        <f>IFERROR(ODI_6/NPV_neutral_equity_element_of_RAV,0)</f>
        <v>0</v>
      </c>
      <c r="G19" s="107">
        <f>IFERROR(ODI_6/NPV_neutral_equity_element_of_RAV,0)</f>
        <v>0</v>
      </c>
      <c r="H19" s="107">
        <f>IFERROR(ODI_6/NPV_neutral_equity_element_of_RAV,0)</f>
        <v>0</v>
      </c>
      <c r="I19" s="487"/>
      <c r="J19" s="108">
        <f>IFERROR(AVERAGE(D73:INDEX(D73:H73,0,MATCH('RFPR cover'!$C$9,$D$6:$H$6,0)))/AVERAGE($D$90:INDEX($D$90:$H$90,0,MATCH('RFPR cover'!$C$9,$D$6:$H$6,0))),0)</f>
        <v>0</v>
      </c>
      <c r="K19" s="108">
        <f t="shared" si="2"/>
        <v>0</v>
      </c>
    </row>
    <row r="20" spans="1:11">
      <c r="A20" s="488" t="s">
        <v>397</v>
      </c>
      <c r="B20" s="244" t="str">
        <f t="shared" ref="B20" si="4">B74</f>
        <v>Network innovation input for RORE</v>
      </c>
      <c r="C20" s="243" t="s">
        <v>389</v>
      </c>
      <c r="D20" s="107">
        <f>IFERROR(ORA_1/NPV_neutral_equity_element_of_RAV,0)</f>
        <v>-4.5861317622695289E-5</v>
      </c>
      <c r="E20" s="107">
        <f>IFERROR(ORA_1/NPV_neutral_equity_element_of_RAV,0)</f>
        <v>-7.5196604589619054E-5</v>
      </c>
      <c r="F20" s="107">
        <f>IFERROR(ORA_1/NPV_neutral_equity_element_of_RAV,0)</f>
        <v>-2.3875457367680822E-4</v>
      </c>
      <c r="G20" s="107">
        <f>IFERROR(ORA_1/NPV_neutral_equity_element_of_RAV,0)</f>
        <v>-2.3812291868705238E-4</v>
      </c>
      <c r="H20" s="107">
        <f>IFERROR(ORA_1/NPV_neutral_equity_element_of_RAV,0)</f>
        <v>-2.3807416145613401E-4</v>
      </c>
      <c r="I20" s="487"/>
      <c r="J20" s="108">
        <f>IFERROR(AVERAGE(D74:INDEX(D74:H74,0,MATCH('RFPR cover'!$C$9,$D$6:$H$6,0)))/AVERAGE($D$90:INDEX($D$90:$H$90,0,MATCH('RFPR cover'!$C$9,$D$6:$H$6,0))),0)</f>
        <v>-6.0592953106676114E-5</v>
      </c>
      <c r="K20" s="108">
        <f t="shared" si="2"/>
        <v>-1.6765752305940233E-4</v>
      </c>
    </row>
    <row r="21" spans="1:11">
      <c r="A21" s="488" t="s">
        <v>398</v>
      </c>
      <c r="B21" s="244" t="str">
        <f t="shared" ref="B21" si="5">B75</f>
        <v>Carry-over Network innovation input for RORE</v>
      </c>
      <c r="C21" s="243" t="s">
        <v>389</v>
      </c>
      <c r="D21" s="107">
        <f>IFERROR(ORA_2/NPV_neutral_equity_element_of_RAV,0)</f>
        <v>-8.0960621353281487E-5</v>
      </c>
      <c r="E21" s="107">
        <f>IFERROR(ORA_2/NPV_neutral_equity_element_of_RAV,0)</f>
        <v>0</v>
      </c>
      <c r="F21" s="107">
        <f>IFERROR(ORA_2/NPV_neutral_equity_element_of_RAV,0)</f>
        <v>0</v>
      </c>
      <c r="G21" s="107">
        <f>IFERROR(ORA_2/NPV_neutral_equity_element_of_RAV,0)</f>
        <v>0</v>
      </c>
      <c r="H21" s="107">
        <f>IFERROR(ORA_2/NPV_neutral_equity_element_of_RAV,0)</f>
        <v>0</v>
      </c>
      <c r="I21" s="487"/>
      <c r="J21" s="108">
        <f>IFERROR(AVERAGE(D75:INDEX(D75:H75,0,MATCH('RFPR cover'!$C$9,$D$6:$H$6,0)))/AVERAGE($D$90:INDEX($D$90:$H$90,0,MATCH('RFPR cover'!$C$9,$D$6:$H$6,0))),0)</f>
        <v>-4.0303703161960723E-5</v>
      </c>
      <c r="K21" s="108">
        <f t="shared" si="2"/>
        <v>-1.6023903131514936E-5</v>
      </c>
    </row>
    <row r="22" spans="1:11">
      <c r="A22" s="488" t="s">
        <v>399</v>
      </c>
      <c r="B22" s="244" t="str">
        <f t="shared" ref="B22:B27" si="6">B76</f>
        <v>Strategic innovation input for RORE</v>
      </c>
      <c r="C22" s="243" t="s">
        <v>389</v>
      </c>
      <c r="D22" s="107">
        <f>IFERROR(ORA_3/NPV_neutral_equity_element_of_RAV,0)</f>
        <v>0</v>
      </c>
      <c r="E22" s="107">
        <f>IFERROR(ORA_3/NPV_neutral_equity_element_of_RAV,0)</f>
        <v>0</v>
      </c>
      <c r="F22" s="107">
        <f>IFERROR(ORA_3/NPV_neutral_equity_element_of_RAV,0)</f>
        <v>0</v>
      </c>
      <c r="G22" s="107">
        <f>IFERROR(ORA_3/NPV_neutral_equity_element_of_RAV,0)</f>
        <v>0</v>
      </c>
      <c r="H22" s="107">
        <f>IFERROR(ORA_3/NPV_neutral_equity_element_of_RAV,0)</f>
        <v>0</v>
      </c>
      <c r="I22" s="487"/>
      <c r="J22" s="108">
        <f>IFERROR(AVERAGE(D76:INDEX(D76:H76,0,MATCH('RFPR cover'!$C$9,$D$6:$H$6,0)))/AVERAGE($D$90:INDEX($D$90:$H$90,0,MATCH('RFPR cover'!$C$9,$D$6:$H$6,0))),0)</f>
        <v>0</v>
      </c>
      <c r="K22" s="108">
        <f>IFERROR(AVERAGE(D76:H76)/AVERAGE($D$90:$H$90),0)</f>
        <v>0</v>
      </c>
    </row>
    <row r="23" spans="1:11">
      <c r="A23" s="488" t="s">
        <v>400</v>
      </c>
      <c r="B23" s="244" t="str">
        <f t="shared" si="6"/>
        <v/>
      </c>
      <c r="C23" s="243" t="s">
        <v>389</v>
      </c>
      <c r="D23" s="107">
        <f>IFERROR(ORA_4/NPV_neutral_equity_element_of_RAV,0)</f>
        <v>0</v>
      </c>
      <c r="E23" s="107">
        <f>IFERROR(ORA_4/NPV_neutral_equity_element_of_RAV,0)</f>
        <v>0</v>
      </c>
      <c r="F23" s="107">
        <f>IFERROR(ORA_4/NPV_neutral_equity_element_of_RAV,0)</f>
        <v>0</v>
      </c>
      <c r="G23" s="107">
        <f>IFERROR(ORA_4/NPV_neutral_equity_element_of_RAV,0)</f>
        <v>0</v>
      </c>
      <c r="H23" s="107">
        <f>IFERROR(ORA_4/NPV_neutral_equity_element_of_RAV,0)</f>
        <v>0</v>
      </c>
      <c r="I23" s="487"/>
      <c r="J23" s="108">
        <f>IFERROR(AVERAGE(D77:INDEX(D77:H77,0,MATCH('RFPR cover'!$C$9,$D$6:$H$6,0)))/AVERAGE($D$90:INDEX($D$90:$H$90,0,MATCH('RFPR cover'!$C$9,$D$6:$H$6,0))),0)</f>
        <v>0</v>
      </c>
      <c r="K23" s="108">
        <f t="shared" ref="K23:K28" si="7">IFERROR(AVERAGE(D77:H77)/AVERAGE($D$90:$H$90),0)</f>
        <v>0</v>
      </c>
    </row>
    <row r="24" spans="1:11">
      <c r="A24" s="488" t="s">
        <v>401</v>
      </c>
      <c r="B24" s="244" t="str">
        <f t="shared" si="6"/>
        <v/>
      </c>
      <c r="C24" s="243" t="s">
        <v>389</v>
      </c>
      <c r="D24" s="107">
        <f>IFERROR(ORA_5/NPV_neutral_equity_element_of_RAV,0)</f>
        <v>0</v>
      </c>
      <c r="E24" s="107">
        <f>IFERROR(ORA_5/NPV_neutral_equity_element_of_RAV,0)</f>
        <v>0</v>
      </c>
      <c r="F24" s="107">
        <f>IFERROR(ORA_5/NPV_neutral_equity_element_of_RAV,0)</f>
        <v>0</v>
      </c>
      <c r="G24" s="107">
        <f>IFERROR(ORA_5/NPV_neutral_equity_element_of_RAV,0)</f>
        <v>0</v>
      </c>
      <c r="H24" s="107">
        <f>IFERROR(ORA_5/NPV_neutral_equity_element_of_RAV,0)</f>
        <v>0</v>
      </c>
      <c r="I24" s="487"/>
      <c r="J24" s="108">
        <f>IFERROR(AVERAGE(D78:INDEX(D78:H78,0,MATCH('RFPR cover'!$C$9,$D$6:$H$6,0)))/AVERAGE($D$90:INDEX($D$90:$H$90,0,MATCH('RFPR cover'!$C$9,$D$6:$H$6,0))),0)</f>
        <v>0</v>
      </c>
      <c r="K24" s="108">
        <f t="shared" si="7"/>
        <v>0</v>
      </c>
    </row>
    <row r="25" spans="1:11">
      <c r="A25" s="488" t="s">
        <v>402</v>
      </c>
      <c r="B25" s="244" t="str">
        <f t="shared" si="6"/>
        <v/>
      </c>
      <c r="C25" s="243" t="s">
        <v>389</v>
      </c>
      <c r="D25" s="107">
        <f>IFERROR(ORA_6/NPV_neutral_equity_element_of_RAV,0)</f>
        <v>0</v>
      </c>
      <c r="E25" s="107">
        <f>IFERROR(ORA_6/NPV_neutral_equity_element_of_RAV,0)</f>
        <v>0</v>
      </c>
      <c r="F25" s="107">
        <f>IFERROR(ORA_6/NPV_neutral_equity_element_of_RAV,0)</f>
        <v>0</v>
      </c>
      <c r="G25" s="107">
        <f>IFERROR(ORA_6/NPV_neutral_equity_element_of_RAV,0)</f>
        <v>0</v>
      </c>
      <c r="H25" s="107">
        <f>IFERROR(ORA_6/NPV_neutral_equity_element_of_RAV,0)</f>
        <v>0</v>
      </c>
      <c r="I25" s="487"/>
      <c r="J25" s="108">
        <f>IFERROR(AVERAGE(D79:INDEX(D79:H79,0,MATCH('RFPR cover'!$C$9,$D$6:$H$6,0)))/AVERAGE($D$90:INDEX($D$90:$H$90,0,MATCH('RFPR cover'!$C$9,$D$6:$H$6,0))),0)</f>
        <v>0</v>
      </c>
      <c r="K25" s="108">
        <f t="shared" si="7"/>
        <v>0</v>
      </c>
    </row>
    <row r="26" spans="1:11">
      <c r="A26" s="488" t="s">
        <v>403</v>
      </c>
      <c r="B26" s="244" t="str">
        <f t="shared" si="6"/>
        <v/>
      </c>
      <c r="C26" s="243" t="s">
        <v>389</v>
      </c>
      <c r="D26" s="107">
        <f>IFERROR(ORA_7/NPV_neutral_equity_element_of_RAV,0)</f>
        <v>0</v>
      </c>
      <c r="E26" s="107">
        <f>IFERROR(ORA_7/NPV_neutral_equity_element_of_RAV,0)</f>
        <v>0</v>
      </c>
      <c r="F26" s="107">
        <f>IFERROR(ORA_7/NPV_neutral_equity_element_of_RAV,0)</f>
        <v>0</v>
      </c>
      <c r="G26" s="107">
        <f>IFERROR(ORA_7/NPV_neutral_equity_element_of_RAV,0)</f>
        <v>0</v>
      </c>
      <c r="H26" s="107">
        <f>IFERROR(ORA_7/NPV_neutral_equity_element_of_RAV,0)</f>
        <v>0</v>
      </c>
      <c r="I26" s="487"/>
      <c r="J26" s="108">
        <f>IFERROR(AVERAGE(D80:INDEX(D80:H80,0,MATCH('RFPR cover'!$C$9,$D$6:$H$6,0)))/AVERAGE($D$90:INDEX($D$90:$H$90,0,MATCH('RFPR cover'!$C$9,$D$6:$H$6,0))),0)</f>
        <v>0</v>
      </c>
      <c r="K26" s="108">
        <f t="shared" si="7"/>
        <v>0</v>
      </c>
    </row>
    <row r="27" spans="1:11">
      <c r="A27" s="488" t="s">
        <v>404</v>
      </c>
      <c r="B27" s="244" t="str">
        <f t="shared" si="6"/>
        <v/>
      </c>
      <c r="C27" s="243" t="s">
        <v>389</v>
      </c>
      <c r="D27" s="107">
        <f>IFERROR(ORA_8/NPV_neutral_equity_element_of_RAV,0)</f>
        <v>0</v>
      </c>
      <c r="E27" s="107">
        <f>IFERROR(ORA_8/NPV_neutral_equity_element_of_RAV,0)</f>
        <v>0</v>
      </c>
      <c r="F27" s="107">
        <f>IFERROR(ORA_8/NPV_neutral_equity_element_of_RAV,0)</f>
        <v>0</v>
      </c>
      <c r="G27" s="107">
        <f>IFERROR(ORA_8/NPV_neutral_equity_element_of_RAV,0)</f>
        <v>0</v>
      </c>
      <c r="H27" s="107">
        <f>IFERROR(ORA_8/NPV_neutral_equity_element_of_RAV,0)</f>
        <v>0</v>
      </c>
      <c r="I27" s="487"/>
      <c r="J27" s="108">
        <f>IFERROR(AVERAGE(D81:INDEX(D81:H81,0,MATCH('RFPR cover'!$C$9,$D$6:$H$6,0)))/AVERAGE($D$90:INDEX($D$90:$H$90,0,MATCH('RFPR cover'!$C$9,$D$6:$H$6,0))),0)</f>
        <v>0</v>
      </c>
      <c r="K27" s="108">
        <f t="shared" si="7"/>
        <v>0</v>
      </c>
    </row>
    <row r="28" spans="1:11" ht="12.7" thickBot="1">
      <c r="B28" s="244" t="str">
        <f t="shared" ref="B28:B30" si="8">B82</f>
        <v>Penalties and fines (Other Activities)</v>
      </c>
      <c r="C28" s="243" t="s">
        <v>389</v>
      </c>
      <c r="D28" s="489">
        <f>IFERROR(Penalties_and_fines/NPV_neutral_equity_element_of_RAV,0)</f>
        <v>-1.244319221991319E-3</v>
      </c>
      <c r="E28" s="489">
        <f>IFERROR(Penalties_and_fines/NPV_neutral_equity_element_of_RAV,0)</f>
        <v>-1.2434567631160777E-3</v>
      </c>
      <c r="F28" s="489">
        <f>IFERROR(Penalties_and_fines/NPV_neutral_equity_element_of_RAV,0)</f>
        <v>-4.5098303058095933E-4</v>
      </c>
      <c r="G28" s="489">
        <f>IFERROR(Penalties_and_fines/NPV_neutral_equity_element_of_RAV,0)</f>
        <v>-4.4637812205069332E-4</v>
      </c>
      <c r="H28" s="489">
        <f>IFERROR(Penalties_and_fines/NPV_neutral_equity_element_of_RAV,0)</f>
        <v>-4.4516967823849708E-4</v>
      </c>
      <c r="I28" s="487"/>
      <c r="J28" s="108">
        <f>IFERROR(AVERAGE(D82:INDEX(D82:H82,0,MATCH('RFPR cover'!$C$9,$D$6:$H$6,0)))/AVERAGE($D$90:INDEX($D$90:$H$90,0,MATCH('RFPR cover'!$C$9,$D$6:$H$6,0))),0)</f>
        <v>-1.2438861111857453E-3</v>
      </c>
      <c r="K28" s="108">
        <f t="shared" si="7"/>
        <v>-7.6413035110071102E-4</v>
      </c>
    </row>
    <row r="29" spans="1:11" ht="12.7" thickBot="1">
      <c r="B29" s="245" t="str">
        <f t="shared" si="8"/>
        <v>RoRE - Operational performance</v>
      </c>
      <c r="C29" s="101" t="s">
        <v>389</v>
      </c>
      <c r="D29" s="232">
        <f>SUM(D11:D28)</f>
        <v>6.5454281328990616E-2</v>
      </c>
      <c r="E29" s="233">
        <f t="shared" ref="E29:H29" si="9">SUM(E11:E28)</f>
        <v>5.4344762951442319E-2</v>
      </c>
      <c r="F29" s="233">
        <f t="shared" si="9"/>
        <v>5.8627543981609631E-2</v>
      </c>
      <c r="G29" s="233">
        <f t="shared" si="9"/>
        <v>6.1995358912414152E-2</v>
      </c>
      <c r="H29" s="234">
        <f t="shared" si="9"/>
        <v>6.466324600818936E-2</v>
      </c>
      <c r="I29" s="490"/>
      <c r="J29" s="236">
        <f>SUM(J11:J28)</f>
        <v>5.9875287834733691E-2</v>
      </c>
      <c r="K29" s="234">
        <f>SUM(K11:K28)</f>
        <v>6.1013910304341369E-2</v>
      </c>
    </row>
    <row r="30" spans="1:11">
      <c r="B30" s="244" t="str">
        <f t="shared" si="8"/>
        <v>Debt performance - at notional gearing</v>
      </c>
      <c r="C30" s="243" t="s">
        <v>389</v>
      </c>
      <c r="D30" s="491">
        <f>IFERROR(Debt_performance___at_notional_gearing/NPV_neutral_equity_element_of_RAV,0)</f>
        <v>4.3726544780403755E-2</v>
      </c>
      <c r="E30" s="491">
        <f>IFERROR(Debt_performance___at_notional_gearing/NPV_neutral_equity_element_of_RAV,0)</f>
        <v>7.8353545296626845E-2</v>
      </c>
      <c r="F30" s="491">
        <f>IFERROR(Debt_performance___at_notional_gearing/NPV_neutral_equity_element_of_RAV,0)</f>
        <v>4.893833923987196E-2</v>
      </c>
      <c r="G30" s="491">
        <f>IFERROR(Debt_performance___at_notional_gearing/NPV_neutral_equity_element_of_RAV,0)</f>
        <v>3.4752292493926838E-3</v>
      </c>
      <c r="H30" s="491">
        <f>IFERROR(Debt_performance___at_notional_gearing/NPV_neutral_equity_element_of_RAV,0)</f>
        <v>-3.2298463265997305E-3</v>
      </c>
      <c r="I30" s="487"/>
      <c r="J30" s="235">
        <f>IFERROR(AVERAGE(D84:INDEX(D84:H84,0,MATCH('RFPR cover'!$C$9,$D$6:$H$6,0)))/AVERAGE($D$90:INDEX($D$90:$H$90,0,MATCH('RFPR cover'!$C$9,$D$6:$H$6,0))),0)</f>
        <v>6.1115580383968096E-2</v>
      </c>
      <c r="K30" s="235">
        <f>IFERROR(AVERAGE(D84:H84)/AVERAGE($D$90:$H$90),0)</f>
        <v>3.4154398028355355E-2</v>
      </c>
    </row>
    <row r="31" spans="1:11" ht="12.7" thickBot="1">
      <c r="B31" s="244" t="str">
        <f>B86</f>
        <v>Tax performance - at notional gearing</v>
      </c>
      <c r="C31" s="243" t="s">
        <v>389</v>
      </c>
      <c r="D31" s="489">
        <f>IFERROR(Tax_performance___at_notional_gearing/NPV_neutral_equity_element_of_RAV,0)</f>
        <v>1.8061990038678493E-3</v>
      </c>
      <c r="E31" s="489">
        <f>IFERROR(Tax_performance___at_notional_gearing/NPV_neutral_equity_element_of_RAV,0)</f>
        <v>-4.8343015996654493E-3</v>
      </c>
      <c r="F31" s="489">
        <f>IFERROR(Tax_performance___at_notional_gearing/NPV_neutral_equity_element_of_RAV,0)</f>
        <v>1.7397406779107942E-3</v>
      </c>
      <c r="G31" s="489">
        <f>IFERROR(Tax_performance___at_notional_gearing/NPV_neutral_equity_element_of_RAV,0)</f>
        <v>6.3283363740474646E-4</v>
      </c>
      <c r="H31" s="489">
        <f>IFERROR(Tax_performance___at_notional_gearing/NPV_neutral_equity_element_of_RAV,0)</f>
        <v>6.7651741033776405E-4</v>
      </c>
      <c r="I31" s="487"/>
      <c r="J31" s="34">
        <f>IFERROR(AVERAGE(D86:INDEX(D86:H86,0,MATCH('RFPR cover'!$C$9,$D$6:$H$6,0)))/AVERAGE($D$90:INDEX($D$90:$H$90,0,MATCH('RFPR cover'!$C$9,$D$6:$H$6,0))),0)</f>
        <v>-1.5285368871669916E-3</v>
      </c>
      <c r="K31" s="34">
        <f>IFERROR(AVERAGE(D86:H86)/AVERAGE($D$90:$H$90),0)</f>
        <v>4.1175887346031884E-6</v>
      </c>
    </row>
    <row r="32" spans="1:11" ht="12.7" thickBot="1">
      <c r="B32" s="245" t="str">
        <f>B88</f>
        <v>RoRE - including financing and tax</v>
      </c>
      <c r="C32" s="101" t="s">
        <v>389</v>
      </c>
      <c r="D32" s="232">
        <f>SUM(D29:D31)</f>
        <v>0.11098702511326221</v>
      </c>
      <c r="E32" s="233">
        <f t="shared" ref="E32:H32" si="10">SUM(E29:E31)</f>
        <v>0.12786400664840372</v>
      </c>
      <c r="F32" s="233">
        <f t="shared" si="10"/>
        <v>0.10930562389939238</v>
      </c>
      <c r="G32" s="233">
        <f t="shared" si="10"/>
        <v>6.6103421799211595E-2</v>
      </c>
      <c r="H32" s="234">
        <f t="shared" si="10"/>
        <v>6.2109917091927397E-2</v>
      </c>
      <c r="I32" s="490"/>
      <c r="J32" s="236">
        <f>SUM(J29:J31)</f>
        <v>0.11946233133153479</v>
      </c>
      <c r="K32" s="234">
        <f>SUM(K29:K31)</f>
        <v>9.5172425921431325E-2</v>
      </c>
    </row>
    <row r="36" spans="1:13">
      <c r="B36" s="484" t="s">
        <v>405</v>
      </c>
      <c r="C36" s="40"/>
      <c r="D36" s="40"/>
      <c r="E36" s="40"/>
      <c r="F36" s="40"/>
      <c r="G36" s="40"/>
      <c r="H36" s="40"/>
      <c r="I36" s="485"/>
      <c r="J36" s="40"/>
      <c r="K36" s="40"/>
      <c r="L36" s="40"/>
    </row>
    <row r="37" spans="1:13">
      <c r="B37" s="486"/>
      <c r="I37" s="11"/>
    </row>
    <row r="38" spans="1:13">
      <c r="B38" s="244" t="s">
        <v>388</v>
      </c>
      <c r="C38" s="243" t="s">
        <v>389</v>
      </c>
      <c r="D38" s="107">
        <f>IFERROR(Equity_Return_on_the_RAV/Equity_RAV_based_on_actual_gearing,0)</f>
        <v>4.7565587632432994E-2</v>
      </c>
      <c r="E38" s="107">
        <f>IFERROR(Equity_Return_on_the_RAV/Equity_RAV_based_on_actual_gearing,0)</f>
        <v>4.5316550503174631E-2</v>
      </c>
      <c r="F38" s="107">
        <f>IFERROR(Equity_Return_on_the_RAV/Equity_RAV_based_on_actual_gearing,0)</f>
        <v>5.4197322861275515E-2</v>
      </c>
      <c r="G38" s="107">
        <f>IFERROR(Equity_Return_on_the_RAV/Equity_RAV_based_on_actual_gearing,0)</f>
        <v>5.382966858784282E-2</v>
      </c>
      <c r="H38" s="107">
        <f>IFERROR(Equity_Return_on_the_RAV/Equity_RAV_based_on_actual_gearing,0)</f>
        <v>5.4046367191634033E-2</v>
      </c>
      <c r="I38" s="487"/>
      <c r="J38" s="31">
        <f>IFERROR(AVERAGE(D65:INDEX(D65:H65,0,MATCH('RFPR cover'!$C$9,$D$6:$H$6,0)))/AVERAGE($D$91:INDEX($D$91:$H$91,0,MATCH('RFPR cover'!$C$9,$D$6:$H$6,0))),0)</f>
        <v>4.6404156088650783E-2</v>
      </c>
      <c r="K38" s="108">
        <f t="shared" ref="K38:K48" si="11">IFERROR(AVERAGE(D65:H65)/AVERAGE($D$91:$H$91),0)</f>
        <v>5.098578213153223E-2</v>
      </c>
      <c r="M38" s="492"/>
    </row>
    <row r="39" spans="1:13">
      <c r="B39" s="244" t="str">
        <f t="shared" ref="B39:B46" si="12">B66</f>
        <v>Totex outperformance</v>
      </c>
      <c r="C39" s="243" t="s">
        <v>389</v>
      </c>
      <c r="D39" s="107">
        <f>IFERROR(Totex_outperformance/Equity_RAV_based_on_actual_gearing,0)</f>
        <v>2.1013770542293891E-2</v>
      </c>
      <c r="E39" s="107">
        <f>IFERROR(Totex_outperformance/Equity_RAV_based_on_actual_gearing,0)</f>
        <v>8.2002303873192663E-3</v>
      </c>
      <c r="F39" s="107">
        <f>IFERROR(Totex_outperformance/Equity_RAV_based_on_actual_gearing,0)</f>
        <v>4.1334743860816734E-3</v>
      </c>
      <c r="G39" s="107">
        <f>IFERROR(Totex_outperformance/Equity_RAV_based_on_actual_gearing,0)</f>
        <v>8.0525845412728232E-3</v>
      </c>
      <c r="H39" s="107">
        <f>IFERROR(Totex_outperformance/Equity_RAV_based_on_actual_gearing,0)</f>
        <v>1.0546200287394017E-2</v>
      </c>
      <c r="I39" s="487"/>
      <c r="J39" s="31">
        <f>IFERROR(AVERAGE(D66:INDEX(D66:H66,0,MATCH('RFPR cover'!$C$9,$D$6:$H$6,0)))/AVERAGE($D$91:INDEX($D$91:$H$91,0,MATCH('RFPR cover'!$C$9,$D$6:$H$6,0))),0)</f>
        <v>1.4396694492324457E-2</v>
      </c>
      <c r="K39" s="108">
        <f t="shared" si="11"/>
        <v>1.0296724953969511E-2</v>
      </c>
    </row>
    <row r="40" spans="1:13">
      <c r="A40" s="488" t="s">
        <v>390</v>
      </c>
      <c r="B40" s="244" t="str">
        <f t="shared" si="12"/>
        <v>Business Plan Incentive</v>
      </c>
      <c r="C40" s="243" t="s">
        <v>389</v>
      </c>
      <c r="D40" s="107">
        <f>IFERROR(Business_Plan_Incentive/Equity_RAV_based_on_actual_gearing,0)</f>
        <v>-1.0802475168181507E-5</v>
      </c>
      <c r="E40" s="107">
        <f>IFERROR(Business_Plan_Incentive/Equity_RAV_based_on_actual_gearing,0)</f>
        <v>-1.0115819905856425E-5</v>
      </c>
      <c r="F40" s="107">
        <f>IFERROR(Business_Plan_Incentive/Equity_RAV_based_on_actual_gearing,0)</f>
        <v>-1.0396078308332065E-5</v>
      </c>
      <c r="G40" s="107">
        <f>IFERROR(Business_Plan_Incentive/Equity_RAV_based_on_actual_gearing,0)</f>
        <v>-1.0389714123207755E-5</v>
      </c>
      <c r="H40" s="107">
        <f>IFERROR(Business_Plan_Incentive/Equity_RAV_based_on_actual_gearing,0)</f>
        <v>-1.0395848882756343E-5</v>
      </c>
      <c r="I40" s="487"/>
      <c r="J40" s="31">
        <f>IFERROR(AVERAGE(D67:INDEX(D67:H67,0,MATCH('RFPR cover'!$C$9,$D$6:$H$6,0)))/AVERAGE($D$91:INDEX($D$91:$H$91,0,MATCH('RFPR cover'!$C$9,$D$6:$H$6,0))),0)</f>
        <v>-1.0447877606854726E-5</v>
      </c>
      <c r="K40" s="108">
        <f t="shared" si="11"/>
        <v>-1.0415411686239035E-5</v>
      </c>
    </row>
    <row r="41" spans="1:13">
      <c r="A41" s="488" t="s">
        <v>391</v>
      </c>
      <c r="B41" s="244" t="str">
        <f t="shared" si="12"/>
        <v>Customer Satisfaction Survey ODI - (SpC 4.2)</v>
      </c>
      <c r="C41" s="243" t="s">
        <v>389</v>
      </c>
      <c r="D41" s="107">
        <f>IFERROR(ODI_1/Equity_RAV_based_on_actual_gearing,0)</f>
        <v>1.2289531701115415E-3</v>
      </c>
      <c r="E41" s="107">
        <f>IFERROR(ODI_1/Equity_RAV_based_on_actual_gearing,0)</f>
        <v>1.3311582760117283E-3</v>
      </c>
      <c r="F41" s="107">
        <f>IFERROR(ODI_1/Equity_RAV_based_on_actual_gearing,0)</f>
        <v>1.9948937178900228E-3</v>
      </c>
      <c r="G41" s="107">
        <f>IFERROR(ODI_1/Equity_RAV_based_on_actual_gearing,0)</f>
        <v>2.0458628799653487E-3</v>
      </c>
      <c r="H41" s="107">
        <f>IFERROR(ODI_1/Equity_RAV_based_on_actual_gearing,0)</f>
        <v>2.1306248036691792E-3</v>
      </c>
      <c r="I41" s="487"/>
      <c r="J41" s="31">
        <f>IFERROR(AVERAGE(D68:INDEX(D68:H68,0,MATCH('RFPR cover'!$C$9,$D$6:$H$6,0)))/AVERAGE($D$91:INDEX($D$91:$H$91,0,MATCH('RFPR cover'!$C$9,$D$6:$H$6,0))),0)</f>
        <v>1.2817331942311177E-3</v>
      </c>
      <c r="K41" s="108">
        <f t="shared" si="11"/>
        <v>1.7479322896265404E-3</v>
      </c>
    </row>
    <row r="42" spans="1:13">
      <c r="A42" s="488" t="s">
        <v>392</v>
      </c>
      <c r="B42" s="244" t="str">
        <f t="shared" si="12"/>
        <v>Complaints metric ODI - (SpC 4.3)</v>
      </c>
      <c r="C42" s="243" t="s">
        <v>389</v>
      </c>
      <c r="D42" s="107">
        <f>IFERROR(ODI_2/Equity_RAV_based_on_actual_gearing,0)</f>
        <v>0</v>
      </c>
      <c r="E42" s="107">
        <f>IFERROR(ODI_2/Equity_RAV_based_on_actual_gearing,0)</f>
        <v>0</v>
      </c>
      <c r="F42" s="107">
        <f>IFERROR(ODI_2/Equity_RAV_based_on_actual_gearing,0)</f>
        <v>0</v>
      </c>
      <c r="G42" s="107">
        <f>IFERROR(ODI_2/Equity_RAV_based_on_actual_gearing,0)</f>
        <v>0</v>
      </c>
      <c r="H42" s="107">
        <f>IFERROR(ODI_2/Equity_RAV_based_on_actual_gearing,0)</f>
        <v>0</v>
      </c>
      <c r="I42" s="487"/>
      <c r="J42" s="31">
        <f>IFERROR(AVERAGE(D69:INDEX(D69:H69,0,MATCH('RFPR cover'!$C$9,$D$6:$H$6,0)))/AVERAGE($D$91:INDEX($D$91:$H$91,0,MATCH('RFPR cover'!$C$9,$D$6:$H$6,0))),0)</f>
        <v>0</v>
      </c>
      <c r="K42" s="108">
        <f t="shared" si="11"/>
        <v>0</v>
      </c>
    </row>
    <row r="43" spans="1:13">
      <c r="A43" s="488" t="s">
        <v>393</v>
      </c>
      <c r="B43" s="244" t="str">
        <f t="shared" si="12"/>
        <v>Unplanned Interruption Mean Duration ODI [NGN, SGN and WWU] - (SpC 4.5)</v>
      </c>
      <c r="C43" s="243" t="s">
        <v>389</v>
      </c>
      <c r="D43" s="107">
        <f>IFERROR(ODI_3/Equity_RAV_based_on_actual_gearing,0)</f>
        <v>0</v>
      </c>
      <c r="E43" s="107">
        <f>IFERROR(ODI_3/Equity_RAV_based_on_actual_gearing,0)</f>
        <v>0</v>
      </c>
      <c r="F43" s="107">
        <f>IFERROR(ODI_3/Equity_RAV_based_on_actual_gearing,0)</f>
        <v>0</v>
      </c>
      <c r="G43" s="107">
        <f>IFERROR(ODI_3/Equity_RAV_based_on_actual_gearing,0)</f>
        <v>0</v>
      </c>
      <c r="H43" s="107">
        <f>IFERROR(ODI_3/Equity_RAV_based_on_actual_gearing,0)</f>
        <v>0</v>
      </c>
      <c r="I43" s="487"/>
      <c r="J43" s="31">
        <f>IFERROR(AVERAGE(D70:INDEX(D70:H70,0,MATCH('RFPR cover'!$C$9,$D$6:$H$6,0)))/AVERAGE($D$91:INDEX($D$91:$H$91,0,MATCH('RFPR cover'!$C$9,$D$6:$H$6,0))),0)</f>
        <v>0</v>
      </c>
      <c r="K43" s="108">
        <f t="shared" si="11"/>
        <v>0</v>
      </c>
    </row>
    <row r="44" spans="1:13">
      <c r="A44" s="488" t="s">
        <v>394</v>
      </c>
      <c r="B44" s="244" t="str">
        <f t="shared" si="12"/>
        <v>Unplanned Interruption Mean Duration ODI [Cadent only]- (SpC 4.6)</v>
      </c>
      <c r="C44" s="243" t="s">
        <v>389</v>
      </c>
      <c r="D44" s="107">
        <f>IFERROR(ODI_4/Equity_RAV_based_on_actual_gearing,0)</f>
        <v>0</v>
      </c>
      <c r="E44" s="107">
        <f>IFERROR(ODI_4/Equity_RAV_based_on_actual_gearing,0)</f>
        <v>0</v>
      </c>
      <c r="F44" s="107">
        <f>IFERROR(ODI_4/Equity_RAV_based_on_actual_gearing,0)</f>
        <v>0</v>
      </c>
      <c r="G44" s="107">
        <f>IFERROR(ODI_4/Equity_RAV_based_on_actual_gearing,0)</f>
        <v>0</v>
      </c>
      <c r="H44" s="107">
        <f>IFERROR(ODI_4/Equity_RAV_based_on_actual_gearing,0)</f>
        <v>0</v>
      </c>
      <c r="I44" s="487"/>
      <c r="J44" s="31">
        <f>IFERROR(AVERAGE(D71:INDEX(D71:H71,0,MATCH('RFPR cover'!$C$9,$D$6:$H$6,0)))/AVERAGE($D$91:INDEX($D$91:$H$91,0,MATCH('RFPR cover'!$C$9,$D$6:$H$6,0))),0)</f>
        <v>0</v>
      </c>
      <c r="K44" s="108">
        <f t="shared" si="11"/>
        <v>0</v>
      </c>
    </row>
    <row r="45" spans="1:13">
      <c r="A45" s="488" t="s">
        <v>395</v>
      </c>
      <c r="B45" s="244" t="str">
        <f t="shared" si="12"/>
        <v>Shrinkage Management ODI- (SpC 4.4)</v>
      </c>
      <c r="C45" s="243" t="s">
        <v>389</v>
      </c>
      <c r="D45" s="107">
        <f>IFERROR(ODI_5/Equity_RAV_based_on_actual_gearing,0)</f>
        <v>5.5349067194802913E-4</v>
      </c>
      <c r="E45" s="107">
        <f>IFERROR(ODI_5/Equity_RAV_based_on_actual_gearing,0)</f>
        <v>5.1830824601101688E-4</v>
      </c>
      <c r="F45" s="107">
        <f>IFERROR(ODI_5/Equity_RAV_based_on_actual_gearing,0)</f>
        <v>5.3266795608581784E-4</v>
      </c>
      <c r="G45" s="107">
        <f>IFERROR(ODI_5/Equity_RAV_based_on_actual_gearing,0)</f>
        <v>5.3234187182771829E-4</v>
      </c>
      <c r="H45" s="107">
        <f>IFERROR(ODI_5/Equity_RAV_based_on_actual_gearing,0)</f>
        <v>5.326562009172948E-4</v>
      </c>
      <c r="I45" s="487"/>
      <c r="J45" s="31">
        <f>IFERROR(AVERAGE(D72:INDEX(D72:H72,0,MATCH('RFPR cover'!$C$9,$D$6:$H$6,0)))/AVERAGE($D$91:INDEX($D$91:$H$91,0,MATCH('RFPR cover'!$C$9,$D$6:$H$6,0))),0)</f>
        <v>5.3532201713195598E-4</v>
      </c>
      <c r="K45" s="108">
        <f t="shared" si="11"/>
        <v>5.3365854797907889E-4</v>
      </c>
    </row>
    <row r="46" spans="1:13">
      <c r="A46" s="488" t="s">
        <v>396</v>
      </c>
      <c r="B46" s="244" t="str">
        <f t="shared" si="12"/>
        <v>Collaborative streetworks ODI [Cadent Lon &amp; EoE, SGN So only]- (SpC 4.7)</v>
      </c>
      <c r="C46" s="243" t="s">
        <v>389</v>
      </c>
      <c r="D46" s="107">
        <f>IFERROR(ODI_6/Equity_RAV_based_on_actual_gearing,0)</f>
        <v>0</v>
      </c>
      <c r="E46" s="107">
        <f>IFERROR(ODI_6/Equity_RAV_based_on_actual_gearing,0)</f>
        <v>0</v>
      </c>
      <c r="F46" s="107">
        <f>IFERROR(ODI_6/Equity_RAV_based_on_actual_gearing,0)</f>
        <v>0</v>
      </c>
      <c r="G46" s="107">
        <f>IFERROR(ODI_6/Equity_RAV_based_on_actual_gearing,0)</f>
        <v>0</v>
      </c>
      <c r="H46" s="107">
        <f>IFERROR(ODI_6/Equity_RAV_based_on_actual_gearing,0)</f>
        <v>0</v>
      </c>
      <c r="I46" s="487"/>
      <c r="J46" s="31">
        <f>IFERROR(AVERAGE(D73:INDEX(D73:H73,0,MATCH('RFPR cover'!$C$9,$D$6:$H$6,0)))/AVERAGE($D$91:INDEX($D$91:$H$91,0,MATCH('RFPR cover'!$C$9,$D$6:$H$6,0))),0)</f>
        <v>0</v>
      </c>
      <c r="K46" s="108">
        <f t="shared" si="11"/>
        <v>0</v>
      </c>
    </row>
    <row r="47" spans="1:13">
      <c r="A47" s="488" t="s">
        <v>397</v>
      </c>
      <c r="B47" s="244" t="str">
        <f t="shared" ref="B47" si="13">B74</f>
        <v>Network innovation input for RORE</v>
      </c>
      <c r="C47" s="243" t="s">
        <v>389</v>
      </c>
      <c r="D47" s="107">
        <f>IFERROR(ORA_1/Equity_RAV_based_on_actual_gearing,0)</f>
        <v>-4.8280869986824062E-5</v>
      </c>
      <c r="E47" s="107">
        <f>IFERROR(ORA_1/Equity_RAV_based_on_actual_gearing,0)</f>
        <v>-7.4781488709103094E-5</v>
      </c>
      <c r="F47" s="107">
        <f>IFERROR(ORA_1/Equity_RAV_based_on_actual_gearing,0)</f>
        <v>-2.4491563064396946E-4</v>
      </c>
      <c r="G47" s="107">
        <f>IFERROR(ORA_1/Equity_RAV_based_on_actual_gearing,0)</f>
        <v>-2.448479998667054E-4</v>
      </c>
      <c r="H47" s="107">
        <f>IFERROR(ORA_1/Equity_RAV_based_on_actual_gearing,0)</f>
        <v>-2.4499257397021991E-4</v>
      </c>
      <c r="I47" s="487"/>
      <c r="J47" s="31">
        <f>IFERROR(AVERAGE(D74:INDEX(D74:H74,0,MATCH('RFPR cover'!$C$9,$D$6:$H$6,0)))/AVERAGE($D$91:INDEX($D$91:$H$91,0,MATCH('RFPR cover'!$C$9,$D$6:$H$6,0))),0)</f>
        <v>-6.1966128497407128E-5</v>
      </c>
      <c r="K47" s="108">
        <f t="shared" si="11"/>
        <v>-1.7196508801241021E-4</v>
      </c>
    </row>
    <row r="48" spans="1:13">
      <c r="A48" s="488" t="s">
        <v>398</v>
      </c>
      <c r="B48" s="244" t="str">
        <f t="shared" ref="B48" si="14">B75</f>
        <v>Carry-over Network innovation input for RORE</v>
      </c>
      <c r="C48" s="243" t="s">
        <v>389</v>
      </c>
      <c r="D48" s="107">
        <f>IFERROR(ORA_2/Equity_RAV_based_on_actual_gearing,0)</f>
        <v>-8.5231943525231643E-5</v>
      </c>
      <c r="E48" s="107">
        <f>IFERROR(ORA_2/Equity_RAV_based_on_actual_gearing,0)</f>
        <v>0</v>
      </c>
      <c r="F48" s="107">
        <f>IFERROR(ORA_2/Equity_RAV_based_on_actual_gearing,0)</f>
        <v>0</v>
      </c>
      <c r="G48" s="107">
        <f>IFERROR(ORA_2/Equity_RAV_based_on_actual_gearing,0)</f>
        <v>0</v>
      </c>
      <c r="H48" s="107">
        <f>IFERROR(ORA_2/Equity_RAV_based_on_actual_gearing,0)</f>
        <v>0</v>
      </c>
      <c r="I48" s="487"/>
      <c r="J48" s="31">
        <f>IFERROR(AVERAGE(D75:INDEX(D75:H75,0,MATCH('RFPR cover'!$C$9,$D$6:$H$6,0)))/AVERAGE($D$91:INDEX($D$91:$H$91,0,MATCH('RFPR cover'!$C$9,$D$6:$H$6,0))),0)</f>
        <v>-4.1217077580928168E-5</v>
      </c>
      <c r="K48" s="108">
        <f t="shared" si="11"/>
        <v>-1.6435599560521891E-5</v>
      </c>
    </row>
    <row r="49" spans="1:12">
      <c r="A49" s="488" t="s">
        <v>399</v>
      </c>
      <c r="B49" s="349" t="str">
        <f>B76</f>
        <v>Strategic innovation input for RORE</v>
      </c>
      <c r="C49" s="243" t="s">
        <v>389</v>
      </c>
      <c r="D49" s="107">
        <f>IFERROR(ORA_3/Equity_RAV_based_on_actual_gearing,0)</f>
        <v>0</v>
      </c>
      <c r="E49" s="107">
        <f>IFERROR(ORA_3/Equity_RAV_based_on_actual_gearing,0)</f>
        <v>0</v>
      </c>
      <c r="F49" s="107">
        <f>IFERROR(ORA_3/Equity_RAV_based_on_actual_gearing,0)</f>
        <v>0</v>
      </c>
      <c r="G49" s="107">
        <f>IFERROR(ORA_3/Equity_RAV_based_on_actual_gearing,0)</f>
        <v>0</v>
      </c>
      <c r="H49" s="107">
        <f>IFERROR(ORA_3/Equity_RAV_based_on_actual_gearing,0)</f>
        <v>0</v>
      </c>
      <c r="I49" s="487"/>
      <c r="J49" s="31">
        <f>IFERROR(AVERAGE(D76:INDEX(D76:H76,0,MATCH('RFPR cover'!$C$9,$D$6:$H$6,0)))/AVERAGE($D$91:INDEX($D$91:$H$91,0,MATCH('RFPR cover'!$C$9,$D$6:$H$6,0))),0)</f>
        <v>0</v>
      </c>
      <c r="K49" s="108">
        <f>IFERROR(AVERAGE(D76:H76)/AVERAGE($D$91:$H$91),0)</f>
        <v>0</v>
      </c>
    </row>
    <row r="50" spans="1:12">
      <c r="A50" s="488" t="s">
        <v>400</v>
      </c>
      <c r="B50" s="244" t="str">
        <f t="shared" ref="B50:B54" si="15">B77</f>
        <v/>
      </c>
      <c r="C50" s="243" t="s">
        <v>389</v>
      </c>
      <c r="D50" s="107">
        <f>IFERROR(ORA_4/Equity_RAV_based_on_actual_gearing,0)</f>
        <v>0</v>
      </c>
      <c r="E50" s="107">
        <f>IFERROR(ORA_4/Equity_RAV_based_on_actual_gearing,0)</f>
        <v>0</v>
      </c>
      <c r="F50" s="107">
        <f>IFERROR(ORA_4/Equity_RAV_based_on_actual_gearing,0)</f>
        <v>0</v>
      </c>
      <c r="G50" s="107">
        <f>IFERROR(ORA_4/Equity_RAV_based_on_actual_gearing,0)</f>
        <v>0</v>
      </c>
      <c r="H50" s="107">
        <f>IFERROR(ORA_4/Equity_RAV_based_on_actual_gearing,0)</f>
        <v>0</v>
      </c>
      <c r="I50" s="487"/>
      <c r="J50" s="31">
        <f>IFERROR(AVERAGE(D77:INDEX(D77:H77,0,MATCH('RFPR cover'!$C$9,$D$6:$H$6,0)))/AVERAGE($D$91:INDEX($D$91:$H$91,0,MATCH('RFPR cover'!$C$9,$D$6:$H$6,0))),0)</f>
        <v>0</v>
      </c>
      <c r="K50" s="108">
        <f t="shared" ref="K50:K55" si="16">IFERROR(AVERAGE(D77:H77)/AVERAGE($D$91:$H$91),0)</f>
        <v>0</v>
      </c>
    </row>
    <row r="51" spans="1:12">
      <c r="A51" s="488" t="s">
        <v>401</v>
      </c>
      <c r="B51" s="244" t="str">
        <f t="shared" si="15"/>
        <v/>
      </c>
      <c r="C51" s="243" t="s">
        <v>389</v>
      </c>
      <c r="D51" s="107">
        <f>IFERROR(ORA_5/Equity_RAV_based_on_actual_gearing,0)</f>
        <v>0</v>
      </c>
      <c r="E51" s="107">
        <f>IFERROR(ORA_5/Equity_RAV_based_on_actual_gearing,0)</f>
        <v>0</v>
      </c>
      <c r="F51" s="107">
        <f>IFERROR(ORA_5/Equity_RAV_based_on_actual_gearing,0)</f>
        <v>0</v>
      </c>
      <c r="G51" s="107">
        <f>IFERROR(ORA_5/Equity_RAV_based_on_actual_gearing,0)</f>
        <v>0</v>
      </c>
      <c r="H51" s="107">
        <f>IFERROR(ORA_5/Equity_RAV_based_on_actual_gearing,0)</f>
        <v>0</v>
      </c>
      <c r="I51" s="487"/>
      <c r="J51" s="31">
        <f>IFERROR(AVERAGE(D78:INDEX(D78:H78,0,MATCH('RFPR cover'!$C$9,$D$6:$H$6,0)))/AVERAGE($D$91:INDEX($D$91:$H$91,0,MATCH('RFPR cover'!$C$9,$D$6:$H$6,0))),0)</f>
        <v>0</v>
      </c>
      <c r="K51" s="108">
        <f t="shared" si="16"/>
        <v>0</v>
      </c>
    </row>
    <row r="52" spans="1:12">
      <c r="A52" s="488" t="s">
        <v>402</v>
      </c>
      <c r="B52" s="244" t="str">
        <f t="shared" si="15"/>
        <v/>
      </c>
      <c r="C52" s="243" t="s">
        <v>389</v>
      </c>
      <c r="D52" s="107">
        <f>IFERROR(ORA_6/Equity_RAV_based_on_actual_gearing,0)</f>
        <v>0</v>
      </c>
      <c r="E52" s="107">
        <f>IFERROR(ORA_6/Equity_RAV_based_on_actual_gearing,0)</f>
        <v>0</v>
      </c>
      <c r="F52" s="107">
        <f>IFERROR(ORA_6/Equity_RAV_based_on_actual_gearing,0)</f>
        <v>0</v>
      </c>
      <c r="G52" s="107">
        <f>IFERROR(ORA_6/Equity_RAV_based_on_actual_gearing,0)</f>
        <v>0</v>
      </c>
      <c r="H52" s="107">
        <f>IFERROR(ORA_6/Equity_RAV_based_on_actual_gearing,0)</f>
        <v>0</v>
      </c>
      <c r="I52" s="487"/>
      <c r="J52" s="31">
        <f>IFERROR(AVERAGE(D79:INDEX(D79:H79,0,MATCH('RFPR cover'!$C$9,$D$6:$H$6,0)))/AVERAGE($D$91:INDEX($D$91:$H$91,0,MATCH('RFPR cover'!$C$9,$D$6:$H$6,0))),0)</f>
        <v>0</v>
      </c>
      <c r="K52" s="108">
        <f t="shared" si="16"/>
        <v>0</v>
      </c>
    </row>
    <row r="53" spans="1:12">
      <c r="A53" s="488" t="s">
        <v>403</v>
      </c>
      <c r="B53" s="244" t="str">
        <f t="shared" si="15"/>
        <v/>
      </c>
      <c r="C53" s="243" t="s">
        <v>389</v>
      </c>
      <c r="D53" s="107">
        <f>IFERROR(ORA_7/Equity_RAV_based_on_actual_gearing,0)</f>
        <v>0</v>
      </c>
      <c r="E53" s="107">
        <f>IFERROR(ORA_7/Equity_RAV_based_on_actual_gearing,0)</f>
        <v>0</v>
      </c>
      <c r="F53" s="107">
        <f>IFERROR(ORA_7/Equity_RAV_based_on_actual_gearing,0)</f>
        <v>0</v>
      </c>
      <c r="G53" s="107">
        <f>IFERROR(ORA_7/Equity_RAV_based_on_actual_gearing,0)</f>
        <v>0</v>
      </c>
      <c r="H53" s="107">
        <f>IFERROR(ORA_7/Equity_RAV_based_on_actual_gearing,0)</f>
        <v>0</v>
      </c>
      <c r="I53" s="487"/>
      <c r="J53" s="31">
        <f>IFERROR(AVERAGE(D80:INDEX(D80:H80,0,MATCH('RFPR cover'!$C$9,$D$6:$H$6,0)))/AVERAGE($D$91:INDEX($D$91:$H$91,0,MATCH('RFPR cover'!$C$9,$D$6:$H$6,0))),0)</f>
        <v>0</v>
      </c>
      <c r="K53" s="108">
        <f t="shared" si="16"/>
        <v>0</v>
      </c>
    </row>
    <row r="54" spans="1:12">
      <c r="A54" s="488" t="s">
        <v>404</v>
      </c>
      <c r="B54" s="244" t="str">
        <f t="shared" si="15"/>
        <v/>
      </c>
      <c r="C54" s="243" t="s">
        <v>389</v>
      </c>
      <c r="D54" s="107">
        <f>IFERROR(ORA_8/Equity_RAV_based_on_actual_gearing,0)</f>
        <v>0</v>
      </c>
      <c r="E54" s="107">
        <f>IFERROR(ORA_8/Equity_RAV_based_on_actual_gearing,0)</f>
        <v>0</v>
      </c>
      <c r="F54" s="107">
        <f>IFERROR(ORA_8/Equity_RAV_based_on_actual_gearing,0)</f>
        <v>0</v>
      </c>
      <c r="G54" s="107">
        <f>IFERROR(ORA_8/Equity_RAV_based_on_actual_gearing,0)</f>
        <v>0</v>
      </c>
      <c r="H54" s="107">
        <f>IFERROR(ORA_8/Equity_RAV_based_on_actual_gearing,0)</f>
        <v>0</v>
      </c>
      <c r="I54" s="487"/>
      <c r="J54" s="31">
        <f>IFERROR(AVERAGE(D81:INDEX(D81:H81,0,MATCH('RFPR cover'!$C$9,$D$6:$H$6,0)))/AVERAGE($D$91:INDEX($D$91:$H$91,0,MATCH('RFPR cover'!$C$9,$D$6:$H$6,0))),0)</f>
        <v>0</v>
      </c>
      <c r="K54" s="108">
        <f t="shared" si="16"/>
        <v>0</v>
      </c>
    </row>
    <row r="55" spans="1:12" ht="12.7" thickBot="1">
      <c r="B55" s="244" t="str">
        <f t="shared" ref="B55:B56" si="17">B82</f>
        <v>Penalties and fines (Other Activities)</v>
      </c>
      <c r="C55" s="243" t="s">
        <v>389</v>
      </c>
      <c r="D55" s="489">
        <f>IFERROR(Penalties_and_fines/Equity_RAV_based_on_actual_gearing,0)</f>
        <v>-1.3099670417960007E-3</v>
      </c>
      <c r="E55" s="489">
        <f>IFERROR(Penalties_and_fines/Equity_RAV_based_on_actual_gearing,0)</f>
        <v>-1.2365923753964265E-3</v>
      </c>
      <c r="F55" s="489">
        <f>IFERROR(Penalties_and_fines/Equity_RAV_based_on_actual_gearing,0)</f>
        <v>-4.6262063860598294E-4</v>
      </c>
      <c r="G55" s="489">
        <f>IFERROR(Penalties_and_fines/Equity_RAV_based_on_actual_gearing,0)</f>
        <v>-4.5898475867418105E-4</v>
      </c>
      <c r="H55" s="489">
        <f>IFERROR(Penalties_and_fines/Equity_RAV_based_on_actual_gearing,0)</f>
        <v>-4.5810626679552231E-4</v>
      </c>
      <c r="I55" s="487"/>
      <c r="J55" s="31">
        <f>IFERROR(AVERAGE(D82:INDEX(D82:H82,0,MATCH('RFPR cover'!$C$9,$D$6:$H$6,0)))/AVERAGE($D$91:INDEX($D$91:$H$91,0,MATCH('RFPR cover'!$C$9,$D$6:$H$6,0))),0)</f>
        <v>-1.2720754254405768E-3</v>
      </c>
      <c r="K55" s="108">
        <f t="shared" si="16"/>
        <v>-7.8376287972136121E-4</v>
      </c>
    </row>
    <row r="56" spans="1:12" ht="12.7" thickBot="1">
      <c r="B56" s="245" t="str">
        <f t="shared" si="17"/>
        <v>RoRE - Operational performance</v>
      </c>
      <c r="C56" s="101" t="s">
        <v>389</v>
      </c>
      <c r="D56" s="232">
        <f t="shared" ref="D56:H56" si="18">SUM(D38:D55)</f>
        <v>6.890751968631019E-2</v>
      </c>
      <c r="E56" s="233">
        <f t="shared" si="18"/>
        <v>5.4044757728505262E-2</v>
      </c>
      <c r="F56" s="233">
        <f t="shared" si="18"/>
        <v>6.0140426573774733E-2</v>
      </c>
      <c r="G56" s="233">
        <f t="shared" si="18"/>
        <v>6.3746235408244617E-2</v>
      </c>
      <c r="H56" s="234">
        <f t="shared" si="18"/>
        <v>6.6542353793966044E-2</v>
      </c>
      <c r="I56" s="490"/>
      <c r="J56" s="236">
        <f>SUM(J38:J55)</f>
        <v>6.1232199283212559E-2</v>
      </c>
      <c r="K56" s="234">
        <f>SUM(K38:K55)</f>
        <v>6.2581518944126835E-2</v>
      </c>
    </row>
    <row r="57" spans="1:12">
      <c r="B57" s="244" t="s">
        <v>406</v>
      </c>
      <c r="C57" s="243" t="s">
        <v>389</v>
      </c>
      <c r="D57" s="491">
        <f>IFERROR((Debt_performance___at_notional_gearing+Debt_performance___impact_of_actual_gearing)/Equity_RAV_based_on_actual_gearing,0)</f>
        <v>4.6489881969615392E-2</v>
      </c>
      <c r="E57" s="491">
        <f>IFERROR((Debt_performance___at_notional_gearing+Debt_performance___impact_of_actual_gearing)/Equity_RAV_based_on_actual_gearing,0)</f>
        <v>7.7737527236122761E-2</v>
      </c>
      <c r="F57" s="491">
        <f>IFERROR((Debt_performance___at_notional_gearing+Debt_performance___impact_of_actual_gearing)/Equity_RAV_based_on_actual_gearing,0)</f>
        <v>5.0547638391180115E-2</v>
      </c>
      <c r="G57" s="491">
        <f>IFERROR((Debt_performance___at_notional_gearing+Debt_performance___impact_of_actual_gearing)/Equity_RAV_based_on_actual_gearing,0)</f>
        <v>3.0570222375834672E-3</v>
      </c>
      <c r="H57" s="491">
        <f>IFERROR((Debt_performance___at_notional_gearing+Debt_performance___impact_of_actual_gearing)/Equity_RAV_based_on_actual_gearing,0)</f>
        <v>-4.0255959488688644E-3</v>
      </c>
      <c r="I57" s="487"/>
      <c r="J57" s="235">
        <f>IFERROR((AVERAGE(D84:INDEX(D84:H84,0,MATCH('RFPR cover'!$C$9,$D$6:$H$6,0)))+AVERAGE(D85:INDEX(D85:H85,0,MATCH('RFPR cover'!$C$9,$D$6:$H$6,0))))/AVERAGE($D$91:INDEX($D$91:$H$91,0,MATCH('RFPR cover'!$C$9,$D$6:$H$6,0))),0)</f>
        <v>6.2626565712762886E-2</v>
      </c>
      <c r="K57" s="235">
        <f>IFERROR((AVERAGE(D84:H84)+AVERAGE(D85:H85))/AVERAGE($D$91:$H$91),0)</f>
        <v>3.4907394106734033E-2</v>
      </c>
    </row>
    <row r="58" spans="1:12" ht="12.7" thickBot="1">
      <c r="B58" s="244" t="s">
        <v>407</v>
      </c>
      <c r="C58" s="243" t="s">
        <v>389</v>
      </c>
      <c r="D58" s="237">
        <f>IFERROR((Tax_performance___at_notional_gearing+Tax_performance___impact_of_actual_gearing)/D$91,0)</f>
        <v>1.8147723580742869E-3</v>
      </c>
      <c r="E58" s="237">
        <f>IFERROR((Tax_performance___at_notional_gearing+Tax_performance___impact_of_actual_gearing)/E$91,0)</f>
        <v>-4.772754115593727E-3</v>
      </c>
      <c r="F58" s="237">
        <f>IFERROR((Tax_performance___at_notional_gearing+Tax_performance___impact_of_actual_gearing)/F$91,0)</f>
        <v>1.6980230779695873E-3</v>
      </c>
      <c r="G58" s="237">
        <f>IFERROR((Tax_performance___at_notional_gearing+Tax_performance___impact_of_actual_gearing)/G$91,0)</f>
        <v>7.7979482051799447E-4</v>
      </c>
      <c r="H58" s="237">
        <f>IFERROR((Tax_performance___at_notional_gearing+Tax_performance___impact_of_actual_gearing)/H$91,0)</f>
        <v>8.7164959072684488E-4</v>
      </c>
      <c r="I58" s="487"/>
      <c r="J58" s="34">
        <f>IFERROR((AVERAGE(D86:INDEX(D86:H86,0,MATCH('RFPR cover'!$C$9,$D$6:$H$6,0)))+AVERAGE(D87:INDEX(D87:H87,0,MATCH('RFPR cover'!$C$9,$D$6:$H$6,0))))/AVERAGE($D$91:INDEX($D$91:$H$91,0,MATCH('RFPR cover'!$C$9,$D$6:$H$6,0))),0)</f>
        <v>-1.5871105821781877E-3</v>
      </c>
      <c r="K58" s="34">
        <f>IFERROR((AVERAGE(D86:H86)+AVERAGE(D87:H87))/AVERAGE($D$91:$H$91),0)</f>
        <v>3.8367342945618193E-5</v>
      </c>
    </row>
    <row r="59" spans="1:12" ht="12.7" thickBot="1">
      <c r="B59" s="245" t="str">
        <f>B88</f>
        <v>RoRE - including financing and tax</v>
      </c>
      <c r="C59" s="101" t="s">
        <v>389</v>
      </c>
      <c r="D59" s="232">
        <f>SUM(D56:D58)</f>
        <v>0.11721217401399986</v>
      </c>
      <c r="E59" s="233">
        <f t="shared" ref="E59:H59" si="19">SUM(E56:E58)</f>
        <v>0.1270095308490343</v>
      </c>
      <c r="F59" s="233">
        <f t="shared" si="19"/>
        <v>0.11238608804292442</v>
      </c>
      <c r="G59" s="233">
        <f t="shared" si="19"/>
        <v>6.7583052466346091E-2</v>
      </c>
      <c r="H59" s="234">
        <f t="shared" si="19"/>
        <v>6.3388407435824023E-2</v>
      </c>
      <c r="I59" s="490"/>
      <c r="J59" s="236">
        <f>SUM(J56:J58)</f>
        <v>0.12227165441379727</v>
      </c>
      <c r="K59" s="234">
        <f>SUM(K56:K58)</f>
        <v>9.7527280393806481E-2</v>
      </c>
    </row>
    <row r="60" spans="1:12">
      <c r="B60" s="100"/>
      <c r="C60" s="101"/>
      <c r="D60" s="102"/>
      <c r="E60" s="102"/>
      <c r="F60" s="102"/>
      <c r="G60" s="102"/>
      <c r="H60" s="102"/>
      <c r="I60" s="490"/>
      <c r="J60" s="102"/>
      <c r="K60" s="102"/>
    </row>
    <row r="61" spans="1:12">
      <c r="B61" s="100"/>
      <c r="C61" s="101"/>
      <c r="D61" s="102"/>
      <c r="E61" s="102"/>
      <c r="F61" s="102"/>
      <c r="G61" s="102"/>
      <c r="H61" s="102"/>
      <c r="I61" s="490"/>
      <c r="J61" s="102"/>
      <c r="K61" s="102"/>
    </row>
    <row r="62" spans="1:12">
      <c r="B62" s="111" t="s">
        <v>408</v>
      </c>
      <c r="C62" s="112"/>
      <c r="D62" s="113"/>
      <c r="E62" s="113"/>
      <c r="F62" s="113"/>
      <c r="G62" s="113"/>
      <c r="H62" s="113"/>
      <c r="I62" s="493"/>
      <c r="J62" s="113"/>
      <c r="K62" s="113"/>
      <c r="L62" s="40"/>
    </row>
    <row r="63" spans="1:12">
      <c r="B63" s="115" t="str">
        <f>"Input values provided in "&amp;Data!C9&amp;" prices"</f>
        <v>Input values provided in £m 18/19 prices</v>
      </c>
      <c r="C63" s="114"/>
      <c r="D63" s="114"/>
      <c r="E63" s="114"/>
      <c r="F63" s="114"/>
      <c r="G63" s="114"/>
      <c r="H63" s="114"/>
      <c r="I63" s="114"/>
      <c r="J63" s="114"/>
      <c r="K63" s="114"/>
      <c r="L63" s="114"/>
    </row>
    <row r="65" spans="1:12">
      <c r="B65" s="494" t="s">
        <v>409</v>
      </c>
      <c r="C65" s="495" t="str">
        <f>Data!$C$9</f>
        <v>£m 18/19</v>
      </c>
      <c r="D65" s="32">
        <f>'R7 - RAV'!F44</f>
        <v>31.259754460545089</v>
      </c>
      <c r="E65" s="33">
        <f>'R7 - RAV'!G44</f>
        <v>31.80326643921347</v>
      </c>
      <c r="F65" s="33">
        <f>'R7 - RAV'!H44</f>
        <v>37.010441430820393</v>
      </c>
      <c r="G65" s="33">
        <f>'R7 - RAV'!I44</f>
        <v>36.781893337829857</v>
      </c>
      <c r="H65" s="33">
        <f>'R7 - RAV'!J44</f>
        <v>36.908170846600882</v>
      </c>
      <c r="I65" s="36"/>
      <c r="J65" s="19">
        <f>SUM(D65:INDEX(D65:H65,0,MATCH('RFPR cover'!$C$9,$D$6:$H$6,0)))</f>
        <v>63.063020899758556</v>
      </c>
      <c r="K65" s="19">
        <f t="shared" ref="K65:K82" si="20">SUM(D65:H65)</f>
        <v>173.76352651500969</v>
      </c>
      <c r="L65" s="36"/>
    </row>
    <row r="66" spans="1:12">
      <c r="B66" s="494" t="s">
        <v>410</v>
      </c>
      <c r="C66" s="495" t="str">
        <f>Data!$C$9</f>
        <v>£m 18/19</v>
      </c>
      <c r="D66" s="48">
        <f>'R3 - Totex - Reconciliation'!D102</f>
        <v>13.810095494214806</v>
      </c>
      <c r="E66" s="48">
        <f>'R3 - Totex - Reconciliation'!E102</f>
        <v>5.7549418253399383</v>
      </c>
      <c r="F66" s="48">
        <f>'R3 - Totex - Reconciliation'!F102</f>
        <v>2.8226802283841015</v>
      </c>
      <c r="G66" s="48">
        <f>'R3 - Totex - Reconciliation'!G102</f>
        <v>5.5023431029974343</v>
      </c>
      <c r="H66" s="48">
        <f>'R3 - Totex - Reconciliation'!H102</f>
        <v>7.2019819687318645</v>
      </c>
      <c r="I66" s="36"/>
      <c r="J66" s="19">
        <f>SUM(D66:INDEX(D66:H66,0,MATCH('RFPR cover'!$C$9,$D$6:$H$6,0)))</f>
        <v>19.565037319554744</v>
      </c>
      <c r="K66" s="19">
        <f t="shared" si="20"/>
        <v>35.092042619668142</v>
      </c>
      <c r="L66" s="36"/>
    </row>
    <row r="67" spans="1:12">
      <c r="A67" s="488" t="s">
        <v>390</v>
      </c>
      <c r="B67" s="494" t="s">
        <v>411</v>
      </c>
      <c r="C67" s="495" t="str">
        <f>Data!$C$9</f>
        <v>£m 18/19</v>
      </c>
      <c r="D67" s="45">
        <f>'R4 - Incentives and Other Rev'!D12</f>
        <v>-7.0993072540795777E-3</v>
      </c>
      <c r="E67" s="45">
        <f>'R4 - Incentives and Other Rev'!E12</f>
        <v>-7.0993072540795777E-3</v>
      </c>
      <c r="F67" s="45">
        <f>'R4 - Incentives and Other Rev'!F12</f>
        <v>-7.0993072540795777E-3</v>
      </c>
      <c r="G67" s="45">
        <f>'R4 - Incentives and Other Rev'!G12</f>
        <v>-7.0993072540795777E-3</v>
      </c>
      <c r="H67" s="45">
        <f>'R4 - Incentives and Other Rev'!H12</f>
        <v>-7.0993072540795777E-3</v>
      </c>
      <c r="I67" s="36"/>
      <c r="J67" s="19">
        <f>SUM(D67:INDEX(D67:H67,0,MATCH('RFPR cover'!$C$9,$D$6:$H$6,0)))</f>
        <v>-1.4198614508159155E-2</v>
      </c>
      <c r="K67" s="19">
        <f t="shared" si="20"/>
        <v>-3.5496536270397887E-2</v>
      </c>
      <c r="L67" s="36"/>
    </row>
    <row r="68" spans="1:12">
      <c r="A68" s="488" t="s">
        <v>391</v>
      </c>
      <c r="B68" s="348" t="str">
        <f>'R4 - Incentives and Other Rev'!B14</f>
        <v>Customer Satisfaction Survey ODI - (SpC 4.2)</v>
      </c>
      <c r="C68" s="495" t="str">
        <f>Data!$C$9</f>
        <v>£m 18/19</v>
      </c>
      <c r="D68" s="45">
        <f>'R4 - Incentives and Other Rev'!D14</f>
        <v>0.80765898737684227</v>
      </c>
      <c r="E68" s="45">
        <f>'R4 - Incentives and Other Rev'!E14</f>
        <v>0.93421014738973318</v>
      </c>
      <c r="F68" s="45">
        <f>'R4 - Incentives and Other Rev'!F14</f>
        <v>1.3622794117647055</v>
      </c>
      <c r="G68" s="45">
        <f>'R4 - Incentives and Other Rev'!G14</f>
        <v>1.3979411764705882</v>
      </c>
      <c r="H68" s="45">
        <f>'R4 - Incentives and Other Rev'!H14</f>
        <v>1.4550000000000001</v>
      </c>
      <c r="I68" s="496"/>
      <c r="J68" s="19">
        <f>SUM(D68:INDEX(D68:H68,0,MATCH('RFPR cover'!$C$9,$D$6:$H$6,0)))</f>
        <v>1.7418691347665756</v>
      </c>
      <c r="K68" s="19">
        <f t="shared" si="20"/>
        <v>5.9570897230018698</v>
      </c>
      <c r="L68" s="36"/>
    </row>
    <row r="69" spans="1:12">
      <c r="A69" s="488" t="s">
        <v>392</v>
      </c>
      <c r="B69" s="348" t="str">
        <f>'R4 - Incentives and Other Rev'!B15</f>
        <v>Complaints metric ODI - (SpC 4.3)</v>
      </c>
      <c r="C69" s="495" t="str">
        <f>Data!$C$9</f>
        <v>£m 18/19</v>
      </c>
      <c r="D69" s="45">
        <f>'R4 - Incentives and Other Rev'!D15</f>
        <v>0</v>
      </c>
      <c r="E69" s="45">
        <f>'R4 - Incentives and Other Rev'!E15</f>
        <v>0</v>
      </c>
      <c r="F69" s="45">
        <f>'R4 - Incentives and Other Rev'!F15</f>
        <v>0</v>
      </c>
      <c r="G69" s="45">
        <f>'R4 - Incentives and Other Rev'!G15</f>
        <v>0</v>
      </c>
      <c r="H69" s="45">
        <f>'R4 - Incentives and Other Rev'!H15</f>
        <v>0</v>
      </c>
      <c r="I69" s="496"/>
      <c r="J69" s="19">
        <f>SUM(D69:INDEX(D69:H69,0,MATCH('RFPR cover'!$C$9,$D$6:$H$6,0)))</f>
        <v>0</v>
      </c>
      <c r="K69" s="19">
        <f t="shared" si="20"/>
        <v>0</v>
      </c>
      <c r="L69" s="36"/>
    </row>
    <row r="70" spans="1:12">
      <c r="A70" s="488" t="s">
        <v>393</v>
      </c>
      <c r="B70" s="348" t="str">
        <f>'R4 - Incentives and Other Rev'!B16</f>
        <v>Unplanned Interruption Mean Duration ODI [NGN, SGN and WWU] - (SpC 4.5)</v>
      </c>
      <c r="C70" s="495" t="str">
        <f>Data!$C$9</f>
        <v>£m 18/19</v>
      </c>
      <c r="D70" s="45">
        <f>'R4 - Incentives and Other Rev'!D16</f>
        <v>0</v>
      </c>
      <c r="E70" s="45">
        <f>'R4 - Incentives and Other Rev'!E16</f>
        <v>0</v>
      </c>
      <c r="F70" s="45">
        <f>'R4 - Incentives and Other Rev'!F16</f>
        <v>0</v>
      </c>
      <c r="G70" s="45">
        <f>'R4 - Incentives and Other Rev'!G16</f>
        <v>0</v>
      </c>
      <c r="H70" s="45">
        <f>'R4 - Incentives and Other Rev'!H16</f>
        <v>0</v>
      </c>
      <c r="I70" s="496"/>
      <c r="J70" s="19">
        <f>SUM(D70:INDEX(D70:H70,0,MATCH('RFPR cover'!$C$9,$D$6:$H$6,0)))</f>
        <v>0</v>
      </c>
      <c r="K70" s="19">
        <f t="shared" si="20"/>
        <v>0</v>
      </c>
      <c r="L70" s="36"/>
    </row>
    <row r="71" spans="1:12">
      <c r="A71" s="488" t="s">
        <v>394</v>
      </c>
      <c r="B71" s="348" t="str">
        <f>'R4 - Incentives and Other Rev'!B17</f>
        <v>Unplanned Interruption Mean Duration ODI [Cadent only]- (SpC 4.6)</v>
      </c>
      <c r="C71" s="495" t="str">
        <f>Data!$C$9</f>
        <v>£m 18/19</v>
      </c>
      <c r="D71" s="45">
        <f>'R4 - Incentives and Other Rev'!D17</f>
        <v>0</v>
      </c>
      <c r="E71" s="45">
        <f>'R4 - Incentives and Other Rev'!E17</f>
        <v>0</v>
      </c>
      <c r="F71" s="45">
        <f>'R4 - Incentives and Other Rev'!F17</f>
        <v>0</v>
      </c>
      <c r="G71" s="45">
        <f>'R4 - Incentives and Other Rev'!G17</f>
        <v>0</v>
      </c>
      <c r="H71" s="45">
        <f>'R4 - Incentives and Other Rev'!H17</f>
        <v>0</v>
      </c>
      <c r="I71" s="496"/>
      <c r="J71" s="19">
        <f>SUM(D71:INDEX(D71:H71,0,MATCH('RFPR cover'!$C$9,$D$6:$H$6,0)))</f>
        <v>0</v>
      </c>
      <c r="K71" s="19">
        <f t="shared" si="20"/>
        <v>0</v>
      </c>
      <c r="L71" s="36"/>
    </row>
    <row r="72" spans="1:12">
      <c r="A72" s="488" t="s">
        <v>395</v>
      </c>
      <c r="B72" s="348" t="str">
        <f>'R4 - Incentives and Other Rev'!B18</f>
        <v>Shrinkage Management ODI- (SpC 4.4)</v>
      </c>
      <c r="C72" s="495" t="str">
        <f>Data!$C$9</f>
        <v>£m 18/19</v>
      </c>
      <c r="D72" s="45">
        <f>'R4 - Incentives and Other Rev'!D18</f>
        <v>0.36375000000000002</v>
      </c>
      <c r="E72" s="45">
        <f>'R4 - Incentives and Other Rev'!E18</f>
        <v>0.36375000000000002</v>
      </c>
      <c r="F72" s="45">
        <f>'R4 - Incentives and Other Rev'!F18</f>
        <v>0.36375000000000002</v>
      </c>
      <c r="G72" s="45">
        <f>'R4 - Incentives and Other Rev'!G18</f>
        <v>0.36375000000000002</v>
      </c>
      <c r="H72" s="45">
        <f>'R4 - Incentives and Other Rev'!H18</f>
        <v>0.36375000000000002</v>
      </c>
      <c r="I72" s="496"/>
      <c r="J72" s="19">
        <f>SUM(D72:INDEX(D72:H72,0,MATCH('RFPR cover'!$C$9,$D$6:$H$6,0)))</f>
        <v>0.72750000000000004</v>
      </c>
      <c r="K72" s="19">
        <f t="shared" si="20"/>
        <v>1.8187500000000001</v>
      </c>
      <c r="L72" s="36"/>
    </row>
    <row r="73" spans="1:12">
      <c r="A73" s="488" t="s">
        <v>396</v>
      </c>
      <c r="B73" s="348" t="str">
        <f>'R4 - Incentives and Other Rev'!B19</f>
        <v>Collaborative streetworks ODI [Cadent Lon &amp; EoE, SGN So only]- (SpC 4.7)</v>
      </c>
      <c r="C73" s="495" t="str">
        <f>Data!$C$9</f>
        <v>£m 18/19</v>
      </c>
      <c r="D73" s="45">
        <f>'R4 - Incentives and Other Rev'!D19</f>
        <v>0</v>
      </c>
      <c r="E73" s="45">
        <f>'R4 - Incentives and Other Rev'!E19</f>
        <v>0</v>
      </c>
      <c r="F73" s="45">
        <f>'R4 - Incentives and Other Rev'!F19</f>
        <v>0</v>
      </c>
      <c r="G73" s="45">
        <f>'R4 - Incentives and Other Rev'!G19</f>
        <v>0</v>
      </c>
      <c r="H73" s="45">
        <f>'R4 - Incentives and Other Rev'!H19</f>
        <v>0</v>
      </c>
      <c r="I73" s="496"/>
      <c r="J73" s="19">
        <f>SUM(D73:INDEX(D73:H73,0,MATCH('RFPR cover'!$C$9,$D$6:$H$6,0)))</f>
        <v>0</v>
      </c>
      <c r="K73" s="19">
        <f t="shared" ref="K73:K76" si="21">SUM(D73:H73)</f>
        <v>0</v>
      </c>
      <c r="L73" s="36"/>
    </row>
    <row r="74" spans="1:12">
      <c r="A74" s="488" t="s">
        <v>397</v>
      </c>
      <c r="B74" s="348" t="str">
        <f>'R4 - Incentives and Other Rev'!B41</f>
        <v>Network innovation input for RORE</v>
      </c>
      <c r="C74" s="495" t="str">
        <f>Data!$C$9</f>
        <v>£m 18/19</v>
      </c>
      <c r="D74" s="45">
        <f>-'R4 - Incentives and Other Rev'!D41</f>
        <v>-3.1729832764654575E-2</v>
      </c>
      <c r="E74" s="45">
        <f>-'R4 - Incentives and Other Rev'!E41</f>
        <v>-5.2481832437136389E-2</v>
      </c>
      <c r="F74" s="45">
        <f>-'R4 - Incentives and Other Rev'!F41</f>
        <v>-0.16724877032473673</v>
      </c>
      <c r="G74" s="45">
        <f>-'R4 - Incentives and Other Rev'!G41</f>
        <v>-0.16730500579585761</v>
      </c>
      <c r="H74" s="45">
        <f>-'R4 - Incentives and Other Rev'!H41</f>
        <v>-0.16730500579585761</v>
      </c>
      <c r="I74" s="36"/>
      <c r="J74" s="19">
        <f>SUM(D74:INDEX(D74:H74,0,MATCH('RFPR cover'!$C$9,$D$6:$H$6,0)))</f>
        <v>-8.4211665201790964E-2</v>
      </c>
      <c r="K74" s="19">
        <f t="shared" si="21"/>
        <v>-0.58607044711824297</v>
      </c>
      <c r="L74" s="36"/>
    </row>
    <row r="75" spans="1:12">
      <c r="A75" s="488" t="s">
        <v>398</v>
      </c>
      <c r="B75" s="348" t="str">
        <f>'R4 - Incentives and Other Rev'!B48</f>
        <v>Carry-over Network innovation input for RORE</v>
      </c>
      <c r="C75" s="495" t="str">
        <f>Data!$C$9</f>
        <v>£m 18/19</v>
      </c>
      <c r="D75" s="45">
        <f>-'R4 - Incentives and Other Rev'!D48</f>
        <v>-5.601380660704991E-2</v>
      </c>
      <c r="E75" s="45">
        <f>-'R4 - Incentives and Other Rev'!E48</f>
        <v>0</v>
      </c>
      <c r="F75" s="45">
        <f>-'R4 - Incentives and Other Rev'!F48</f>
        <v>0</v>
      </c>
      <c r="G75" s="45">
        <f>-'R4 - Incentives and Other Rev'!G48</f>
        <v>0</v>
      </c>
      <c r="H75" s="45">
        <f>-'R4 - Incentives and Other Rev'!H48</f>
        <v>0</v>
      </c>
      <c r="I75" s="36"/>
      <c r="J75" s="19">
        <f>SUM(D75:INDEX(D75:H75,0,MATCH('RFPR cover'!$C$9,$D$6:$H$6,0)))</f>
        <v>-5.601380660704991E-2</v>
      </c>
      <c r="K75" s="19">
        <f t="shared" si="21"/>
        <v>-5.601380660704991E-2</v>
      </c>
      <c r="L75" s="36"/>
    </row>
    <row r="76" spans="1:12">
      <c r="A76" s="488" t="s">
        <v>399</v>
      </c>
      <c r="B76" s="348" t="str">
        <f>'R4 - Incentives and Other Rev'!B55</f>
        <v>Strategic innovation input for RORE</v>
      </c>
      <c r="C76" s="495" t="str">
        <f>Data!$C$9</f>
        <v>£m 18/19</v>
      </c>
      <c r="D76" s="45">
        <f>-'R4 - Incentives and Other Rev'!D55</f>
        <v>0</v>
      </c>
      <c r="E76" s="45">
        <f>-'R4 - Incentives and Other Rev'!E55</f>
        <v>0</v>
      </c>
      <c r="F76" s="45">
        <f>-'R4 - Incentives and Other Rev'!F55</f>
        <v>0</v>
      </c>
      <c r="G76" s="45">
        <f>-'R4 - Incentives and Other Rev'!G55</f>
        <v>0</v>
      </c>
      <c r="H76" s="45">
        <f>-'R4 - Incentives and Other Rev'!H55</f>
        <v>0</v>
      </c>
      <c r="I76" s="36"/>
      <c r="J76" s="19">
        <f>SUM(D76:INDEX(D76:H76,0,MATCH('RFPR cover'!$C$9,$D$6:$H$6,0)))</f>
        <v>0</v>
      </c>
      <c r="K76" s="19">
        <f t="shared" si="21"/>
        <v>0</v>
      </c>
      <c r="L76" s="36"/>
    </row>
    <row r="77" spans="1:12">
      <c r="A77" s="488" t="s">
        <v>400</v>
      </c>
      <c r="B77" s="348" t="str">
        <f>'R4 - Incentives and Other Rev'!B62</f>
        <v/>
      </c>
      <c r="C77" s="495" t="str">
        <f>Data!$C$9</f>
        <v>£m 18/19</v>
      </c>
      <c r="D77" s="46">
        <f>'R4 - Incentives and Other Rev'!D62</f>
        <v>0</v>
      </c>
      <c r="E77" s="46">
        <f>'R4 - Incentives and Other Rev'!E62</f>
        <v>0</v>
      </c>
      <c r="F77" s="46">
        <f>'R4 - Incentives and Other Rev'!F62</f>
        <v>0</v>
      </c>
      <c r="G77" s="46">
        <f>'R4 - Incentives and Other Rev'!G62</f>
        <v>0</v>
      </c>
      <c r="H77" s="46">
        <f>'R4 - Incentives and Other Rev'!H62</f>
        <v>0</v>
      </c>
      <c r="I77" s="36"/>
      <c r="J77" s="19">
        <f>SUM(D77:INDEX(D77:H77,0,MATCH('RFPR cover'!$C$9,$D$6:$H$6,0)))</f>
        <v>0</v>
      </c>
      <c r="K77" s="19">
        <f t="shared" si="20"/>
        <v>0</v>
      </c>
      <c r="L77" s="36"/>
    </row>
    <row r="78" spans="1:12">
      <c r="A78" s="488" t="s">
        <v>401</v>
      </c>
      <c r="B78" s="348" t="str">
        <f>'R4 - Incentives and Other Rev'!B63</f>
        <v/>
      </c>
      <c r="C78" s="495" t="str">
        <f>Data!$C$9</f>
        <v>£m 18/19</v>
      </c>
      <c r="D78" s="46">
        <f>'R4 - Incentives and Other Rev'!D63</f>
        <v>0</v>
      </c>
      <c r="E78" s="46">
        <f>'R4 - Incentives and Other Rev'!E63</f>
        <v>0</v>
      </c>
      <c r="F78" s="46">
        <f>'R4 - Incentives and Other Rev'!F63</f>
        <v>0</v>
      </c>
      <c r="G78" s="46">
        <f>'R4 - Incentives and Other Rev'!G63</f>
        <v>0</v>
      </c>
      <c r="H78" s="46">
        <f>'R4 - Incentives and Other Rev'!H63</f>
        <v>0</v>
      </c>
      <c r="I78" s="36"/>
      <c r="J78" s="19">
        <f>SUM(D78:INDEX(D78:H78,0,MATCH('RFPR cover'!$C$9,$D$6:$H$6,0)))</f>
        <v>0</v>
      </c>
      <c r="K78" s="19">
        <f t="shared" si="20"/>
        <v>0</v>
      </c>
      <c r="L78" s="36"/>
    </row>
    <row r="79" spans="1:12">
      <c r="A79" s="488" t="s">
        <v>402</v>
      </c>
      <c r="B79" s="348" t="str">
        <f>'R4 - Incentives and Other Rev'!B64</f>
        <v/>
      </c>
      <c r="C79" s="495" t="str">
        <f>Data!$C$9</f>
        <v>£m 18/19</v>
      </c>
      <c r="D79" s="46">
        <f>'R4 - Incentives and Other Rev'!D64</f>
        <v>0</v>
      </c>
      <c r="E79" s="46">
        <f>'R4 - Incentives and Other Rev'!E64</f>
        <v>0</v>
      </c>
      <c r="F79" s="46">
        <f>'R4 - Incentives and Other Rev'!F64</f>
        <v>0</v>
      </c>
      <c r="G79" s="46">
        <f>'R4 - Incentives and Other Rev'!G64</f>
        <v>0</v>
      </c>
      <c r="H79" s="46">
        <f>'R4 - Incentives and Other Rev'!H64</f>
        <v>0</v>
      </c>
      <c r="I79" s="36"/>
      <c r="J79" s="19">
        <f>SUM(D79:INDEX(D79:H79,0,MATCH('RFPR cover'!$C$9,$D$6:$H$6,0)))</f>
        <v>0</v>
      </c>
      <c r="K79" s="19">
        <f t="shared" si="20"/>
        <v>0</v>
      </c>
      <c r="L79" s="36"/>
    </row>
    <row r="80" spans="1:12">
      <c r="A80" s="488" t="s">
        <v>403</v>
      </c>
      <c r="B80" s="348" t="str">
        <f>'R4 - Incentives and Other Rev'!B65</f>
        <v/>
      </c>
      <c r="C80" s="495" t="str">
        <f>Data!$C$9</f>
        <v>£m 18/19</v>
      </c>
      <c r="D80" s="46">
        <f>'R4 - Incentives and Other Rev'!D65</f>
        <v>0</v>
      </c>
      <c r="E80" s="46">
        <f>'R4 - Incentives and Other Rev'!E65</f>
        <v>0</v>
      </c>
      <c r="F80" s="46">
        <f>'R4 - Incentives and Other Rev'!F65</f>
        <v>0</v>
      </c>
      <c r="G80" s="46">
        <f>'R4 - Incentives and Other Rev'!G65</f>
        <v>0</v>
      </c>
      <c r="H80" s="46">
        <f>'R4 - Incentives and Other Rev'!H65</f>
        <v>0</v>
      </c>
      <c r="I80" s="36"/>
      <c r="J80" s="19">
        <f>SUM(D80:INDEX(D80:H80,0,MATCH('RFPR cover'!$C$9,$D$6:$H$6,0)))</f>
        <v>0</v>
      </c>
      <c r="K80" s="19">
        <f>SUM(D80:H80)</f>
        <v>0</v>
      </c>
      <c r="L80" s="36"/>
    </row>
    <row r="81" spans="1:14">
      <c r="A81" s="488" t="s">
        <v>404</v>
      </c>
      <c r="B81" s="348" t="str">
        <f>'R4 - Incentives and Other Rev'!B66</f>
        <v/>
      </c>
      <c r="C81" s="495" t="str">
        <f>Data!$C$9</f>
        <v>£m 18/19</v>
      </c>
      <c r="D81" s="46">
        <f>'R4 - Incentives and Other Rev'!D66</f>
        <v>0</v>
      </c>
      <c r="E81" s="46">
        <f>'R4 - Incentives and Other Rev'!E66</f>
        <v>0</v>
      </c>
      <c r="F81" s="46">
        <f>'R4 - Incentives and Other Rev'!F66</f>
        <v>0</v>
      </c>
      <c r="G81" s="46">
        <f>'R4 - Incentives and Other Rev'!G66</f>
        <v>0</v>
      </c>
      <c r="H81" s="46">
        <f>'R4 - Incentives and Other Rev'!H66</f>
        <v>0</v>
      </c>
      <c r="I81" s="36"/>
      <c r="J81" s="19">
        <f>SUM(D81:INDEX(D81:H81,0,MATCH('RFPR cover'!$C$9,$D$6:$H$6,0)))</f>
        <v>0</v>
      </c>
      <c r="K81" s="19">
        <f>SUM(D81:H81)</f>
        <v>0</v>
      </c>
      <c r="L81" s="36"/>
    </row>
    <row r="82" spans="1:14" ht="12.7" thickBot="1">
      <c r="B82" s="494" t="s">
        <v>412</v>
      </c>
      <c r="C82" s="495" t="str">
        <f>Data!$C$9</f>
        <v>£m 18/19</v>
      </c>
      <c r="D82" s="46">
        <f>-'R10 - Pensions &amp; Oth Activities'!D54</f>
        <v>-0.860900708183998</v>
      </c>
      <c r="E82" s="46">
        <f>-'R10 - Pensions &amp; Oth Activities'!E54</f>
        <v>-0.86784356608690583</v>
      </c>
      <c r="F82" s="46">
        <f>-'R10 - Pensions &amp; Oth Activities'!F54</f>
        <v>-0.31591586347614853</v>
      </c>
      <c r="G82" s="46">
        <f>-'R10 - Pensions &amp; Oth Activities'!G54</f>
        <v>-0.31362497448212229</v>
      </c>
      <c r="H82" s="46">
        <f>-'R10 - Pensions &amp; Oth Activities'!H54</f>
        <v>-0.31283997869527247</v>
      </c>
      <c r="I82" s="36"/>
      <c r="J82" s="218">
        <f>SUM(D82:INDEX(D82:H82,0,MATCH('RFPR cover'!$C$9,$D$6:$H$6,0)))</f>
        <v>-1.7287442742709038</v>
      </c>
      <c r="K82" s="218">
        <f t="shared" si="20"/>
        <v>-2.6711250909244475</v>
      </c>
      <c r="L82" s="36"/>
    </row>
    <row r="83" spans="1:14" ht="12.7" thickBot="1">
      <c r="B83" s="497" t="s">
        <v>413</v>
      </c>
      <c r="C83" s="498" t="str">
        <f>Data!$C$9</f>
        <v>£m 18/19</v>
      </c>
      <c r="D83" s="228">
        <f>SUM(D65:D82)</f>
        <v>45.285515287326959</v>
      </c>
      <c r="E83" s="230">
        <f>SUM(E65:E82)</f>
        <v>37.928743706165022</v>
      </c>
      <c r="F83" s="230">
        <f>SUM(F65:F82)</f>
        <v>41.068887129914231</v>
      </c>
      <c r="G83" s="230">
        <f>SUM(G65:G82)</f>
        <v>43.55789832976582</v>
      </c>
      <c r="H83" s="229">
        <f>SUM(H65:H82)</f>
        <v>45.441658523587535</v>
      </c>
      <c r="I83" s="124"/>
      <c r="J83" s="228">
        <f>SUM(J65:J82)</f>
        <v>83.214258993491967</v>
      </c>
      <c r="K83" s="229">
        <f>SUM(K65:K82)</f>
        <v>213.28270297675959</v>
      </c>
      <c r="L83" s="36"/>
    </row>
    <row r="84" spans="1:14">
      <c r="B84" s="494" t="s">
        <v>414</v>
      </c>
      <c r="C84" s="495" t="str">
        <f>Data!$C$9</f>
        <v>£m 18/19</v>
      </c>
      <c r="D84" s="46">
        <f>IFERROR('R5 - Financing'!D85,0)</f>
        <v>30.252858512983348</v>
      </c>
      <c r="E84" s="46">
        <f>IFERROR('R5 - Financing'!E85,0)</f>
        <v>54.68515044734918</v>
      </c>
      <c r="F84" s="46">
        <f>IFERROR('R5 - Financing'!F85,0)</f>
        <v>34.281550855997054</v>
      </c>
      <c r="G84" s="46">
        <f>IFERROR('R5 - Financing'!G85,0)</f>
        <v>2.4416937811672765</v>
      </c>
      <c r="H84" s="46">
        <f>IFERROR('R5 - Financing'!H85,0)</f>
        <v>-2.2697526480254444</v>
      </c>
      <c r="I84" s="36"/>
      <c r="J84" s="227">
        <f>SUM(D84:INDEX(D84:H84,0,MATCH('RFPR cover'!$C$9,$D$6:$H$6,0)))</f>
        <v>84.938008960332525</v>
      </c>
      <c r="K84" s="227">
        <f>SUM(D84:H84)</f>
        <v>119.39150094947141</v>
      </c>
      <c r="L84" s="36"/>
    </row>
    <row r="85" spans="1:14">
      <c r="B85" s="494" t="s">
        <v>415</v>
      </c>
      <c r="C85" s="495" t="str">
        <f>Data!$C$9</f>
        <v>£m 18/19</v>
      </c>
      <c r="D85" s="46">
        <f>IFERROR('R5 - Financing'!D87,0)</f>
        <v>0.29995009520843396</v>
      </c>
      <c r="E85" s="46">
        <f>IFERROR('R5 - Financing'!E87,0)</f>
        <v>-0.12876291200865353</v>
      </c>
      <c r="F85" s="46">
        <f>IFERROR('R5 - Financing'!F87,0)</f>
        <v>0.23658235385853743</v>
      </c>
      <c r="G85" s="46">
        <f>IFERROR('R5 - Financing'!G87,0)</f>
        <v>-0.35282589800955266</v>
      </c>
      <c r="H85" s="46">
        <f>IFERROR('R5 - Financing'!H87,0)</f>
        <v>-0.47931987545093646</v>
      </c>
      <c r="I85" s="36"/>
      <c r="J85" s="19">
        <f>SUM(D85:INDEX(D85:H85,0,MATCH('RFPR cover'!$C$9,$D$6:$H$6,0)))</f>
        <v>0.17118718319978043</v>
      </c>
      <c r="K85" s="19">
        <f>SUM(D85:H85)</f>
        <v>-0.42437623640217126</v>
      </c>
      <c r="L85" s="36"/>
    </row>
    <row r="86" spans="1:14">
      <c r="B86" s="494" t="s">
        <v>416</v>
      </c>
      <c r="C86" s="495" t="str">
        <f>Data!$C$9</f>
        <v>£m 18/19</v>
      </c>
      <c r="D86" s="46">
        <f>IFERROR('R8 - Tax'!E62,0)</f>
        <v>1.2496455684921592</v>
      </c>
      <c r="E86" s="46">
        <f>IFERROR('R8 - Tax'!F62,0)</f>
        <v>-3.3739955133459283</v>
      </c>
      <c r="F86" s="46">
        <f>IFERROR('R8 - Tax'!G62,0)</f>
        <v>1.2186970267567609</v>
      </c>
      <c r="G86" s="46">
        <f>IFERROR('R8 - Tax'!H62,0)</f>
        <v>0.44462849673432814</v>
      </c>
      <c r="H86" s="46">
        <f>IFERROR('R8 - Tax'!I62,0)</f>
        <v>0.47541803178171804</v>
      </c>
      <c r="I86" s="36"/>
      <c r="J86" s="19">
        <f>SUM(D86:INDEX(D86:H86,0,MATCH('RFPR cover'!$C$9,$D$6:$H$6,0)))</f>
        <v>-2.124349944853769</v>
      </c>
      <c r="K86" s="19">
        <f>SUM(D86:H86)</f>
        <v>1.4393610419038083E-2</v>
      </c>
      <c r="L86" s="36"/>
    </row>
    <row r="87" spans="1:14" ht="12.7" thickBot="1">
      <c r="B87" s="494" t="s">
        <v>417</v>
      </c>
      <c r="C87" s="495" t="str">
        <f>Data!$C$9</f>
        <v>£m 18/19</v>
      </c>
      <c r="D87" s="46">
        <f>IFERROR('R8 - Tax'!E64,0)</f>
        <v>-5.6990518089602205E-2</v>
      </c>
      <c r="E87" s="46">
        <f>IFERROR('R8 - Tax'!F64,0)</f>
        <v>2.4464953281643886E-2</v>
      </c>
      <c r="F87" s="46">
        <f>IFERROR('R8 - Tax'!G64,0)</f>
        <v>-5.9145588464634358E-2</v>
      </c>
      <c r="G87" s="46">
        <f>IFERROR('R8 - Tax'!H64,0)</f>
        <v>8.820647450238539E-2</v>
      </c>
      <c r="H87" s="46">
        <f>IFERROR('R8 - Tax'!I64,0)</f>
        <v>0.11982996886273511</v>
      </c>
      <c r="I87" s="36"/>
      <c r="J87" s="218">
        <f>SUM(D87:INDEX(D87:H87,0,MATCH('RFPR cover'!$C$9,$D$6:$H$6,0)))</f>
        <v>-3.2525564807958318E-2</v>
      </c>
      <c r="K87" s="218">
        <f>SUM(D87:H87)</f>
        <v>0.11636529009252783</v>
      </c>
      <c r="L87" s="36"/>
    </row>
    <row r="88" spans="1:14" ht="12.7" thickBot="1">
      <c r="B88" s="497" t="s">
        <v>418</v>
      </c>
      <c r="C88" s="498" t="str">
        <f>Data!$C$9</f>
        <v>£m 18/19</v>
      </c>
      <c r="D88" s="340">
        <f>IF(OR(Licensee=Data!$B$79,Licensee=Data!$B$82),"N/A",SUM(D83:D87))</f>
        <v>77.030978945921291</v>
      </c>
      <c r="E88" s="340">
        <f>IF(OR(Licensee=Data!$B$79,Licensee=Data!$B$82),"N/A",SUM(E83:E87))</f>
        <v>89.135600681441247</v>
      </c>
      <c r="F88" s="340">
        <f>IF(OR(Licensee=Data!$B$79,Licensee=Data!$B$82),"N/A",SUM(F83:F87))</f>
        <v>76.746571778061949</v>
      </c>
      <c r="G88" s="340">
        <f>IF(OR(Licensee=Data!$B$79,Licensee=Data!$B$82),"N/A",SUM(G83:G87))</f>
        <v>46.179601184160248</v>
      </c>
      <c r="H88" s="340">
        <f>IF(OR(Licensee=Data!$B$79,Licensee=Data!$B$82),"N/A",SUM(H83:H87))</f>
        <v>43.287834000755609</v>
      </c>
      <c r="I88" s="124"/>
      <c r="J88" s="228">
        <f>SUM(J83:J87)</f>
        <v>166.16657962736252</v>
      </c>
      <c r="K88" s="229">
        <f>SUM(K83:K87)</f>
        <v>332.38058659034044</v>
      </c>
      <c r="L88" s="36"/>
    </row>
    <row r="89" spans="1:14">
      <c r="D89" s="231"/>
      <c r="I89" s="36"/>
      <c r="L89" s="36"/>
      <c r="N89" s="36"/>
    </row>
    <row r="90" spans="1:14">
      <c r="B90" s="499" t="s">
        <v>419</v>
      </c>
      <c r="C90" s="495" t="str">
        <f>Data!$C$9</f>
        <v>£m 18/19</v>
      </c>
      <c r="D90" s="44">
        <f>'R7 - RAV'!F40</f>
        <v>691.86483096055883</v>
      </c>
      <c r="E90" s="33">
        <f>'R7 - RAV'!G40</f>
        <v>697.92822060986441</v>
      </c>
      <c r="F90" s="33">
        <f>'R7 - RAV'!H40</f>
        <v>700.50499033008759</v>
      </c>
      <c r="G90" s="33">
        <f>'R7 - RAV'!I40</f>
        <v>702.59934120719561</v>
      </c>
      <c r="H90" s="33">
        <f>'R7 - RAV'!J40</f>
        <v>702.74323249767758</v>
      </c>
      <c r="I90" s="36"/>
      <c r="L90" s="36"/>
    </row>
    <row r="91" spans="1:14">
      <c r="B91" s="494" t="s">
        <v>420</v>
      </c>
      <c r="C91" s="495" t="str">
        <f>Data!$C$9</f>
        <v>£m 18/19</v>
      </c>
      <c r="D91" s="47">
        <f>IFERROR('R6 - Net Debt'!D73,0)</f>
        <v>657.19264738422703</v>
      </c>
      <c r="E91" s="47">
        <f>IFERROR('R6 - Net Debt'!E73,0)</f>
        <v>701.80245596993325</v>
      </c>
      <c r="F91" s="47">
        <f>IFERROR('R6 - Net Debt'!F73,0)</f>
        <v>682.88320302375473</v>
      </c>
      <c r="G91" s="47">
        <f>IFERROR('R6 - Net Debt'!G73,0)</f>
        <v>683.30150087784261</v>
      </c>
      <c r="H91" s="47">
        <f>IFERROR('R6 - Net Debt'!H73,0)</f>
        <v>682.89827354601528</v>
      </c>
      <c r="I91" s="36"/>
      <c r="L91" s="36"/>
    </row>
    <row r="92" spans="1:14">
      <c r="L92" s="36"/>
    </row>
    <row r="93" spans="1:14">
      <c r="L93" s="36"/>
    </row>
    <row r="94" spans="1:14">
      <c r="L94" s="36"/>
    </row>
  </sheetData>
  <sheetProtection algorithmName="SHA-512" hashValue="AqO8jDg81Tu8EPQsdIg6GtZBSZoVnysSf1ZjVqpJneYD2LQ+GUxRm8Q56YKbntN5w/LVo/RWj7n8r/wV8T7ZGg==" saltValue="f3/u9PLnijiHKTe1DX2nRQ==" spinCount="100000" sheet="1" objects="1" scenarios="1" sort="0" autoFilter="0" pivotTables="0"/>
  <phoneticPr fontId="260" type="noConversion"/>
  <conditionalFormatting sqref="D6:G6">
    <cfRule type="expression" dxfId="84" priority="8">
      <formula>AND(D$5="Actuals",E$5="Forecast")</formula>
    </cfRule>
  </conditionalFormatting>
  <conditionalFormatting sqref="D7:H7">
    <cfRule type="expression" dxfId="83" priority="2">
      <formula>AND(D$5="Actuals",E$5="Forecast")</formula>
    </cfRule>
  </conditionalFormatting>
  <conditionalFormatting sqref="H6">
    <cfRule type="expression" dxfId="82"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zoomScaleNormal="100" workbookViewId="0"/>
  </sheetViews>
  <sheetFormatPr defaultColWidth="9" defaultRowHeight="12.35" outlineLevelCol="1"/>
  <cols>
    <col min="1" max="1" width="0.734375" style="166" customWidth="1"/>
    <col min="2" max="2" width="54.89453125" style="123" customWidth="1"/>
    <col min="3" max="3" width="19.3671875" style="123" bestFit="1" customWidth="1"/>
    <col min="4" max="4" width="14.47265625" style="30" customWidth="1"/>
    <col min="5" max="5" width="10.3671875" style="166" customWidth="1"/>
    <col min="6" max="9" width="11.1015625" style="166" customWidth="1"/>
    <col min="10" max="10" width="5" style="166" customWidth="1"/>
    <col min="11" max="20" width="9.26171875" style="166" customWidth="1" outlineLevel="1"/>
    <col min="21" max="16384" width="9" style="166"/>
  </cols>
  <sheetData>
    <row r="1" spans="1:10" ht="20">
      <c r="A1" s="449" t="s">
        <v>421</v>
      </c>
      <c r="B1" s="500"/>
      <c r="C1" s="500"/>
      <c r="D1" s="501"/>
      <c r="E1" s="502"/>
      <c r="F1" s="502"/>
      <c r="G1" s="502"/>
      <c r="H1" s="502"/>
      <c r="I1" s="502"/>
      <c r="J1" s="503"/>
    </row>
    <row r="2" spans="1:10" ht="20.350000000000001">
      <c r="A2" s="454" t="str">
        <f t="shared" ref="A2" si="0">Licensee</f>
        <v>Cadent-WM</v>
      </c>
      <c r="B2" s="455"/>
      <c r="C2" s="455"/>
      <c r="D2" s="504"/>
      <c r="E2" s="457"/>
      <c r="F2" s="457"/>
      <c r="G2" s="457"/>
      <c r="H2" s="457"/>
      <c r="I2" s="457"/>
      <c r="J2" s="459"/>
    </row>
    <row r="3" spans="1:10" ht="20.350000000000001">
      <c r="A3" s="456">
        <f>Reporting_Year</f>
        <v>2023</v>
      </c>
      <c r="B3" s="505"/>
      <c r="C3" s="505"/>
      <c r="D3" s="506"/>
      <c r="E3" s="460"/>
      <c r="F3" s="460"/>
      <c r="G3" s="460"/>
      <c r="H3" s="460"/>
      <c r="I3" s="460"/>
      <c r="J3" s="462"/>
    </row>
    <row r="4" spans="1:10" s="464" customFormat="1" ht="12.75" customHeight="1">
      <c r="B4" s="507"/>
      <c r="C4" s="507"/>
      <c r="D4" s="30"/>
    </row>
    <row r="5" spans="1:10" s="464" customFormat="1">
      <c r="B5" s="507"/>
      <c r="C5" s="507"/>
      <c r="D5" s="30"/>
      <c r="E5" s="463" t="str">
        <f>IF(E6&lt;=Reporting_Year,"Actuals","Forecast")</f>
        <v>Actuals</v>
      </c>
      <c r="F5" s="463" t="str">
        <f>IF(F6&lt;=Reporting_Year,"Actuals","Forecast")</f>
        <v>Actuals</v>
      </c>
      <c r="G5" s="463" t="str">
        <f>IF(G6&lt;=Reporting_Year,"Actuals","Forecast")</f>
        <v>Forecast</v>
      </c>
      <c r="H5" s="463" t="str">
        <f>IF(H6&lt;=Reporting_Year,"Actuals","Forecast")</f>
        <v>Forecast</v>
      </c>
      <c r="I5" s="463" t="str">
        <f>IF(I6&lt;=Reporting_Year,"Actuals","Forecast")</f>
        <v>Forecast</v>
      </c>
    </row>
    <row r="6" spans="1:10" s="464" customFormat="1">
      <c r="B6" s="507"/>
      <c r="C6" s="507"/>
      <c r="D6" s="30"/>
      <c r="E6" s="465">
        <f>RIIO_2_start_date</f>
        <v>2022</v>
      </c>
      <c r="F6" s="465">
        <f>E6+1</f>
        <v>2023</v>
      </c>
      <c r="G6" s="465">
        <f>F6+1</f>
        <v>2024</v>
      </c>
      <c r="H6" s="465">
        <f t="shared" ref="H6:I6" si="1">G6+1</f>
        <v>2025</v>
      </c>
      <c r="I6" s="465">
        <f t="shared" si="1"/>
        <v>2026</v>
      </c>
    </row>
    <row r="7" spans="1:10" s="464" customFormat="1">
      <c r="B7" s="122"/>
      <c r="C7" s="122"/>
      <c r="D7" s="30"/>
      <c r="E7" s="468" t="str">
        <f>RIIO_2_start_date-1&amp;"/"&amp;RIGHT(RIIO_2_start_date,2)</f>
        <v>2021/22</v>
      </c>
      <c r="F7" s="468" t="str">
        <f>RIIO_2_start_date&amp;"/"&amp;RIGHT(RIIO_2_start_date+1,2)</f>
        <v>2022/23</v>
      </c>
      <c r="G7" s="468" t="str">
        <f>RIIO_2_start_date+1&amp;"/"&amp;RIGHT(RIIO_2_start_date+2,2)</f>
        <v>2023/24</v>
      </c>
      <c r="H7" s="468" t="str">
        <f>RIIO_2_start_date+2&amp;"/"&amp;RIGHT(RIIO_2_start_date+3,2)</f>
        <v>2024/25</v>
      </c>
      <c r="I7" s="468" t="str">
        <f>RIIO_2_start_date+3&amp;"/"&amp;RIGHT(RIIO_2_start_date+4,2)</f>
        <v>2025/26</v>
      </c>
    </row>
    <row r="8" spans="1:10" s="464" customFormat="1">
      <c r="B8" s="122"/>
      <c r="C8" s="122"/>
      <c r="D8" s="30"/>
      <c r="E8" s="508"/>
      <c r="F8" s="508"/>
      <c r="G8" s="508"/>
      <c r="H8" s="508"/>
      <c r="I8" s="508"/>
    </row>
    <row r="9" spans="1:10" s="464" customFormat="1">
      <c r="B9" s="509" t="s">
        <v>422</v>
      </c>
      <c r="C9" s="509"/>
      <c r="D9" s="510"/>
      <c r="E9" s="511"/>
      <c r="F9" s="511"/>
      <c r="G9" s="511"/>
      <c r="H9" s="511"/>
      <c r="I9" s="511"/>
      <c r="J9" s="512"/>
    </row>
    <row r="10" spans="1:10" s="464" customFormat="1">
      <c r="B10" s="122"/>
      <c r="C10" s="122"/>
      <c r="D10" s="30"/>
      <c r="E10" s="508"/>
      <c r="F10" s="508"/>
      <c r="G10" s="508"/>
      <c r="H10" s="508"/>
      <c r="I10" s="508"/>
    </row>
    <row r="11" spans="1:10" s="464" customFormat="1">
      <c r="B11" s="513" t="s">
        <v>423</v>
      </c>
      <c r="C11" s="122"/>
      <c r="D11" s="30"/>
    </row>
    <row r="12" spans="1:10" s="464" customFormat="1">
      <c r="B12" s="514"/>
      <c r="C12" s="122"/>
      <c r="D12" s="30"/>
    </row>
    <row r="13" spans="1:10" s="464" customFormat="1">
      <c r="B13" s="123" t="s">
        <v>424</v>
      </c>
      <c r="C13" s="466" t="str">
        <f>IF(Licensee="NGGT (SO)","SORt* x  PIt* / PI2018/19","Rt* x  PIt* / PI2018/19")</f>
        <v>Rt* x  PIt* / PI2018/19</v>
      </c>
      <c r="D13" s="29" t="s">
        <v>425</v>
      </c>
      <c r="E13" s="515">
        <v>338.22412567075247</v>
      </c>
      <c r="F13" s="515">
        <v>448.45365262140854</v>
      </c>
      <c r="G13" s="515"/>
      <c r="H13" s="515"/>
      <c r="I13" s="515"/>
    </row>
    <row r="14" spans="1:10" s="464" customFormat="1">
      <c r="B14" s="123" t="s">
        <v>426</v>
      </c>
      <c r="C14" s="166" t="str">
        <f>IF(Licensee="NGGT (SO)","SOADJt*","ADJt*")</f>
        <v>ADJt*</v>
      </c>
      <c r="D14" s="29" t="s">
        <v>425</v>
      </c>
      <c r="E14" s="515">
        <v>0</v>
      </c>
      <c r="F14" s="515">
        <v>28.504327292470691</v>
      </c>
      <c r="G14" s="515"/>
      <c r="H14" s="515"/>
      <c r="I14" s="515"/>
    </row>
    <row r="15" spans="1:10" s="464" customFormat="1">
      <c r="B15" s="123" t="s">
        <v>427</v>
      </c>
      <c r="C15" s="166" t="str">
        <f>IF(Licensee="NGGT (SO)","SOADJRt*","ADJRt*")</f>
        <v>ADJRt*</v>
      </c>
      <c r="D15" s="29" t="s">
        <v>425</v>
      </c>
      <c r="E15" s="561">
        <f>SUM(E13:E14)</f>
        <v>338.22412567075247</v>
      </c>
      <c r="F15" s="561">
        <f t="shared" ref="F15:I15" si="2">SUM(F13:F14)</f>
        <v>476.95797991387923</v>
      </c>
      <c r="G15" s="561">
        <f t="shared" si="2"/>
        <v>0</v>
      </c>
      <c r="H15" s="561">
        <f t="shared" si="2"/>
        <v>0</v>
      </c>
      <c r="I15" s="561">
        <f t="shared" si="2"/>
        <v>0</v>
      </c>
    </row>
    <row r="16" spans="1:10" s="464" customFormat="1">
      <c r="B16" s="123" t="s">
        <v>428</v>
      </c>
      <c r="C16" s="166" t="str">
        <f>IF(OR(Licensee="ESO",Licensee="NGGT (SO)"),"SOLARt","LARt")</f>
        <v>LARt</v>
      </c>
      <c r="D16" s="29" t="s">
        <v>425</v>
      </c>
      <c r="E16" s="515">
        <v>7.3160791768581479E-2</v>
      </c>
      <c r="F16" s="515">
        <v>6.1143404767472456</v>
      </c>
      <c r="G16" s="515"/>
      <c r="H16" s="515"/>
      <c r="I16" s="515"/>
    </row>
    <row r="17" spans="2:10" s="464" customFormat="1">
      <c r="B17" s="123" t="s">
        <v>429</v>
      </c>
      <c r="C17" s="166" t="str">
        <f>IF(Licensee="NGGT (SO)","SOKt","Kt")</f>
        <v>Kt</v>
      </c>
      <c r="D17" s="29" t="s">
        <v>425</v>
      </c>
      <c r="E17" s="515">
        <v>0.72214414141742922</v>
      </c>
      <c r="F17" s="515">
        <v>2.2805392208574689</v>
      </c>
      <c r="G17" s="515"/>
      <c r="H17" s="515"/>
      <c r="I17" s="515"/>
    </row>
    <row r="18" spans="2:10" s="464" customFormat="1">
      <c r="B18" s="122" t="s">
        <v>430</v>
      </c>
      <c r="C18" s="122" t="str">
        <f>IF(Licensee="ESO","SOIARt",IF(Licensee="NGGT (SO)","SOARt","ARt"))</f>
        <v>ARt</v>
      </c>
      <c r="D18" s="30" t="s">
        <v>425</v>
      </c>
      <c r="E18" s="560">
        <f>SUM(E15:E17)</f>
        <v>339.01943060393847</v>
      </c>
      <c r="F18" s="560">
        <f t="shared" ref="F18:I18" si="3">SUM(F15:F17)</f>
        <v>485.35285961148395</v>
      </c>
      <c r="G18" s="560">
        <f t="shared" si="3"/>
        <v>0</v>
      </c>
      <c r="H18" s="560">
        <f t="shared" si="3"/>
        <v>0</v>
      </c>
      <c r="I18" s="560">
        <f t="shared" si="3"/>
        <v>0</v>
      </c>
    </row>
    <row r="19" spans="2:10" s="464" customFormat="1">
      <c r="B19" s="507"/>
      <c r="C19" s="507"/>
      <c r="D19" s="30"/>
      <c r="E19" s="516"/>
      <c r="F19" s="516"/>
      <c r="G19" s="516"/>
      <c r="H19" s="517"/>
      <c r="I19" s="517"/>
    </row>
    <row r="20" spans="2:10" s="464" customFormat="1">
      <c r="B20" s="507" t="s">
        <v>431</v>
      </c>
      <c r="C20" s="514"/>
      <c r="D20" s="30" t="s">
        <v>425</v>
      </c>
      <c r="E20" s="560">
        <f>IF(ISBLANK(E24),0,E24-E18)</f>
        <v>-2.2514435928326293</v>
      </c>
      <c r="F20" s="560">
        <f t="shared" ref="F20:I20" si="4">IF(ISBLANK(F24),0,F24-F18)</f>
        <v>-2.4095525942670406</v>
      </c>
      <c r="G20" s="560">
        <f t="shared" si="4"/>
        <v>0</v>
      </c>
      <c r="H20" s="560">
        <f t="shared" si="4"/>
        <v>0</v>
      </c>
      <c r="I20" s="560">
        <f t="shared" si="4"/>
        <v>0</v>
      </c>
    </row>
    <row r="21" spans="2:10" s="464" customFormat="1">
      <c r="B21" s="507"/>
      <c r="C21" s="507"/>
      <c r="D21" s="30"/>
    </row>
    <row r="22" spans="2:10" s="464" customFormat="1">
      <c r="B22" s="507"/>
      <c r="C22" s="507"/>
      <c r="D22" s="30"/>
    </row>
    <row r="23" spans="2:10" s="464" customFormat="1">
      <c r="B23" s="507"/>
      <c r="C23" s="507"/>
      <c r="D23" s="30"/>
    </row>
    <row r="24" spans="2:10" s="464" customFormat="1">
      <c r="B24" s="514" t="s">
        <v>432</v>
      </c>
      <c r="C24" s="514" t="s">
        <v>433</v>
      </c>
      <c r="D24" s="30" t="s">
        <v>425</v>
      </c>
      <c r="E24" s="515">
        <v>336.76798701110584</v>
      </c>
      <c r="F24" s="515">
        <v>482.94330701721691</v>
      </c>
      <c r="G24" s="515"/>
      <c r="H24" s="515"/>
      <c r="I24" s="515"/>
    </row>
    <row r="25" spans="2:10" s="464" customFormat="1">
      <c r="B25" s="507"/>
      <c r="C25" s="507"/>
      <c r="D25" s="30"/>
    </row>
    <row r="26" spans="2:10" s="464" customFormat="1">
      <c r="B26" s="514" t="s">
        <v>434</v>
      </c>
      <c r="C26" s="514"/>
      <c r="D26" s="30"/>
      <c r="E26" s="30"/>
      <c r="F26" s="30"/>
      <c r="G26" s="30"/>
      <c r="H26" s="30"/>
      <c r="I26" s="30"/>
      <c r="J26" s="30"/>
    </row>
    <row r="27" spans="2:10" s="464" customFormat="1">
      <c r="B27" s="518" t="s">
        <v>435</v>
      </c>
      <c r="C27" s="518"/>
      <c r="D27" s="30" t="s">
        <v>425</v>
      </c>
      <c r="E27" s="519">
        <v>0</v>
      </c>
      <c r="F27" s="519">
        <v>0</v>
      </c>
      <c r="G27" s="519"/>
      <c r="H27" s="519"/>
      <c r="I27" s="519"/>
    </row>
    <row r="28" spans="2:10" s="464" customFormat="1">
      <c r="B28" s="518" t="s">
        <v>436</v>
      </c>
      <c r="C28" s="518"/>
      <c r="D28" s="30" t="s">
        <v>425</v>
      </c>
      <c r="E28" s="519">
        <v>0</v>
      </c>
      <c r="F28" s="519">
        <v>0</v>
      </c>
      <c r="G28" s="519"/>
      <c r="H28" s="519"/>
      <c r="I28" s="519"/>
    </row>
    <row r="29" spans="2:10" s="464" customFormat="1">
      <c r="B29" s="518" t="s">
        <v>437</v>
      </c>
      <c r="C29" s="518"/>
      <c r="D29" s="30" t="s">
        <v>425</v>
      </c>
      <c r="E29" s="519">
        <v>0</v>
      </c>
      <c r="F29" s="519">
        <v>0</v>
      </c>
      <c r="G29" s="519"/>
      <c r="H29" s="519"/>
      <c r="I29" s="519"/>
    </row>
    <row r="30" spans="2:10" s="464" customFormat="1">
      <c r="B30" s="518" t="s">
        <v>438</v>
      </c>
      <c r="C30" s="518"/>
      <c r="D30" s="30" t="s">
        <v>425</v>
      </c>
      <c r="E30" s="519">
        <v>0</v>
      </c>
      <c r="F30" s="519">
        <v>0</v>
      </c>
      <c r="G30" s="519"/>
      <c r="H30" s="519"/>
      <c r="I30" s="519"/>
    </row>
    <row r="31" spans="2:10" s="464" customFormat="1">
      <c r="B31" s="518" t="s">
        <v>439</v>
      </c>
      <c r="C31" s="518"/>
      <c r="D31" s="30" t="s">
        <v>425</v>
      </c>
      <c r="E31" s="519">
        <v>0</v>
      </c>
      <c r="F31" s="519">
        <v>0</v>
      </c>
      <c r="G31" s="519"/>
      <c r="H31" s="519"/>
      <c r="I31" s="519"/>
    </row>
    <row r="32" spans="2:10" s="464" customFormat="1">
      <c r="B32" s="518" t="s">
        <v>440</v>
      </c>
      <c r="C32" s="518"/>
      <c r="D32" s="30" t="s">
        <v>425</v>
      </c>
      <c r="E32" s="519">
        <v>0.2987976664967768</v>
      </c>
      <c r="F32" s="519">
        <v>0.29711737811376954</v>
      </c>
      <c r="G32" s="519"/>
      <c r="H32" s="519"/>
      <c r="I32" s="519"/>
    </row>
    <row r="33" spans="2:9" s="464" customFormat="1">
      <c r="B33" s="518" t="s">
        <v>441</v>
      </c>
      <c r="C33" s="518"/>
      <c r="D33" s="30" t="s">
        <v>425</v>
      </c>
      <c r="E33" s="519">
        <v>0</v>
      </c>
      <c r="F33" s="519">
        <v>0</v>
      </c>
      <c r="G33" s="519"/>
      <c r="H33" s="519"/>
      <c r="I33" s="519"/>
    </row>
    <row r="34" spans="2:9" s="464" customFormat="1">
      <c r="B34" s="248" t="s">
        <v>442</v>
      </c>
      <c r="C34" s="248"/>
      <c r="D34" s="30" t="s">
        <v>425</v>
      </c>
      <c r="E34" s="519">
        <v>0</v>
      </c>
      <c r="F34" s="519">
        <v>0</v>
      </c>
      <c r="G34" s="519"/>
      <c r="H34" s="519"/>
      <c r="I34" s="519"/>
    </row>
    <row r="35" spans="2:9" s="464" customFormat="1">
      <c r="B35" s="520" t="s">
        <v>443</v>
      </c>
      <c r="C35" s="521"/>
      <c r="D35" s="30" t="s">
        <v>425</v>
      </c>
      <c r="E35" s="519">
        <v>-0.92419166999999569</v>
      </c>
      <c r="F35" s="519">
        <v>0.16965615000002085</v>
      </c>
      <c r="G35" s="519"/>
      <c r="H35" s="519"/>
      <c r="I35" s="519"/>
    </row>
    <row r="36" spans="2:9" s="464" customFormat="1">
      <c r="B36" s="514" t="s">
        <v>444</v>
      </c>
      <c r="C36" s="514"/>
      <c r="D36" s="30" t="s">
        <v>425</v>
      </c>
      <c r="E36" s="560">
        <f>SUM(E27:E35)</f>
        <v>-0.62539400350321883</v>
      </c>
      <c r="F36" s="560">
        <f t="shared" ref="F36:I36" si="5">SUM(F27:F35)</f>
        <v>0.46677352811379036</v>
      </c>
      <c r="G36" s="560">
        <f t="shared" si="5"/>
        <v>0</v>
      </c>
      <c r="H36" s="560">
        <f t="shared" si="5"/>
        <v>0</v>
      </c>
      <c r="I36" s="560">
        <f t="shared" si="5"/>
        <v>0</v>
      </c>
    </row>
    <row r="37" spans="2:9" s="464" customFormat="1">
      <c r="B37" s="507"/>
      <c r="C37" s="507"/>
      <c r="D37" s="30"/>
    </row>
    <row r="38" spans="2:9" s="464" customFormat="1">
      <c r="B38" s="514" t="s">
        <v>445</v>
      </c>
      <c r="D38" s="514"/>
      <c r="E38" s="522"/>
    </row>
    <row r="39" spans="2:9" s="464" customFormat="1">
      <c r="B39" s="520" t="s">
        <v>1023</v>
      </c>
      <c r="C39" s="520"/>
      <c r="D39" s="30" t="s">
        <v>425</v>
      </c>
      <c r="E39" s="519">
        <v>3.3958520039339</v>
      </c>
      <c r="F39" s="519">
        <v>2.6303692793992428</v>
      </c>
      <c r="G39" s="519"/>
      <c r="H39" s="519"/>
      <c r="I39" s="519"/>
    </row>
    <row r="40" spans="2:9" s="464" customFormat="1">
      <c r="B40" s="520" t="s">
        <v>1024</v>
      </c>
      <c r="C40" s="520"/>
      <c r="D40" s="30" t="s">
        <v>425</v>
      </c>
      <c r="E40" s="519">
        <v>0.40327921</v>
      </c>
      <c r="F40" s="519">
        <v>0.34590093999999999</v>
      </c>
      <c r="G40" s="519"/>
      <c r="H40" s="519"/>
      <c r="I40" s="519"/>
    </row>
    <row r="41" spans="2:9" s="464" customFormat="1">
      <c r="B41" s="520" t="s">
        <v>1025</v>
      </c>
      <c r="C41" s="520"/>
      <c r="D41" s="30" t="s">
        <v>425</v>
      </c>
      <c r="E41" s="519">
        <v>0.75074883416179894</v>
      </c>
      <c r="F41" s="519">
        <v>0.90737068191594328</v>
      </c>
      <c r="G41" s="519"/>
      <c r="H41" s="519"/>
      <c r="I41" s="519"/>
    </row>
    <row r="42" spans="2:9" s="464" customFormat="1">
      <c r="B42" s="520" t="s">
        <v>1026</v>
      </c>
      <c r="C42" s="520"/>
      <c r="D42" s="30" t="s">
        <v>425</v>
      </c>
      <c r="E42" s="519">
        <v>20.332209410000001</v>
      </c>
      <c r="F42" s="519">
        <v>19.043176446930893</v>
      </c>
      <c r="G42" s="519"/>
      <c r="H42" s="519"/>
      <c r="I42" s="519"/>
    </row>
    <row r="43" spans="2:9" s="464" customFormat="1">
      <c r="B43" s="520" t="s">
        <v>1027</v>
      </c>
      <c r="C43" s="520"/>
      <c r="D43" s="30" t="s">
        <v>425</v>
      </c>
      <c r="E43" s="519">
        <v>0.34366117730263485</v>
      </c>
      <c r="F43" s="519">
        <v>0.19662045</v>
      </c>
      <c r="G43" s="519"/>
      <c r="H43" s="519"/>
      <c r="I43" s="519"/>
    </row>
    <row r="44" spans="2:9" s="464" customFormat="1">
      <c r="B44" s="520" t="s">
        <v>1028</v>
      </c>
      <c r="C44" s="520"/>
      <c r="D44" s="30" t="s">
        <v>425</v>
      </c>
      <c r="E44" s="519">
        <v>1.5101835299999999</v>
      </c>
      <c r="F44" s="519">
        <v>0</v>
      </c>
      <c r="G44" s="519"/>
      <c r="H44" s="519"/>
      <c r="I44" s="519"/>
    </row>
    <row r="45" spans="2:9" s="464" customFormat="1">
      <c r="B45" s="520" t="s">
        <v>1029</v>
      </c>
      <c r="C45" s="520"/>
      <c r="D45" s="30" t="s">
        <v>425</v>
      </c>
      <c r="E45" s="519">
        <v>-0.68291551027800002</v>
      </c>
      <c r="F45" s="519">
        <v>-74.435071380499721</v>
      </c>
      <c r="G45" s="519"/>
      <c r="H45" s="519"/>
      <c r="I45" s="519"/>
    </row>
    <row r="46" spans="2:9" s="464" customFormat="1">
      <c r="B46" s="520" t="s">
        <v>1030</v>
      </c>
      <c r="C46" s="520"/>
      <c r="D46" s="30" t="s">
        <v>425</v>
      </c>
      <c r="E46" s="519">
        <v>4.8312913018654945E-2</v>
      </c>
      <c r="F46" s="519">
        <v>2.9367087746375038E-2</v>
      </c>
      <c r="G46" s="519"/>
      <c r="H46" s="519"/>
      <c r="I46" s="519"/>
    </row>
    <row r="47" spans="2:9" s="464" customFormat="1">
      <c r="B47" s="520" t="s">
        <v>1031</v>
      </c>
      <c r="C47" s="520"/>
      <c r="D47" s="30" t="s">
        <v>425</v>
      </c>
      <c r="E47" s="519">
        <v>1621.408303192459</v>
      </c>
      <c r="F47" s="519">
        <v>1907.8518280266758</v>
      </c>
      <c r="G47" s="519"/>
      <c r="H47" s="519"/>
      <c r="I47" s="519"/>
    </row>
    <row r="48" spans="2:9" s="464" customFormat="1">
      <c r="B48" s="520" t="s">
        <v>1032</v>
      </c>
      <c r="C48" s="520"/>
      <c r="D48" s="30" t="s">
        <v>425</v>
      </c>
      <c r="E48" s="519">
        <v>0.34777223179941003</v>
      </c>
      <c r="F48" s="519">
        <v>2.0357922500465975E-2</v>
      </c>
      <c r="G48" s="519"/>
      <c r="H48" s="519"/>
      <c r="I48" s="519"/>
    </row>
    <row r="49" spans="1:14" s="464" customFormat="1">
      <c r="B49" s="520" t="s">
        <v>446</v>
      </c>
      <c r="C49" s="520"/>
      <c r="D49" s="30" t="s">
        <v>425</v>
      </c>
      <c r="E49" s="519">
        <v>0</v>
      </c>
      <c r="F49" s="519">
        <v>0</v>
      </c>
      <c r="G49" s="519"/>
      <c r="H49" s="519"/>
      <c r="I49" s="519"/>
    </row>
    <row r="50" spans="1:14" s="464" customFormat="1">
      <c r="B50" s="520" t="s">
        <v>446</v>
      </c>
      <c r="C50" s="520"/>
      <c r="D50" s="30" t="s">
        <v>425</v>
      </c>
      <c r="E50" s="519">
        <v>0</v>
      </c>
      <c r="F50" s="519">
        <v>0</v>
      </c>
      <c r="G50" s="519"/>
      <c r="H50" s="519"/>
      <c r="I50" s="519"/>
    </row>
    <row r="51" spans="1:14" s="464" customFormat="1">
      <c r="B51" s="520" t="s">
        <v>446</v>
      </c>
      <c r="C51" s="520"/>
      <c r="D51" s="30" t="s">
        <v>425</v>
      </c>
      <c r="E51" s="519">
        <v>0</v>
      </c>
      <c r="F51" s="519">
        <v>0</v>
      </c>
      <c r="G51" s="519"/>
      <c r="H51" s="519"/>
      <c r="I51" s="519"/>
    </row>
    <row r="52" spans="1:14" s="464" customFormat="1">
      <c r="B52" s="520" t="s">
        <v>446</v>
      </c>
      <c r="C52" s="520"/>
      <c r="D52" s="30" t="s">
        <v>425</v>
      </c>
      <c r="E52" s="519">
        <v>0</v>
      </c>
      <c r="F52" s="519">
        <v>0</v>
      </c>
      <c r="G52" s="519"/>
      <c r="H52" s="519"/>
      <c r="I52" s="519"/>
    </row>
    <row r="53" spans="1:14" s="464" customFormat="1">
      <c r="B53" s="520" t="s">
        <v>446</v>
      </c>
      <c r="C53" s="520"/>
      <c r="D53" s="30" t="s">
        <v>425</v>
      </c>
      <c r="E53" s="519">
        <v>0</v>
      </c>
      <c r="F53" s="519">
        <v>0</v>
      </c>
      <c r="G53" s="519"/>
      <c r="H53" s="519"/>
      <c r="I53" s="519"/>
    </row>
    <row r="54" spans="1:14" s="464" customFormat="1">
      <c r="B54" s="520" t="s">
        <v>446</v>
      </c>
      <c r="C54" s="520"/>
      <c r="D54" s="30" t="s">
        <v>425</v>
      </c>
      <c r="E54" s="519">
        <v>0</v>
      </c>
      <c r="F54" s="519">
        <v>0</v>
      </c>
      <c r="G54" s="519"/>
      <c r="H54" s="519"/>
      <c r="I54" s="519"/>
    </row>
    <row r="55" spans="1:14" s="464" customFormat="1">
      <c r="B55" s="514" t="s">
        <v>447</v>
      </c>
      <c r="C55" s="514"/>
      <c r="D55" s="30" t="s">
        <v>425</v>
      </c>
      <c r="E55" s="560">
        <f t="shared" ref="E55:I55" si="6">SUM(E39:E54)</f>
        <v>1647.8574069923973</v>
      </c>
      <c r="F55" s="560">
        <f t="shared" si="6"/>
        <v>1856.5899194546691</v>
      </c>
      <c r="G55" s="560">
        <f t="shared" si="6"/>
        <v>0</v>
      </c>
      <c r="H55" s="560">
        <f t="shared" si="6"/>
        <v>0</v>
      </c>
      <c r="I55" s="560">
        <f t="shared" si="6"/>
        <v>0</v>
      </c>
    </row>
    <row r="56" spans="1:14" s="464" customFormat="1">
      <c r="B56" s="507"/>
      <c r="C56" s="507"/>
      <c r="D56" s="30"/>
      <c r="E56" s="523"/>
      <c r="F56" s="523"/>
      <c r="G56" s="523"/>
      <c r="H56" s="523"/>
      <c r="I56" s="523"/>
    </row>
    <row r="57" spans="1:14" s="464" customFormat="1">
      <c r="B57" s="524" t="s">
        <v>448</v>
      </c>
      <c r="C57" s="524"/>
      <c r="D57" s="30" t="s">
        <v>425</v>
      </c>
      <c r="E57" s="560">
        <f>E24+E36+E55</f>
        <v>1984</v>
      </c>
      <c r="F57" s="560">
        <f t="shared" ref="F57:I57" si="7">F24+F36+F55</f>
        <v>2340</v>
      </c>
      <c r="G57" s="560">
        <f t="shared" si="7"/>
        <v>0</v>
      </c>
      <c r="H57" s="560">
        <f t="shared" si="7"/>
        <v>0</v>
      </c>
      <c r="I57" s="560">
        <f t="shared" si="7"/>
        <v>0</v>
      </c>
    </row>
    <row r="58" spans="1:14" s="464" customFormat="1">
      <c r="B58" s="525" t="s">
        <v>449</v>
      </c>
      <c r="C58" s="525"/>
      <c r="D58" s="30" t="s">
        <v>425</v>
      </c>
      <c r="E58" s="519">
        <v>1984</v>
      </c>
      <c r="F58" s="519">
        <v>2340</v>
      </c>
      <c r="G58" s="519"/>
      <c r="H58" s="519"/>
      <c r="I58" s="519"/>
    </row>
    <row r="59" spans="1:14" s="464" customFormat="1">
      <c r="B59" s="507" t="s">
        <v>450</v>
      </c>
      <c r="C59" s="507"/>
      <c r="D59" s="30"/>
      <c r="E59" s="562" t="str">
        <f>IF(ABS(E57-E58)&lt;Data!$F$7,"OK","Error")</f>
        <v>OK</v>
      </c>
      <c r="F59" s="562" t="str">
        <f>IF(ABS(F57-F58)&lt;Data!$F$7,"OK","Error")</f>
        <v>OK</v>
      </c>
      <c r="G59" s="562" t="str">
        <f>IF(ABS(G57-G58)&lt;Data!$F$7,"OK","Error")</f>
        <v>OK</v>
      </c>
      <c r="H59" s="562" t="str">
        <f>IF(ABS(H57-H58)&lt;Data!$F$7,"OK","Error")</f>
        <v>OK</v>
      </c>
      <c r="I59" s="562" t="str">
        <f>IF(ABS(I57-I58)&lt;Data!$F$7,"OK","Error")</f>
        <v>OK</v>
      </c>
    </row>
    <row r="60" spans="1:14" s="464" customFormat="1">
      <c r="B60" s="507"/>
      <c r="C60" s="507"/>
      <c r="D60" s="30"/>
      <c r="E60" s="526"/>
      <c r="F60" s="526"/>
      <c r="G60" s="526"/>
      <c r="H60" s="526"/>
      <c r="I60" s="526"/>
    </row>
    <row r="61" spans="1:14" s="464" customFormat="1">
      <c r="B61" s="507"/>
      <c r="C61" s="507"/>
      <c r="D61" s="30"/>
    </row>
    <row r="62" spans="1:14" s="464" customFormat="1">
      <c r="B62" s="507"/>
      <c r="C62" s="507"/>
      <c r="D62" s="30"/>
    </row>
    <row r="63" spans="1:14" s="464" customFormat="1">
      <c r="B63" s="509" t="s">
        <v>451</v>
      </c>
      <c r="C63" s="509"/>
      <c r="D63" s="510"/>
      <c r="E63" s="511"/>
      <c r="F63" s="511"/>
      <c r="G63" s="511"/>
      <c r="H63" s="511"/>
      <c r="I63" s="511"/>
      <c r="J63" s="512"/>
    </row>
    <row r="64" spans="1:14" s="464" customFormat="1">
      <c r="A64" s="166"/>
      <c r="B64" s="123"/>
      <c r="C64" s="123"/>
      <c r="D64" s="30"/>
      <c r="E64" s="166"/>
      <c r="F64" s="166"/>
      <c r="G64" s="166"/>
      <c r="H64" s="166"/>
      <c r="I64" s="166"/>
      <c r="J64" s="166"/>
      <c r="K64" s="166"/>
      <c r="L64" s="166"/>
      <c r="M64" s="166"/>
      <c r="N64" s="166"/>
    </row>
    <row r="65" spans="1:14" s="464" customFormat="1">
      <c r="A65" s="166"/>
      <c r="B65" s="123"/>
      <c r="C65" s="123"/>
      <c r="D65" s="30"/>
      <c r="E65" s="463" t="str">
        <f>IF(E$6&lt;=Reporting_Year,"Actuals","N/A")</f>
        <v>Actuals</v>
      </c>
      <c r="F65" s="463" t="str">
        <f>IF(F$6&lt;=Reporting_Year,"Actuals","N/A")</f>
        <v>Actuals</v>
      </c>
      <c r="G65" s="463" t="str">
        <f>IF(G$6&lt;=Reporting_Year,"Actuals","N/A")</f>
        <v>N/A</v>
      </c>
      <c r="H65" s="463" t="str">
        <f>IF(H$6&lt;=Reporting_Year,"Actuals","N/A")</f>
        <v>N/A</v>
      </c>
      <c r="I65" s="463" t="str">
        <f>IF(I$6&lt;=Reporting_Year,"Actuals","N/A")</f>
        <v>N/A</v>
      </c>
      <c r="J65" s="166"/>
      <c r="K65" s="166"/>
      <c r="L65" s="166"/>
      <c r="M65" s="166"/>
      <c r="N65" s="166"/>
    </row>
    <row r="66" spans="1:14" s="464" customFormat="1">
      <c r="A66" s="166"/>
      <c r="B66" s="123"/>
      <c r="C66" s="123"/>
      <c r="D66" s="30"/>
      <c r="E66" s="166"/>
      <c r="F66" s="166"/>
      <c r="G66" s="166"/>
      <c r="H66" s="166"/>
      <c r="I66" s="166"/>
      <c r="J66" s="166"/>
      <c r="K66" s="166"/>
      <c r="L66" s="166"/>
      <c r="M66" s="166"/>
      <c r="N66" s="166"/>
    </row>
    <row r="67" spans="1:14" s="464" customFormat="1">
      <c r="A67" s="166"/>
      <c r="B67" s="471" t="s">
        <v>452</v>
      </c>
      <c r="C67" s="123"/>
      <c r="D67" s="30" t="s">
        <v>425</v>
      </c>
      <c r="E67" s="563">
        <f t="shared" ref="E67:I67" si="8">E58</f>
        <v>1984</v>
      </c>
      <c r="F67" s="563">
        <f t="shared" si="8"/>
        <v>2340</v>
      </c>
      <c r="G67" s="563">
        <f t="shared" si="8"/>
        <v>0</v>
      </c>
      <c r="H67" s="563">
        <f t="shared" si="8"/>
        <v>0</v>
      </c>
      <c r="I67" s="563">
        <f t="shared" si="8"/>
        <v>0</v>
      </c>
      <c r="J67" s="166"/>
      <c r="K67" s="166"/>
      <c r="L67" s="166"/>
      <c r="M67" s="166"/>
      <c r="N67" s="166"/>
    </row>
    <row r="68" spans="1:14" s="464" customFormat="1">
      <c r="A68" s="166"/>
      <c r="B68" s="464" t="s">
        <v>453</v>
      </c>
      <c r="C68" s="123"/>
      <c r="D68" s="30" t="s">
        <v>425</v>
      </c>
      <c r="E68" s="563">
        <f>E24</f>
        <v>336.76798701110584</v>
      </c>
      <c r="F68" s="563">
        <f>F24</f>
        <v>482.94330701721691</v>
      </c>
      <c r="G68" s="563">
        <f t="shared" ref="G68:I68" si="9">G24</f>
        <v>0</v>
      </c>
      <c r="H68" s="563">
        <f t="shared" si="9"/>
        <v>0</v>
      </c>
      <c r="I68" s="563">
        <f t="shared" si="9"/>
        <v>0</v>
      </c>
      <c r="J68" s="166" t="s">
        <v>454</v>
      </c>
      <c r="K68" s="166"/>
      <c r="L68" s="166"/>
      <c r="M68" s="166"/>
      <c r="N68" s="166"/>
    </row>
    <row r="69" spans="1:14" s="464" customFormat="1">
      <c r="A69" s="166"/>
      <c r="B69" s="525"/>
      <c r="C69" s="123"/>
      <c r="D69" s="30"/>
      <c r="E69" s="527"/>
      <c r="F69" s="527"/>
      <c r="G69" s="527"/>
      <c r="H69" s="166"/>
      <c r="I69" s="166"/>
      <c r="J69" s="166"/>
      <c r="K69" s="166"/>
      <c r="L69" s="166"/>
      <c r="M69" s="166"/>
      <c r="N69" s="166"/>
    </row>
    <row r="70" spans="1:14">
      <c r="B70" s="528"/>
    </row>
    <row r="71" spans="1:14">
      <c r="B71" s="471" t="s">
        <v>455</v>
      </c>
      <c r="D71" s="30" t="s">
        <v>425</v>
      </c>
      <c r="E71" s="563">
        <f>'R3 - Totex - Reconciliation'!D129</f>
        <v>896.53487623000001</v>
      </c>
      <c r="F71" s="563">
        <f>'R3 - Totex - Reconciliation'!E129</f>
        <v>972.95526010000003</v>
      </c>
      <c r="G71" s="563">
        <f>'R3 - Totex - Reconciliation'!F129</f>
        <v>0</v>
      </c>
      <c r="H71" s="563">
        <f>'R3 - Totex - Reconciliation'!G129</f>
        <v>0</v>
      </c>
      <c r="I71" s="563">
        <f>'R3 - Totex - Reconciliation'!H129</f>
        <v>0</v>
      </c>
    </row>
    <row r="72" spans="1:14">
      <c r="B72" s="529" t="s">
        <v>456</v>
      </c>
      <c r="D72" s="166"/>
    </row>
    <row r="73" spans="1:14" ht="8.1" customHeight="1">
      <c r="B73" s="166"/>
      <c r="D73" s="166"/>
    </row>
    <row r="74" spans="1:14" ht="12.6" customHeight="1">
      <c r="B74" s="464" t="s">
        <v>457</v>
      </c>
      <c r="D74" s="30" t="s">
        <v>425</v>
      </c>
      <c r="E74" s="564">
        <f>'R3 - Totex - Reconciliation'!D153</f>
        <v>-761.15940752567258</v>
      </c>
      <c r="F74" s="564">
        <f>'R3 - Totex - Reconciliation'!E153</f>
        <v>-839.25191265893363</v>
      </c>
      <c r="G74" s="564">
        <f>'R3 - Totex - Reconciliation'!F153</f>
        <v>0</v>
      </c>
      <c r="H74" s="564">
        <f>'R3 - Totex - Reconciliation'!G153</f>
        <v>0</v>
      </c>
      <c r="I74" s="564">
        <f>'R3 - Totex - Reconciliation'!H153</f>
        <v>0</v>
      </c>
    </row>
    <row r="75" spans="1:14">
      <c r="B75" s="166" t="s">
        <v>458</v>
      </c>
      <c r="D75" s="30" t="s">
        <v>425</v>
      </c>
      <c r="E75" s="519">
        <v>0</v>
      </c>
      <c r="F75" s="519">
        <v>0</v>
      </c>
      <c r="G75" s="519"/>
      <c r="H75" s="519"/>
      <c r="I75" s="519"/>
    </row>
    <row r="76" spans="1:14" ht="5.0999999999999996" customHeight="1">
      <c r="B76" s="166"/>
      <c r="D76" s="123"/>
      <c r="E76" s="123"/>
      <c r="F76" s="123"/>
      <c r="G76" s="123"/>
      <c r="H76" s="123"/>
      <c r="I76" s="123"/>
    </row>
    <row r="77" spans="1:14">
      <c r="B77" s="464" t="s">
        <v>459</v>
      </c>
      <c r="D77" s="30" t="s">
        <v>425</v>
      </c>
      <c r="E77" s="563">
        <f>'R3 - Totex - Reconciliation'!D129+'R3 - Totex - Reconciliation'!D153+E75</f>
        <v>135.37546870432743</v>
      </c>
      <c r="F77" s="565">
        <f>'R3 - Totex - Reconciliation'!E129+'R3 - Totex - Reconciliation'!E153+F75</f>
        <v>133.7033474410664</v>
      </c>
      <c r="G77" s="565">
        <f>'R3 - Totex - Reconciliation'!F129+'R3 - Totex - Reconciliation'!F153+G75</f>
        <v>0</v>
      </c>
      <c r="H77" s="565">
        <f>'R3 - Totex - Reconciliation'!G129+'R3 - Totex - Reconciliation'!G153+H75</f>
        <v>0</v>
      </c>
      <c r="I77" s="565">
        <f>'R3 - Totex - Reconciliation'!H129+'R3 - Totex - Reconciliation'!H153+I75</f>
        <v>0</v>
      </c>
      <c r="K77" s="123"/>
      <c r="N77" s="123"/>
    </row>
    <row r="78" spans="1:14">
      <c r="B78" s="529" t="s">
        <v>460</v>
      </c>
      <c r="D78" s="30" t="s">
        <v>425</v>
      </c>
      <c r="E78" s="566" t="str">
        <f>IF(ABS(E77-SUM(E71,E74,E75))&lt;=materiality_threshold,"ok","error")</f>
        <v>ok</v>
      </c>
      <c r="F78" s="566" t="str">
        <f>IF(ABS(F77-SUM(F71,F74,F75))&lt;=materiality_threshold,"ok","error")</f>
        <v>ok</v>
      </c>
      <c r="G78" s="566" t="str">
        <f>IF(ABS(G77-SUM(G71,G74,G75))&lt;=materiality_threshold,"ok","error")</f>
        <v>ok</v>
      </c>
      <c r="H78" s="566" t="str">
        <f>IF(ABS(H77-SUM(H71,H74,H75))&lt;=materiality_threshold,"ok","error")</f>
        <v>ok</v>
      </c>
      <c r="I78" s="566" t="str">
        <f>IF(ABS(I77-SUM(I71,I74,I75))&lt;=materiality_threshold,"ok","error")</f>
        <v>ok</v>
      </c>
    </row>
    <row r="79" spans="1:14">
      <c r="B79" s="166"/>
      <c r="E79" s="30"/>
      <c r="F79" s="30"/>
      <c r="G79" s="30"/>
      <c r="H79" s="30"/>
      <c r="I79" s="30"/>
    </row>
    <row r="80" spans="1:14">
      <c r="B80" s="471" t="s">
        <v>461</v>
      </c>
      <c r="D80" s="30" t="s">
        <v>425</v>
      </c>
      <c r="E80" s="567">
        <f>E67-E71</f>
        <v>1087.46512377</v>
      </c>
      <c r="F80" s="567">
        <f>F67-F71</f>
        <v>1367.0447399</v>
      </c>
      <c r="G80" s="567">
        <f>G67-G71</f>
        <v>0</v>
      </c>
      <c r="H80" s="567">
        <f>H67-H71</f>
        <v>0</v>
      </c>
      <c r="I80" s="567">
        <f>I67-I71</f>
        <v>0</v>
      </c>
    </row>
    <row r="81" spans="2:13">
      <c r="B81" s="530" t="s">
        <v>462</v>
      </c>
      <c r="D81" s="30" t="s">
        <v>425</v>
      </c>
      <c r="E81" s="567">
        <f>E68-E77</f>
        <v>201.39251830677841</v>
      </c>
      <c r="F81" s="567">
        <f>F68-F77</f>
        <v>349.23995957615051</v>
      </c>
      <c r="G81" s="567">
        <f>G68-G77</f>
        <v>0</v>
      </c>
      <c r="H81" s="567">
        <f>H68-H77</f>
        <v>0</v>
      </c>
      <c r="I81" s="567">
        <f>I68-I77</f>
        <v>0</v>
      </c>
    </row>
    <row r="83" spans="2:13">
      <c r="B83" s="471" t="s">
        <v>463</v>
      </c>
      <c r="D83" s="30" t="s">
        <v>425</v>
      </c>
      <c r="E83" s="565">
        <f>'R3 - Totex - Reconciliation'!D124</f>
        <v>402.46512377000005</v>
      </c>
      <c r="F83" s="565">
        <f>'R3 - Totex - Reconciliation'!E124</f>
        <v>422.04473989999997</v>
      </c>
      <c r="G83" s="565">
        <f>'R3 - Totex - Reconciliation'!F124</f>
        <v>0</v>
      </c>
      <c r="H83" s="565">
        <f>'R3 - Totex - Reconciliation'!G124</f>
        <v>0</v>
      </c>
      <c r="I83" s="565">
        <f>'R3 - Totex - Reconciliation'!H124</f>
        <v>0</v>
      </c>
    </row>
    <row r="84" spans="2:13" ht="15.95" customHeight="1">
      <c r="B84" s="529" t="s">
        <v>456</v>
      </c>
    </row>
    <row r="85" spans="2:13" ht="21.95" customHeight="1">
      <c r="B85" s="166" t="s">
        <v>464</v>
      </c>
      <c r="D85" s="166"/>
    </row>
    <row r="86" spans="2:13">
      <c r="B86" s="507" t="s">
        <v>465</v>
      </c>
      <c r="D86" s="30" t="s">
        <v>425</v>
      </c>
      <c r="E86" s="531">
        <v>9</v>
      </c>
      <c r="F86" s="531">
        <v>12</v>
      </c>
      <c r="G86" s="531">
        <v>0</v>
      </c>
      <c r="H86" s="531">
        <v>0</v>
      </c>
      <c r="I86" s="531">
        <v>0</v>
      </c>
      <c r="J86" s="166" t="s">
        <v>466</v>
      </c>
    </row>
    <row r="87" spans="2:13">
      <c r="B87" s="520" t="s">
        <v>467</v>
      </c>
      <c r="C87" s="520"/>
      <c r="D87" s="30" t="s">
        <v>425</v>
      </c>
      <c r="E87" s="519">
        <v>0</v>
      </c>
      <c r="F87" s="519">
        <v>0</v>
      </c>
      <c r="G87" s="519"/>
      <c r="H87" s="519"/>
      <c r="I87" s="519"/>
    </row>
    <row r="88" spans="2:13">
      <c r="B88" s="507" t="s">
        <v>468</v>
      </c>
      <c r="D88" s="30" t="s">
        <v>425</v>
      </c>
      <c r="E88" s="568">
        <f>SUM(E86:E87)</f>
        <v>9</v>
      </c>
      <c r="F88" s="568">
        <f t="shared" ref="F88:I88" si="10">SUM(F86:F87)</f>
        <v>12</v>
      </c>
      <c r="G88" s="568">
        <f t="shared" si="10"/>
        <v>0</v>
      </c>
      <c r="H88" s="568">
        <f t="shared" si="10"/>
        <v>0</v>
      </c>
      <c r="I88" s="568">
        <f t="shared" si="10"/>
        <v>0</v>
      </c>
    </row>
    <row r="89" spans="2:13" ht="5.0999999999999996" customHeight="1">
      <c r="B89" s="507"/>
      <c r="D89" s="123"/>
      <c r="E89" s="123"/>
      <c r="F89" s="123"/>
      <c r="G89" s="123"/>
      <c r="H89" s="123"/>
      <c r="I89" s="123"/>
      <c r="J89" s="123"/>
      <c r="K89" s="123"/>
      <c r="L89" s="123"/>
      <c r="M89" s="123"/>
    </row>
    <row r="90" spans="2:13">
      <c r="B90" s="464" t="s">
        <v>469</v>
      </c>
      <c r="D90" s="30" t="s">
        <v>425</v>
      </c>
      <c r="E90" s="569">
        <f>SUM(E83,E88)</f>
        <v>411.46512377000005</v>
      </c>
      <c r="F90" s="569">
        <f t="shared" ref="F90:I90" si="11">SUM(F83,F88)</f>
        <v>434.04473989999997</v>
      </c>
      <c r="G90" s="569">
        <f t="shared" si="11"/>
        <v>0</v>
      </c>
      <c r="H90" s="569">
        <f t="shared" si="11"/>
        <v>0</v>
      </c>
      <c r="I90" s="569">
        <f t="shared" si="11"/>
        <v>0</v>
      </c>
    </row>
    <row r="91" spans="2:13">
      <c r="B91" s="166"/>
      <c r="C91" s="166"/>
      <c r="D91" s="166"/>
    </row>
    <row r="92" spans="2:13">
      <c r="B92" s="532" t="s">
        <v>470</v>
      </c>
      <c r="C92" s="533"/>
      <c r="D92" s="447" t="s">
        <v>425</v>
      </c>
      <c r="E92" s="561">
        <f>E80-E83</f>
        <v>685</v>
      </c>
      <c r="F92" s="561">
        <f t="shared" ref="F92:I92" si="12">F80-F83</f>
        <v>945</v>
      </c>
      <c r="G92" s="561">
        <f t="shared" si="12"/>
        <v>0</v>
      </c>
      <c r="H92" s="561">
        <f t="shared" si="12"/>
        <v>0</v>
      </c>
      <c r="I92" s="561">
        <f t="shared" si="12"/>
        <v>0</v>
      </c>
    </row>
    <row r="93" spans="2:13">
      <c r="B93" s="534" t="s">
        <v>471</v>
      </c>
      <c r="D93" s="30" t="s">
        <v>425</v>
      </c>
      <c r="E93" s="569">
        <f>E81-E90</f>
        <v>-210.07260546322163</v>
      </c>
      <c r="F93" s="569">
        <f t="shared" ref="F93:I93" si="13">F81-F90</f>
        <v>-84.804780323849457</v>
      </c>
      <c r="G93" s="569">
        <f t="shared" si="13"/>
        <v>0</v>
      </c>
      <c r="H93" s="569">
        <f t="shared" si="13"/>
        <v>0</v>
      </c>
      <c r="I93" s="569">
        <f t="shared" si="13"/>
        <v>0</v>
      </c>
    </row>
    <row r="94" spans="2:13">
      <c r="B94" s="534"/>
      <c r="E94" s="535"/>
      <c r="F94" s="535"/>
      <c r="G94" s="535"/>
      <c r="H94" s="535"/>
      <c r="I94" s="536"/>
    </row>
    <row r="95" spans="2:13">
      <c r="B95" s="537" t="s">
        <v>472</v>
      </c>
      <c r="D95" s="30" t="s">
        <v>425</v>
      </c>
      <c r="E95" s="570">
        <f>'R5 - Financing'!D9</f>
        <v>316.35346812999978</v>
      </c>
      <c r="F95" s="570">
        <f>'R5 - Financing'!E9</f>
        <v>204.97499434999992</v>
      </c>
      <c r="G95" s="570">
        <f>'R5 - Financing'!F9</f>
        <v>226.27431781791626</v>
      </c>
      <c r="H95" s="570">
        <f>'R5 - Financing'!G9</f>
        <v>135.01244227728037</v>
      </c>
      <c r="I95" s="570">
        <f>'R5 - Financing'!H9</f>
        <v>132.30171122486684</v>
      </c>
    </row>
    <row r="96" spans="2:13">
      <c r="B96" s="538" t="s">
        <v>473</v>
      </c>
      <c r="D96" s="30" t="s">
        <v>425</v>
      </c>
      <c r="E96" s="570">
        <f>'R5 - Financing'!D29</f>
        <v>45.99522512944506</v>
      </c>
      <c r="F96" s="570">
        <f>'R5 - Financing'!E29</f>
        <v>71.509833391469613</v>
      </c>
      <c r="G96" s="570">
        <f>'R5 - Financing'!F29</f>
        <v>47.456277784715638</v>
      </c>
      <c r="H96" s="570">
        <f>'R5 - Financing'!G29</f>
        <v>28.732860139116639</v>
      </c>
      <c r="I96" s="570">
        <f>'R5 - Financing'!H29</f>
        <v>28.190679358884665</v>
      </c>
    </row>
    <row r="97" spans="2:9">
      <c r="B97" s="539" t="s">
        <v>474</v>
      </c>
      <c r="D97" s="30" t="s">
        <v>425</v>
      </c>
      <c r="E97" s="569">
        <f>E95-E96</f>
        <v>270.35824300055469</v>
      </c>
      <c r="F97" s="569">
        <f>F95-F96</f>
        <v>133.4651609585303</v>
      </c>
      <c r="G97" s="569">
        <f>G95-G96</f>
        <v>178.81804003320062</v>
      </c>
      <c r="H97" s="569">
        <f>H95-H96</f>
        <v>106.27958213816373</v>
      </c>
      <c r="I97" s="571">
        <f>I95-I96</f>
        <v>104.11103186598217</v>
      </c>
    </row>
    <row r="98" spans="2:9">
      <c r="B98" s="534"/>
      <c r="E98" s="535"/>
      <c r="F98" s="535"/>
      <c r="G98" s="535"/>
      <c r="H98" s="535"/>
      <c r="I98" s="536"/>
    </row>
    <row r="99" spans="2:9">
      <c r="B99" s="537" t="s">
        <v>475</v>
      </c>
      <c r="D99" s="30" t="s">
        <v>425</v>
      </c>
      <c r="E99" s="519">
        <v>462</v>
      </c>
      <c r="F99" s="519">
        <v>160</v>
      </c>
      <c r="G99" s="519"/>
      <c r="H99" s="519"/>
      <c r="I99" s="519"/>
    </row>
    <row r="100" spans="2:9">
      <c r="B100" s="537" t="s">
        <v>476</v>
      </c>
      <c r="D100" s="30" t="s">
        <v>425</v>
      </c>
      <c r="E100" s="519">
        <v>-379</v>
      </c>
      <c r="F100" s="519">
        <v>-63</v>
      </c>
      <c r="G100" s="519"/>
      <c r="H100" s="519"/>
      <c r="I100" s="519"/>
    </row>
    <row r="101" spans="2:9">
      <c r="B101" s="537" t="s">
        <v>477</v>
      </c>
      <c r="D101" s="30" t="s">
        <v>425</v>
      </c>
      <c r="E101" s="561">
        <f>SUM(E99:E100)</f>
        <v>83</v>
      </c>
      <c r="F101" s="561">
        <f t="shared" ref="F101:I101" si="14">SUM(F99:F100)</f>
        <v>97</v>
      </c>
      <c r="G101" s="561">
        <f t="shared" si="14"/>
        <v>0</v>
      </c>
      <c r="H101" s="561">
        <f t="shared" si="14"/>
        <v>0</v>
      </c>
      <c r="I101" s="561">
        <f t="shared" si="14"/>
        <v>0</v>
      </c>
    </row>
    <row r="102" spans="2:9">
      <c r="B102" s="538" t="s">
        <v>478</v>
      </c>
      <c r="D102" s="30" t="s">
        <v>425</v>
      </c>
      <c r="E102" s="570">
        <f>Adjusted_regulated_tax_liability</f>
        <v>18.388156734372444</v>
      </c>
      <c r="F102" s="570">
        <f>Adjusted_regulated_tax_liability</f>
        <v>19.757492906057728</v>
      </c>
      <c r="G102" s="570">
        <f>Adjusted_regulated_tax_liability</f>
        <v>29.723242185744027</v>
      </c>
      <c r="H102" s="570">
        <f>Adjusted_regulated_tax_liability</f>
        <v>35.532831640368514</v>
      </c>
      <c r="I102" s="570">
        <f>Adjusted_regulated_tax_liability</f>
        <v>37.366414253860981</v>
      </c>
    </row>
    <row r="103" spans="2:9">
      <c r="B103" s="539" t="s">
        <v>474</v>
      </c>
      <c r="D103" s="30" t="s">
        <v>425</v>
      </c>
      <c r="E103" s="572">
        <f>E101-E102</f>
        <v>64.611843265627556</v>
      </c>
      <c r="F103" s="572">
        <f t="shared" ref="F103:I103" si="15">F101-F102</f>
        <v>77.242507093942265</v>
      </c>
      <c r="G103" s="572">
        <f t="shared" si="15"/>
        <v>-29.723242185744027</v>
      </c>
      <c r="H103" s="572">
        <f t="shared" si="15"/>
        <v>-35.532831640368514</v>
      </c>
      <c r="I103" s="572">
        <f t="shared" si="15"/>
        <v>-37.366414253860981</v>
      </c>
    </row>
    <row r="104" spans="2:9">
      <c r="B104" s="540"/>
      <c r="E104" s="535"/>
      <c r="F104" s="535"/>
      <c r="G104" s="535"/>
      <c r="H104" s="535"/>
      <c r="I104" s="536"/>
    </row>
    <row r="105" spans="2:9">
      <c r="B105" s="541" t="s">
        <v>479</v>
      </c>
      <c r="D105" s="30" t="s">
        <v>425</v>
      </c>
      <c r="E105" s="561">
        <f>IFERROR(E92-E95-E99,0)</f>
        <v>-93.353468129999783</v>
      </c>
      <c r="F105" s="561">
        <f>IFERROR(F92-F95-F99,0)</f>
        <v>580.02500565000014</v>
      </c>
      <c r="G105" s="561">
        <f>IFERROR(G92-G95-G99,0)</f>
        <v>-226.27431781791626</v>
      </c>
      <c r="H105" s="561">
        <f>IFERROR(H92-H95-H99,0)</f>
        <v>-135.01244227728037</v>
      </c>
      <c r="I105" s="561">
        <f>IFERROR(I92-I95-I99,0)</f>
        <v>-132.30171122486684</v>
      </c>
    </row>
    <row r="106" spans="2:9">
      <c r="B106" s="542" t="s">
        <v>480</v>
      </c>
      <c r="D106" s="30" t="s">
        <v>425</v>
      </c>
      <c r="E106" s="561">
        <f>IFERROR(E93-E96-E102,0)</f>
        <v>-274.45598732703917</v>
      </c>
      <c r="F106" s="561">
        <f>IFERROR(F93-F96-F102,0)</f>
        <v>-176.0721066213768</v>
      </c>
      <c r="G106" s="561">
        <f>IFERROR(G93-G96-G102,0)</f>
        <v>-77.179519970459666</v>
      </c>
      <c r="H106" s="561">
        <f>IFERROR(H93-H96-H102,0)</f>
        <v>-64.265691779485152</v>
      </c>
      <c r="I106" s="561">
        <f>IFERROR(I93-I96-I102,0)</f>
        <v>-65.557093612745646</v>
      </c>
    </row>
    <row r="107" spans="2:9">
      <c r="B107" s="539" t="s">
        <v>474</v>
      </c>
      <c r="D107" s="30" t="s">
        <v>425</v>
      </c>
      <c r="E107" s="569">
        <f>IFERROR(E105-E106,0)</f>
        <v>181.10251919703938</v>
      </c>
      <c r="F107" s="569">
        <f>IFERROR(F105-F106,0)</f>
        <v>756.097112271377</v>
      </c>
      <c r="G107" s="569">
        <f>IFERROR(G105-G106,0)</f>
        <v>-149.09479784745659</v>
      </c>
      <c r="H107" s="569">
        <f>IFERROR(H105-H106,0)</f>
        <v>-70.746750497795219</v>
      </c>
      <c r="I107" s="569">
        <f>IFERROR(I105-I106,0)</f>
        <v>-66.744617612121189</v>
      </c>
    </row>
    <row r="108" spans="2:9">
      <c r="B108" s="540"/>
      <c r="C108" s="166"/>
      <c r="D108" s="166"/>
      <c r="I108" s="543"/>
    </row>
    <row r="109" spans="2:9">
      <c r="B109" s="544"/>
      <c r="C109" s="545"/>
      <c r="D109" s="292"/>
      <c r="E109" s="293"/>
      <c r="F109" s="292"/>
      <c r="G109" s="292"/>
      <c r="H109" s="292"/>
      <c r="I109" s="294"/>
    </row>
    <row r="110" spans="2:9">
      <c r="B110" s="166"/>
      <c r="D110" s="166"/>
    </row>
    <row r="111" spans="2:9">
      <c r="B111" s="166"/>
      <c r="C111" s="166"/>
      <c r="D111" s="166"/>
    </row>
    <row r="112" spans="2:9">
      <c r="B112" s="546"/>
      <c r="D112" s="166"/>
    </row>
    <row r="113" spans="2:9">
      <c r="B113" s="547" t="s">
        <v>481</v>
      </c>
      <c r="C113" s="166"/>
      <c r="D113" s="166"/>
    </row>
    <row r="114" spans="2:9">
      <c r="B114" s="1283"/>
      <c r="C114" s="1284"/>
      <c r="D114" s="1284"/>
      <c r="E114" s="1284"/>
      <c r="F114" s="1284"/>
      <c r="G114" s="548"/>
      <c r="H114" s="548"/>
      <c r="I114" s="549"/>
    </row>
    <row r="115" spans="2:9">
      <c r="B115" s="550"/>
      <c r="C115" s="551"/>
      <c r="D115" s="552"/>
      <c r="E115" s="553"/>
      <c r="F115" s="553"/>
      <c r="G115" s="553"/>
      <c r="H115" s="553"/>
      <c r="I115" s="554"/>
    </row>
    <row r="116" spans="2:9">
      <c r="B116" s="550"/>
      <c r="C116" s="551"/>
      <c r="D116" s="552"/>
      <c r="E116" s="553"/>
      <c r="F116" s="553"/>
      <c r="G116" s="553"/>
      <c r="H116" s="553"/>
      <c r="I116" s="554"/>
    </row>
    <row r="117" spans="2:9">
      <c r="B117" s="550"/>
      <c r="C117" s="551"/>
      <c r="D117" s="552"/>
      <c r="E117" s="553"/>
      <c r="F117" s="553"/>
      <c r="G117" s="553"/>
      <c r="H117" s="553"/>
      <c r="I117" s="554"/>
    </row>
    <row r="118" spans="2:9">
      <c r="B118" s="550"/>
      <c r="C118" s="551"/>
      <c r="D118" s="552"/>
      <c r="E118" s="553"/>
      <c r="F118" s="553"/>
      <c r="G118" s="553"/>
      <c r="H118" s="553"/>
      <c r="I118" s="554"/>
    </row>
    <row r="119" spans="2:9">
      <c r="B119" s="555"/>
      <c r="C119" s="556"/>
      <c r="D119" s="557"/>
      <c r="E119" s="558"/>
      <c r="F119" s="558"/>
      <c r="G119" s="558"/>
      <c r="H119" s="558"/>
      <c r="I119" s="559"/>
    </row>
    <row r="121" spans="2:9" ht="13.5" customHeight="1"/>
    <row r="127" spans="2:9" ht="15" customHeight="1"/>
    <row r="141" ht="91.5" customHeight="1"/>
  </sheetData>
  <sheetProtection algorithmName="SHA-512" hashValue="w6vAEcl9SHNPHkoSwFz0x41oO6pW7z2pIGaut4E6o/RhpsgcQbaY9EayrBD3+otDMq99Pfld+CvrD9Z4jp3/WQ==" saltValue="/85/mdq0aIAaV0+ZHsBTiA==" spinCount="100000" sheet="1" scenarios="1" insertRows="0" autoFilter="0" pivotTables="0"/>
  <mergeCells count="1">
    <mergeCell ref="B114:F114"/>
  </mergeCells>
  <conditionalFormatting sqref="C35">
    <cfRule type="expression" dxfId="81" priority="53">
      <formula>C$5="Forecast"</formula>
    </cfRule>
  </conditionalFormatting>
  <conditionalFormatting sqref="E6:H6">
    <cfRule type="expression" dxfId="80" priority="20">
      <formula>AND(E$5="Actuals",F$5="Forecast")</formula>
    </cfRule>
  </conditionalFormatting>
  <conditionalFormatting sqref="E65:H65">
    <cfRule type="expression" dxfId="79" priority="23">
      <formula>AND(E$5="Actuals",F$5="N/A")</formula>
    </cfRule>
  </conditionalFormatting>
  <conditionalFormatting sqref="E7:I7">
    <cfRule type="expression" dxfId="78" priority="22">
      <formula>AND(E$5="Actuals",F$5="Forecast")</formula>
    </cfRule>
  </conditionalFormatting>
  <conditionalFormatting sqref="E13:I18 E20:I20 E24:I24 E27:I36 E39:I55 E57:I59 E65:I65 E67:I68 E71:I71 E86:I88 E90:I90 E92:I93 E95:I97 E99:I103">
    <cfRule type="expression" dxfId="77" priority="17">
      <formula>E$5="Forecast"</formula>
    </cfRule>
  </conditionalFormatting>
  <conditionalFormatting sqref="E24:I24">
    <cfRule type="expression" priority="5">
      <formula>E$5="Forecast"</formula>
    </cfRule>
    <cfRule type="expression" priority="6">
      <formula>$E3="Forecast"</formula>
    </cfRule>
  </conditionalFormatting>
  <conditionalFormatting sqref="E27:I35 E39:I54">
    <cfRule type="expression" priority="18">
      <formula>E$5="Forecast"</formula>
    </cfRule>
  </conditionalFormatting>
  <conditionalFormatting sqref="E27:I35">
    <cfRule type="expression" priority="19">
      <formula>$E6="Forecast"</formula>
    </cfRule>
  </conditionalFormatting>
  <conditionalFormatting sqref="E59:I59">
    <cfRule type="expression" dxfId="75" priority="57">
      <formula>E$5="Forecast"</formula>
    </cfRule>
  </conditionalFormatting>
  <conditionalFormatting sqref="E67:I69 E71:I71 E86:I86">
    <cfRule type="expression" dxfId="74" priority="49">
      <formula>D$12="N/A"</formula>
    </cfRule>
  </conditionalFormatting>
  <conditionalFormatting sqref="E74:I75">
    <cfRule type="expression" dxfId="73" priority="9">
      <formula>E$5="Forecast"</formula>
    </cfRule>
  </conditionalFormatting>
  <conditionalFormatting sqref="E77:I77">
    <cfRule type="expression" dxfId="72" priority="4">
      <formula>D$12="N/A"</formula>
    </cfRule>
  </conditionalFormatting>
  <conditionalFormatting sqref="E77:I78">
    <cfRule type="expression" dxfId="71" priority="3">
      <formula>E$5="Forecast"</formula>
    </cfRule>
  </conditionalFormatting>
  <conditionalFormatting sqref="E83:I83">
    <cfRule type="expression" dxfId="70" priority="1">
      <formula>E$5="Forecast"</formula>
    </cfRule>
    <cfRule type="expression" dxfId="69" priority="2">
      <formula>D$12="N/A"</formula>
    </cfRule>
  </conditionalFormatting>
  <conditionalFormatting sqref="E105:I107">
    <cfRule type="expression" dxfId="68" priority="15">
      <formula>E$5="Forecast"</formula>
    </cfRule>
  </conditionalFormatting>
  <conditionalFormatting sqref="I6">
    <cfRule type="expression" dxfId="67" priority="21">
      <formula>AND(I$5="Actuals",#REF!="Forecast")</formula>
    </cfRule>
  </conditionalFormatting>
  <conditionalFormatting sqref="I65">
    <cfRule type="expression" dxfId="66" priority="235">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0"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6"/>
  <sheetViews>
    <sheetView zoomScale="85" zoomScaleNormal="85" workbookViewId="0"/>
  </sheetViews>
  <sheetFormatPr defaultColWidth="9.1015625" defaultRowHeight="12.35"/>
  <cols>
    <col min="1" max="1" width="8.3671875" style="464" customWidth="1"/>
    <col min="2" max="2" width="64.47265625" style="507" customWidth="1"/>
    <col min="3" max="3" width="13.3671875" style="30" customWidth="1"/>
    <col min="4" max="8" width="11.1015625" style="464" customWidth="1"/>
    <col min="9" max="10" width="12.89453125" style="464" customWidth="1"/>
    <col min="11" max="16384" width="9.1015625" style="464"/>
  </cols>
  <sheetData>
    <row r="1" spans="1:19" s="166" customFormat="1" ht="20.350000000000001">
      <c r="A1" s="449" t="s">
        <v>482</v>
      </c>
      <c r="B1" s="450"/>
      <c r="C1" s="573"/>
      <c r="D1" s="452"/>
      <c r="E1" s="452"/>
      <c r="F1" s="452"/>
      <c r="G1" s="452"/>
      <c r="H1" s="452"/>
      <c r="I1" s="453"/>
      <c r="J1" s="453"/>
      <c r="K1" s="574"/>
    </row>
    <row r="2" spans="1:19" s="166" customFormat="1" ht="20.350000000000001">
      <c r="A2" s="454" t="str">
        <f>Licensee</f>
        <v>Cadent-WM</v>
      </c>
      <c r="B2" s="455"/>
      <c r="C2" s="504"/>
      <c r="D2" s="457"/>
      <c r="E2" s="457"/>
      <c r="F2" s="457"/>
      <c r="G2" s="457"/>
      <c r="H2" s="457"/>
      <c r="I2" s="458"/>
      <c r="J2" s="458"/>
      <c r="K2" s="459"/>
    </row>
    <row r="3" spans="1:19" s="166" customFormat="1" ht="20.350000000000001">
      <c r="A3" s="456">
        <f>Reporting_Year</f>
        <v>2023</v>
      </c>
      <c r="B3" s="505"/>
      <c r="C3" s="506"/>
      <c r="D3" s="460"/>
      <c r="E3" s="460"/>
      <c r="F3" s="460"/>
      <c r="G3" s="460"/>
      <c r="H3" s="460"/>
      <c r="I3" s="461"/>
      <c r="J3" s="461"/>
      <c r="K3" s="462"/>
    </row>
    <row r="4" spans="1:19" ht="12.75" customHeight="1"/>
    <row r="5" spans="1:19" ht="30" customHeight="1">
      <c r="D5" s="463" t="str">
        <f>IF(D6&lt;=Reporting_Year,"Actuals","Forecast")</f>
        <v>Actuals</v>
      </c>
      <c r="E5" s="463" t="str">
        <f t="shared" ref="E5:I5" si="0">IF(E6&lt;=Reporting_Year,"Actuals","Forecast")</f>
        <v>Actuals</v>
      </c>
      <c r="F5" s="463" t="str">
        <f t="shared" si="0"/>
        <v>Forecast</v>
      </c>
      <c r="G5" s="463" t="str">
        <f t="shared" si="0"/>
        <v>Forecast</v>
      </c>
      <c r="H5" s="463" t="str">
        <f t="shared" si="0"/>
        <v>Forecast</v>
      </c>
      <c r="I5" s="463" t="str">
        <f t="shared" si="0"/>
        <v>Forecast</v>
      </c>
    </row>
    <row r="6" spans="1:19" ht="27.75" customHeight="1">
      <c r="D6" s="575">
        <f>'RFPR cover'!$C$6</f>
        <v>2022</v>
      </c>
      <c r="E6" s="576">
        <f>D6+1</f>
        <v>2023</v>
      </c>
      <c r="F6" s="576">
        <f t="shared" ref="F6:H6" si="1">E6+1</f>
        <v>2024</v>
      </c>
      <c r="G6" s="576">
        <f t="shared" si="1"/>
        <v>2025</v>
      </c>
      <c r="H6" s="576">
        <f t="shared" si="1"/>
        <v>2026</v>
      </c>
      <c r="I6" s="467" t="str">
        <f>"Cumulative to "&amp;'RFPR cover'!$C$9</f>
        <v>Cumulative to 2023</v>
      </c>
      <c r="J6" s="577" t="s">
        <v>386</v>
      </c>
    </row>
    <row r="7" spans="1:19">
      <c r="D7" s="468" t="str">
        <f>RIIO_2_start_date-1&amp;"/"&amp;RIGHT(RIIO_2_start_date,2)</f>
        <v>2021/22</v>
      </c>
      <c r="E7" s="468" t="str">
        <f>RIIO_2_start_date&amp;"/"&amp;RIGHT(RIIO_2_start_date+1,2)</f>
        <v>2022/23</v>
      </c>
      <c r="F7" s="468" t="str">
        <f>RIIO_2_start_date+1&amp;"/"&amp;RIGHT(RIIO_2_start_date+2,2)</f>
        <v>2023/24</v>
      </c>
      <c r="G7" s="468" t="str">
        <f>RIIO_2_start_date+2&amp;"/"&amp;RIGHT(RIIO_2_start_date+3,2)</f>
        <v>2024/25</v>
      </c>
      <c r="H7" s="468" t="str">
        <f>RIIO_2_start_date+3&amp;"/"&amp;RIGHT(RIIO_2_start_date+4,2)</f>
        <v>2025/26</v>
      </c>
    </row>
    <row r="8" spans="1:19">
      <c r="B8" s="578" t="s">
        <v>483</v>
      </c>
      <c r="C8" s="579"/>
      <c r="D8" s="579"/>
      <c r="E8" s="579"/>
      <c r="F8" s="579"/>
      <c r="G8" s="579"/>
      <c r="H8" s="580"/>
      <c r="I8" s="580"/>
      <c r="J8" s="580"/>
      <c r="K8" s="507"/>
    </row>
    <row r="9" spans="1:19">
      <c r="B9" s="581" t="s">
        <v>484</v>
      </c>
      <c r="C9" s="582"/>
      <c r="D9" s="582"/>
      <c r="E9" s="582"/>
      <c r="F9" s="582"/>
      <c r="G9" s="582"/>
      <c r="H9" s="582"/>
      <c r="I9" s="582"/>
      <c r="J9" s="582"/>
      <c r="K9" s="507"/>
      <c r="L9" s="507"/>
    </row>
    <row r="11" spans="1:19">
      <c r="B11" s="583" t="str">
        <f>IF(Sector="GD2","Capitalisation 1 totex (excluding repex)","Capitalisation 1 totex")</f>
        <v>Capitalisation 1 totex (excluding repex)</v>
      </c>
      <c r="C11" s="584"/>
      <c r="D11" s="512"/>
      <c r="E11" s="512"/>
      <c r="F11" s="512"/>
      <c r="G11" s="512"/>
      <c r="H11" s="512"/>
      <c r="I11" s="512"/>
      <c r="J11" s="512"/>
      <c r="K11" s="507"/>
    </row>
    <row r="12" spans="1:19">
      <c r="B12" s="514"/>
      <c r="D12" s="585"/>
      <c r="E12" s="585"/>
      <c r="F12" s="585"/>
      <c r="G12" s="585"/>
      <c r="H12" s="585"/>
      <c r="I12" s="585"/>
      <c r="J12" s="585"/>
      <c r="K12" s="507"/>
    </row>
    <row r="13" spans="1:19">
      <c r="B13" s="123" t="s">
        <v>485</v>
      </c>
      <c r="C13" s="586" t="str">
        <f>Data!$C$9</f>
        <v>£m 18/19</v>
      </c>
      <c r="D13" s="587">
        <v>77.97896926789889</v>
      </c>
      <c r="E13" s="587">
        <v>92.309029058499945</v>
      </c>
      <c r="F13" s="587">
        <v>93.840313229887357</v>
      </c>
      <c r="G13" s="587">
        <v>84.41823938655665</v>
      </c>
      <c r="H13" s="587">
        <v>80.159480974013434</v>
      </c>
      <c r="I13" s="617">
        <f>SUM(D13:INDEX(D13:H13,0,MATCH('RFPR cover'!$C$9,$D$6:$H$6,0)))</f>
        <v>170.28799832639885</v>
      </c>
      <c r="J13" s="618">
        <f>SUM(D13:H13)</f>
        <v>428.70603191685632</v>
      </c>
      <c r="K13" s="507"/>
    </row>
    <row r="14" spans="1:19" ht="17.100000000000001" customHeight="1">
      <c r="B14" s="588" t="s">
        <v>486</v>
      </c>
      <c r="C14" s="586" t="str">
        <f>Data!$C$9</f>
        <v>£m 18/19</v>
      </c>
      <c r="D14" s="587">
        <v>100.5305425337888</v>
      </c>
      <c r="E14" s="587">
        <v>97.97656618446824</v>
      </c>
      <c r="F14" s="587">
        <v>97.516409159916634</v>
      </c>
      <c r="G14" s="587">
        <v>90.099856847766802</v>
      </c>
      <c r="H14" s="587">
        <v>87.406388992402213</v>
      </c>
      <c r="I14" s="619">
        <f>SUM(D14:INDEX(D14:H14,0,MATCH('RFPR cover'!$C$9,$D$6:$H$6,0)))</f>
        <v>198.50710871825703</v>
      </c>
      <c r="J14" s="620">
        <f>SUM(D14:H14)</f>
        <v>473.52976371834268</v>
      </c>
      <c r="K14" s="589"/>
    </row>
    <row r="15" spans="1:19">
      <c r="B15" s="122" t="s">
        <v>487</v>
      </c>
      <c r="C15" s="586" t="str">
        <f>Data!$C$9</f>
        <v>£m 18/19</v>
      </c>
      <c r="D15" s="616">
        <f>D14-D13</f>
        <v>22.551573265889914</v>
      </c>
      <c r="E15" s="616">
        <f>E14-E13</f>
        <v>5.6675371259682947</v>
      </c>
      <c r="F15" s="616">
        <f t="shared" ref="F15:J15" si="2">F14-F13</f>
        <v>3.6760959300292768</v>
      </c>
      <c r="G15" s="616">
        <f t="shared" si="2"/>
        <v>5.681617461210152</v>
      </c>
      <c r="H15" s="616">
        <f t="shared" si="2"/>
        <v>7.2469080183887797</v>
      </c>
      <c r="I15" s="22">
        <f t="shared" si="2"/>
        <v>28.21911039185818</v>
      </c>
      <c r="J15" s="24">
        <f t="shared" si="2"/>
        <v>44.82373180148636</v>
      </c>
      <c r="K15" s="1285"/>
      <c r="L15" s="1285"/>
      <c r="M15" s="1285"/>
      <c r="N15" s="197"/>
      <c r="O15" s="197"/>
      <c r="P15" s="197"/>
      <c r="Q15" s="166"/>
      <c r="R15" s="166"/>
      <c r="S15" s="166"/>
    </row>
    <row r="16" spans="1:19" ht="12.7">
      <c r="B16" s="122"/>
      <c r="C16" s="586"/>
      <c r="D16" s="590"/>
      <c r="E16" s="590"/>
      <c r="F16" s="590"/>
      <c r="G16" s="590"/>
      <c r="H16" s="590"/>
      <c r="I16" s="590"/>
      <c r="J16" s="590"/>
      <c r="K16" s="591"/>
      <c r="L16" s="591"/>
      <c r="M16" s="591"/>
      <c r="N16" s="591"/>
      <c r="O16" s="591"/>
      <c r="P16" s="591"/>
      <c r="Q16" s="166"/>
      <c r="R16" s="166"/>
      <c r="S16" s="166"/>
    </row>
    <row r="17" spans="2:19">
      <c r="B17" s="507" t="s">
        <v>488</v>
      </c>
      <c r="C17" s="30" t="s">
        <v>389</v>
      </c>
      <c r="D17" s="621">
        <f>INDEX(Data!$C$56:$C$84,MATCH('RFPR cover'!$C$7,Data!$B$56:$B$84,0),0)</f>
        <v>0.5</v>
      </c>
      <c r="E17" s="621">
        <f>INDEX(Data!$C$56:$C$84,MATCH('RFPR cover'!$C$7,Data!$B$56:$B$84,0),0)</f>
        <v>0.5</v>
      </c>
      <c r="F17" s="621">
        <f>INDEX(Data!$C$56:$C$84,MATCH('RFPR cover'!$C$7,Data!$B$56:$B$84,0),0)</f>
        <v>0.5</v>
      </c>
      <c r="G17" s="621">
        <f>INDEX(Data!$C$56:$C$84,MATCH('RFPR cover'!$C$7,Data!$B$56:$B$84,0),0)</f>
        <v>0.5</v>
      </c>
      <c r="H17" s="621">
        <f>INDEX(Data!$C$56:$C$84,MATCH('RFPR cover'!$C$7,Data!$B$56:$B$84,0),0)</f>
        <v>0.5</v>
      </c>
      <c r="I17" s="592"/>
      <c r="J17" s="592"/>
      <c r="K17" s="166"/>
      <c r="L17" s="166"/>
      <c r="M17" s="166"/>
      <c r="N17" s="166"/>
      <c r="O17" s="166"/>
      <c r="P17" s="166"/>
      <c r="Q17" s="166"/>
      <c r="R17" s="166"/>
      <c r="S17" s="166"/>
    </row>
    <row r="18" spans="2:19">
      <c r="K18" s="166"/>
      <c r="L18" s="166"/>
      <c r="M18" s="166"/>
      <c r="N18" s="166"/>
      <c r="O18" s="166"/>
      <c r="P18" s="166"/>
      <c r="Q18" s="166"/>
      <c r="R18" s="166"/>
      <c r="S18" s="166"/>
    </row>
    <row r="19" spans="2:19">
      <c r="B19" s="507" t="s">
        <v>489</v>
      </c>
      <c r="C19" s="586" t="str">
        <f>Data!$C$9</f>
        <v>£m 18/19</v>
      </c>
      <c r="D19" s="616">
        <f>D15*D17</f>
        <v>11.275786632944957</v>
      </c>
      <c r="E19" s="616">
        <f t="shared" ref="E19:H19" si="3">E15*E17</f>
        <v>2.8337685629841474</v>
      </c>
      <c r="F19" s="616">
        <f t="shared" si="3"/>
        <v>1.8380479650146384</v>
      </c>
      <c r="G19" s="616">
        <f t="shared" si="3"/>
        <v>2.840808730605076</v>
      </c>
      <c r="H19" s="616">
        <f t="shared" si="3"/>
        <v>3.6234540091943899</v>
      </c>
      <c r="I19" s="19">
        <f>SUM(D19:INDEX(D19:H19,0,MATCH('RFPR cover'!$C$9,$D$6:$H$6,0)))</f>
        <v>14.109555195929104</v>
      </c>
      <c r="J19" s="21">
        <f>SUM(D19:H19)</f>
        <v>22.411865900743209</v>
      </c>
      <c r="K19" s="166"/>
      <c r="L19" s="166"/>
      <c r="M19" s="166"/>
      <c r="N19" s="166"/>
      <c r="O19" s="166"/>
      <c r="P19" s="166"/>
      <c r="Q19" s="166"/>
      <c r="R19" s="166"/>
      <c r="S19" s="166"/>
    </row>
    <row r="20" spans="2:19">
      <c r="B20" s="507" t="s">
        <v>490</v>
      </c>
      <c r="C20" s="586" t="str">
        <f>Data!$C$9</f>
        <v>£m 18/19</v>
      </c>
      <c r="D20" s="616">
        <f>D15*(1-D17)</f>
        <v>11.275786632944957</v>
      </c>
      <c r="E20" s="616">
        <f t="shared" ref="E20:H20" si="4">E15*(1-E17)</f>
        <v>2.8337685629841474</v>
      </c>
      <c r="F20" s="616">
        <f t="shared" si="4"/>
        <v>1.8380479650146384</v>
      </c>
      <c r="G20" s="616">
        <f t="shared" si="4"/>
        <v>2.840808730605076</v>
      </c>
      <c r="H20" s="616">
        <f t="shared" si="4"/>
        <v>3.6234540091943899</v>
      </c>
      <c r="I20" s="16">
        <f>SUM(D20:INDEX(D20:H20,0,MATCH('RFPR cover'!$C$9,$D$6:$H$6,0)))</f>
        <v>14.109555195929104</v>
      </c>
      <c r="J20" s="18">
        <f>SUM(D20:H20)</f>
        <v>22.411865900743209</v>
      </c>
      <c r="L20" s="166"/>
      <c r="M20" s="166"/>
      <c r="N20" s="166"/>
      <c r="O20" s="166"/>
      <c r="P20" s="166"/>
      <c r="Q20" s="166"/>
      <c r="R20" s="166"/>
      <c r="S20" s="166"/>
    </row>
    <row r="21" spans="2:19">
      <c r="C21" s="507"/>
      <c r="D21" s="507"/>
      <c r="E21" s="507"/>
      <c r="F21" s="507"/>
      <c r="G21" s="507"/>
      <c r="H21" s="507"/>
      <c r="I21" s="507"/>
      <c r="J21" s="507"/>
      <c r="L21" s="166"/>
      <c r="M21" s="166"/>
      <c r="N21" s="166"/>
      <c r="O21" s="166"/>
      <c r="P21" s="166"/>
      <c r="Q21" s="166"/>
      <c r="R21" s="166"/>
      <c r="S21" s="166"/>
    </row>
    <row r="22" spans="2:19">
      <c r="B22" s="514" t="s">
        <v>491</v>
      </c>
      <c r="L22" s="166"/>
      <c r="M22" s="166"/>
      <c r="N22" s="166"/>
      <c r="O22" s="166"/>
      <c r="P22" s="166"/>
    </row>
    <row r="23" spans="2:19">
      <c r="B23" s="520" t="s">
        <v>492</v>
      </c>
      <c r="C23" s="586" t="str">
        <f>Data!$C$9</f>
        <v>£m 18/19</v>
      </c>
      <c r="D23" s="593">
        <v>0</v>
      </c>
      <c r="E23" s="593">
        <v>0</v>
      </c>
      <c r="F23" s="593">
        <v>0</v>
      </c>
      <c r="G23" s="593">
        <v>0</v>
      </c>
      <c r="H23" s="593">
        <v>0</v>
      </c>
      <c r="I23" s="16">
        <f>SUM(D23:INDEX(D23:H23,0,MATCH('RFPR cover'!$C$9,$D$6:$H$6,0)))</f>
        <v>0</v>
      </c>
      <c r="J23" s="18">
        <f t="shared" ref="J23:J28" si="5">SUM(D23:H23)</f>
        <v>0</v>
      </c>
      <c r="L23" s="166"/>
      <c r="M23" s="166"/>
      <c r="N23" s="166"/>
      <c r="O23" s="166"/>
      <c r="P23" s="166"/>
      <c r="Q23" s="166"/>
      <c r="R23" s="166"/>
      <c r="S23" s="166"/>
    </row>
    <row r="24" spans="2:19">
      <c r="B24" s="520" t="s">
        <v>493</v>
      </c>
      <c r="C24" s="586"/>
      <c r="D24" s="593">
        <v>0</v>
      </c>
      <c r="E24" s="593">
        <v>0</v>
      </c>
      <c r="F24" s="593">
        <v>0</v>
      </c>
      <c r="G24" s="593">
        <v>0</v>
      </c>
      <c r="H24" s="593">
        <v>0</v>
      </c>
      <c r="I24" s="16">
        <f>SUM(D24:INDEX(D24:H24,0,MATCH('RFPR cover'!$C$9,$D$6:$H$6,0)))</f>
        <v>0</v>
      </c>
      <c r="J24" s="18">
        <f t="shared" si="5"/>
        <v>0</v>
      </c>
      <c r="L24" s="166"/>
      <c r="M24" s="166"/>
      <c r="N24" s="166"/>
      <c r="O24" s="166"/>
      <c r="P24" s="166"/>
      <c r="Q24" s="166"/>
      <c r="R24" s="166"/>
      <c r="S24" s="166"/>
    </row>
    <row r="25" spans="2:19">
      <c r="B25" s="520" t="s">
        <v>493</v>
      </c>
      <c r="C25" s="586"/>
      <c r="D25" s="593">
        <v>0</v>
      </c>
      <c r="E25" s="593">
        <v>0</v>
      </c>
      <c r="F25" s="593">
        <v>0</v>
      </c>
      <c r="G25" s="593">
        <v>0</v>
      </c>
      <c r="H25" s="593">
        <v>0</v>
      </c>
      <c r="I25" s="16">
        <f>SUM(D25:INDEX(D25:H25,0,MATCH('RFPR cover'!$C$9,$D$6:$H$6,0)))</f>
        <v>0</v>
      </c>
      <c r="J25" s="18">
        <f t="shared" si="5"/>
        <v>0</v>
      </c>
      <c r="L25" s="166"/>
      <c r="M25" s="166"/>
      <c r="N25" s="166"/>
      <c r="O25" s="166"/>
      <c r="P25" s="166"/>
      <c r="Q25" s="166"/>
      <c r="R25" s="166"/>
      <c r="S25" s="166"/>
    </row>
    <row r="26" spans="2:19">
      <c r="B26" s="520" t="s">
        <v>493</v>
      </c>
      <c r="C26" s="586"/>
      <c r="D26" s="593">
        <v>0</v>
      </c>
      <c r="E26" s="593">
        <v>0</v>
      </c>
      <c r="F26" s="593">
        <v>0</v>
      </c>
      <c r="G26" s="593">
        <v>0</v>
      </c>
      <c r="H26" s="593">
        <v>0</v>
      </c>
      <c r="I26" s="16">
        <f>SUM(D26:INDEX(D26:H26,0,MATCH('RFPR cover'!$C$9,$D$6:$H$6,0)))</f>
        <v>0</v>
      </c>
      <c r="J26" s="18">
        <f t="shared" si="5"/>
        <v>0</v>
      </c>
      <c r="L26" s="166"/>
      <c r="M26" s="166"/>
      <c r="N26" s="166"/>
      <c r="O26" s="166"/>
      <c r="P26" s="166"/>
      <c r="Q26" s="166"/>
      <c r="R26" s="166"/>
      <c r="S26" s="166"/>
    </row>
    <row r="27" spans="2:19">
      <c r="B27" s="520" t="s">
        <v>493</v>
      </c>
      <c r="C27" s="586"/>
      <c r="D27" s="593">
        <v>0</v>
      </c>
      <c r="E27" s="593">
        <v>0</v>
      </c>
      <c r="F27" s="593">
        <v>0</v>
      </c>
      <c r="G27" s="593">
        <v>0</v>
      </c>
      <c r="H27" s="593">
        <v>0</v>
      </c>
      <c r="I27" s="16">
        <f>SUM(D27:INDEX(D27:H27,0,MATCH('RFPR cover'!$C$9,$D$6:$H$6,0)))</f>
        <v>0</v>
      </c>
      <c r="J27" s="18">
        <f t="shared" si="5"/>
        <v>0</v>
      </c>
      <c r="L27" s="166"/>
      <c r="M27" s="166"/>
      <c r="N27" s="166"/>
      <c r="O27" s="166"/>
      <c r="P27" s="166"/>
      <c r="Q27" s="166"/>
      <c r="R27" s="166"/>
      <c r="S27" s="166"/>
    </row>
    <row r="28" spans="2:19">
      <c r="B28" s="520" t="s">
        <v>493</v>
      </c>
      <c r="C28" s="586"/>
      <c r="D28" s="593">
        <v>0</v>
      </c>
      <c r="E28" s="593">
        <v>0</v>
      </c>
      <c r="F28" s="593">
        <v>0</v>
      </c>
      <c r="G28" s="593">
        <v>0</v>
      </c>
      <c r="H28" s="593">
        <v>0</v>
      </c>
      <c r="I28" s="16">
        <f>SUM(D28:INDEX(D28:H28,0,MATCH('RFPR cover'!$C$9,$D$6:$H$6,0)))</f>
        <v>0</v>
      </c>
      <c r="J28" s="18">
        <f t="shared" si="5"/>
        <v>0</v>
      </c>
      <c r="L28" s="166"/>
      <c r="M28" s="166"/>
      <c r="N28" s="166"/>
      <c r="O28" s="166"/>
      <c r="P28" s="166"/>
      <c r="Q28" s="166"/>
      <c r="R28" s="166"/>
      <c r="S28" s="166"/>
    </row>
    <row r="29" spans="2:19">
      <c r="B29" s="520" t="s">
        <v>493</v>
      </c>
      <c r="C29" s="586" t="str">
        <f>Data!$C$9</f>
        <v>£m 18/19</v>
      </c>
      <c r="D29" s="593">
        <v>0</v>
      </c>
      <c r="E29" s="593">
        <v>0</v>
      </c>
      <c r="F29" s="593">
        <v>0</v>
      </c>
      <c r="G29" s="593">
        <v>0</v>
      </c>
      <c r="H29" s="593">
        <v>0</v>
      </c>
      <c r="I29" s="16">
        <f>SUM(D29:INDEX(D29:H29,0,MATCH('RFPR cover'!$C$9,$D$6:$H$6,0)))</f>
        <v>0</v>
      </c>
      <c r="J29" s="18">
        <f t="shared" ref="J29" si="6">SUM(D29:H29)</f>
        <v>0</v>
      </c>
      <c r="L29" s="166"/>
      <c r="M29" s="166"/>
      <c r="N29" s="166"/>
      <c r="O29" s="166"/>
      <c r="P29" s="166"/>
      <c r="Q29" s="166"/>
      <c r="R29" s="166"/>
      <c r="S29" s="166"/>
    </row>
    <row r="30" spans="2:19">
      <c r="B30" s="514" t="s">
        <v>494</v>
      </c>
      <c r="C30" s="586" t="str">
        <f>Data!$C$9</f>
        <v>£m 18/19</v>
      </c>
      <c r="D30" s="616">
        <f>SUM(D23:D29)</f>
        <v>0</v>
      </c>
      <c r="E30" s="616">
        <f t="shared" ref="E30:H30" si="7">SUM(E23:E29)</f>
        <v>0</v>
      </c>
      <c r="F30" s="616">
        <f t="shared" si="7"/>
        <v>0</v>
      </c>
      <c r="G30" s="616">
        <f t="shared" si="7"/>
        <v>0</v>
      </c>
      <c r="H30" s="616">
        <f t="shared" si="7"/>
        <v>0</v>
      </c>
      <c r="I30" s="16">
        <f>SUM(D30:INDEX(D30:H30,0,MATCH('RFPR cover'!$C$9,$D$6:$H$6,0)))</f>
        <v>0</v>
      </c>
      <c r="J30" s="18">
        <f t="shared" ref="J30" si="8">SUM(D30:H30)</f>
        <v>0</v>
      </c>
      <c r="L30" s="166"/>
      <c r="M30" s="166"/>
      <c r="N30" s="166"/>
      <c r="O30" s="166"/>
      <c r="P30" s="166"/>
      <c r="Q30" s="166"/>
      <c r="R30" s="166"/>
      <c r="S30" s="166"/>
    </row>
    <row r="31" spans="2:19">
      <c r="B31" s="514"/>
      <c r="L31" s="166"/>
      <c r="M31" s="166"/>
      <c r="N31" s="166"/>
      <c r="O31" s="166"/>
      <c r="P31" s="166"/>
      <c r="Q31" s="166"/>
      <c r="R31" s="166"/>
      <c r="S31" s="166"/>
    </row>
    <row r="32" spans="2:19">
      <c r="B32" s="514" t="s">
        <v>495</v>
      </c>
      <c r="L32" s="166"/>
      <c r="M32" s="166"/>
      <c r="N32" s="166"/>
      <c r="O32" s="166"/>
      <c r="P32" s="166"/>
      <c r="Q32" s="166"/>
      <c r="R32" s="166"/>
      <c r="S32" s="166"/>
    </row>
    <row r="33" spans="2:19">
      <c r="B33" s="520" t="s">
        <v>492</v>
      </c>
      <c r="C33" s="586" t="str">
        <f>Data!$C$9</f>
        <v>£m 18/19</v>
      </c>
      <c r="D33" s="593">
        <v>0</v>
      </c>
      <c r="E33" s="593">
        <v>0</v>
      </c>
      <c r="F33" s="593">
        <v>0</v>
      </c>
      <c r="G33" s="593">
        <v>0</v>
      </c>
      <c r="H33" s="593">
        <v>0</v>
      </c>
      <c r="I33" s="16">
        <f>SUM(D33:INDEX(D33:H33,0,MATCH('RFPR cover'!$C$9,$D$6:$H$6,0)))</f>
        <v>0</v>
      </c>
      <c r="J33" s="18">
        <f>SUM(D33:H33)</f>
        <v>0</v>
      </c>
      <c r="L33" s="166"/>
      <c r="M33" s="166"/>
      <c r="N33" s="166"/>
      <c r="O33" s="166"/>
      <c r="P33" s="166"/>
      <c r="Q33" s="166"/>
      <c r="R33" s="166"/>
      <c r="S33" s="166"/>
    </row>
    <row r="34" spans="2:19">
      <c r="B34" s="520" t="s">
        <v>493</v>
      </c>
      <c r="C34" s="586" t="str">
        <f>Data!$C$9</f>
        <v>£m 18/19</v>
      </c>
      <c r="D34" s="593">
        <v>0</v>
      </c>
      <c r="E34" s="593">
        <v>0</v>
      </c>
      <c r="F34" s="593">
        <v>0</v>
      </c>
      <c r="G34" s="593">
        <v>0</v>
      </c>
      <c r="H34" s="593">
        <v>0</v>
      </c>
      <c r="I34" s="16">
        <f>SUM(D34:INDEX(D34:H34,0,MATCH('RFPR cover'!$C$9,$D$6:$H$6,0)))</f>
        <v>0</v>
      </c>
      <c r="J34" s="18">
        <f t="shared" ref="J34:J35" si="9">SUM(D34:H34)</f>
        <v>0</v>
      </c>
      <c r="L34" s="166"/>
      <c r="M34" s="166"/>
      <c r="N34" s="166"/>
      <c r="O34" s="166"/>
      <c r="P34" s="166"/>
      <c r="Q34" s="166"/>
      <c r="R34" s="166"/>
      <c r="S34" s="166"/>
    </row>
    <row r="35" spans="2:19">
      <c r="B35" s="514" t="s">
        <v>494</v>
      </c>
      <c r="C35" s="586" t="str">
        <f>Data!$C$9</f>
        <v>£m 18/19</v>
      </c>
      <c r="D35" s="616">
        <f>SUM(D33:D34)</f>
        <v>0</v>
      </c>
      <c r="E35" s="616">
        <f t="shared" ref="E35:H35" si="10">SUM(E33:E34)</f>
        <v>0</v>
      </c>
      <c r="F35" s="616">
        <f t="shared" si="10"/>
        <v>0</v>
      </c>
      <c r="G35" s="616">
        <f t="shared" si="10"/>
        <v>0</v>
      </c>
      <c r="H35" s="616">
        <f t="shared" si="10"/>
        <v>0</v>
      </c>
      <c r="I35" s="16">
        <f>SUM(D35:INDEX(D35:H35,0,MATCH('RFPR cover'!$C$9,$D$6:$H$6,0)))</f>
        <v>0</v>
      </c>
      <c r="J35" s="18">
        <f t="shared" si="9"/>
        <v>0</v>
      </c>
      <c r="L35" s="166"/>
      <c r="M35" s="166"/>
      <c r="N35" s="166"/>
      <c r="O35" s="166"/>
      <c r="P35" s="166"/>
      <c r="Q35" s="166"/>
      <c r="R35" s="166"/>
      <c r="S35" s="166"/>
    </row>
    <row r="36" spans="2:19">
      <c r="B36" s="514"/>
      <c r="L36" s="166"/>
      <c r="M36" s="166"/>
      <c r="N36" s="166"/>
      <c r="O36" s="166"/>
      <c r="P36" s="166"/>
      <c r="Q36" s="166"/>
      <c r="R36" s="166"/>
      <c r="S36" s="166"/>
    </row>
    <row r="37" spans="2:19">
      <c r="B37" s="507" t="s">
        <v>496</v>
      </c>
      <c r="C37" s="586"/>
      <c r="D37" s="616">
        <f>D30*D17</f>
        <v>0</v>
      </c>
      <c r="E37" s="616">
        <f t="shared" ref="E37:H37" si="11">E30*E17</f>
        <v>0</v>
      </c>
      <c r="F37" s="616">
        <f t="shared" si="11"/>
        <v>0</v>
      </c>
      <c r="G37" s="616">
        <f t="shared" si="11"/>
        <v>0</v>
      </c>
      <c r="H37" s="616">
        <f t="shared" si="11"/>
        <v>0</v>
      </c>
      <c r="I37" s="19">
        <f>SUM(D37:INDEX(D37:H37,0,MATCH('RFPR cover'!$C$9,$D$6:$H$6,0)))</f>
        <v>0</v>
      </c>
      <c r="J37" s="21">
        <f>SUM(D37:H37)</f>
        <v>0</v>
      </c>
      <c r="L37" s="166"/>
      <c r="M37" s="166"/>
      <c r="N37" s="166"/>
      <c r="O37" s="166"/>
      <c r="P37" s="166"/>
      <c r="Q37" s="166"/>
      <c r="R37" s="166"/>
      <c r="S37" s="166"/>
    </row>
    <row r="38" spans="2:19">
      <c r="B38" s="507" t="s">
        <v>497</v>
      </c>
      <c r="C38" s="586"/>
      <c r="D38" s="616">
        <f>D30*(1-D17)+D35</f>
        <v>0</v>
      </c>
      <c r="E38" s="616">
        <f t="shared" ref="E38:H38" si="12">E30*(1-E17)+E35</f>
        <v>0</v>
      </c>
      <c r="F38" s="616">
        <f t="shared" si="12"/>
        <v>0</v>
      </c>
      <c r="G38" s="616">
        <f t="shared" si="12"/>
        <v>0</v>
      </c>
      <c r="H38" s="616">
        <f t="shared" si="12"/>
        <v>0</v>
      </c>
      <c r="I38" s="19">
        <f>SUM(D38:INDEX(D38:H38,0,MATCH('RFPR cover'!$C$9,$D$6:$H$6,0)))</f>
        <v>0</v>
      </c>
      <c r="J38" s="18">
        <f>SUM(D38:H38)</f>
        <v>0</v>
      </c>
      <c r="L38" s="166"/>
      <c r="M38" s="166"/>
      <c r="N38" s="166"/>
      <c r="O38" s="166"/>
      <c r="P38" s="166"/>
      <c r="Q38" s="166"/>
      <c r="R38" s="166"/>
      <c r="S38" s="166"/>
    </row>
    <row r="39" spans="2:19">
      <c r="B39" s="514"/>
      <c r="L39" s="166"/>
      <c r="M39" s="166"/>
      <c r="N39" s="166"/>
      <c r="O39" s="166"/>
      <c r="P39" s="166"/>
      <c r="Q39" s="166"/>
      <c r="R39" s="166"/>
      <c r="S39" s="166"/>
    </row>
    <row r="40" spans="2:19">
      <c r="B40" s="514" t="s">
        <v>498</v>
      </c>
      <c r="L40" s="166"/>
      <c r="M40" s="166"/>
      <c r="N40" s="166"/>
      <c r="O40" s="166"/>
      <c r="P40" s="166"/>
      <c r="Q40" s="166"/>
      <c r="R40" s="166"/>
      <c r="S40" s="166"/>
    </row>
    <row r="41" spans="2:19">
      <c r="B41" s="507" t="s">
        <v>489</v>
      </c>
      <c r="C41" s="586" t="str">
        <f>Data!$C$9</f>
        <v>£m 18/19</v>
      </c>
      <c r="D41" s="616">
        <f>D19+D37</f>
        <v>11.275786632944957</v>
      </c>
      <c r="E41" s="616">
        <f t="shared" ref="E41:H41" si="13">E19+E37</f>
        <v>2.8337685629841474</v>
      </c>
      <c r="F41" s="616">
        <f t="shared" si="13"/>
        <v>1.8380479650146384</v>
      </c>
      <c r="G41" s="616">
        <f t="shared" si="13"/>
        <v>2.840808730605076</v>
      </c>
      <c r="H41" s="616">
        <f t="shared" si="13"/>
        <v>3.6234540091943899</v>
      </c>
      <c r="I41" s="19">
        <f>SUM(D41:INDEX(D41:H41,0,MATCH('RFPR cover'!$C$9,$D$6:$H$6,0)))</f>
        <v>14.109555195929104</v>
      </c>
      <c r="J41" s="21">
        <f>SUM(D41:H41)</f>
        <v>22.411865900743209</v>
      </c>
      <c r="L41" s="166"/>
      <c r="M41" s="166"/>
      <c r="N41" s="166"/>
      <c r="O41" s="166"/>
      <c r="P41" s="166"/>
      <c r="Q41" s="166"/>
      <c r="R41" s="166"/>
      <c r="S41" s="166"/>
    </row>
    <row r="42" spans="2:19">
      <c r="B42" s="507" t="s">
        <v>490</v>
      </c>
      <c r="C42" s="586" t="str">
        <f>Data!$C$9</f>
        <v>£m 18/19</v>
      </c>
      <c r="D42" s="616">
        <f>D20+D38</f>
        <v>11.275786632944957</v>
      </c>
      <c r="E42" s="616">
        <f t="shared" ref="E42:H42" si="14">E20+E38</f>
        <v>2.8337685629841474</v>
      </c>
      <c r="F42" s="616">
        <f t="shared" si="14"/>
        <v>1.8380479650146384</v>
      </c>
      <c r="G42" s="616">
        <f t="shared" si="14"/>
        <v>2.840808730605076</v>
      </c>
      <c r="H42" s="616">
        <f t="shared" si="14"/>
        <v>3.6234540091943899</v>
      </c>
      <c r="I42" s="19">
        <f>SUM(D42:INDEX(D42:H42,0,MATCH('RFPR cover'!$C$9,$D$6:$H$6,0)))</f>
        <v>14.109555195929104</v>
      </c>
      <c r="J42" s="18">
        <f t="shared" ref="J42" si="15">SUM(D42:H42)</f>
        <v>22.411865900743209</v>
      </c>
      <c r="L42" s="166"/>
      <c r="M42" s="166"/>
      <c r="N42" s="166"/>
      <c r="O42" s="166"/>
      <c r="P42" s="166"/>
      <c r="Q42" s="166"/>
      <c r="R42" s="166"/>
      <c r="S42" s="166"/>
    </row>
    <row r="43" spans="2:19">
      <c r="B43" s="514" t="s">
        <v>499</v>
      </c>
      <c r="C43" s="594" t="str">
        <f>Data!$C$9</f>
        <v>£m 18/19</v>
      </c>
      <c r="D43" s="616">
        <f>SUM(D41:D42)</f>
        <v>22.551573265889914</v>
      </c>
      <c r="E43" s="616">
        <f t="shared" ref="E43:H43" si="16">SUM(E41:E42)</f>
        <v>5.6675371259682947</v>
      </c>
      <c r="F43" s="616">
        <f t="shared" si="16"/>
        <v>3.6760959300292768</v>
      </c>
      <c r="G43" s="616">
        <f t="shared" si="16"/>
        <v>5.681617461210152</v>
      </c>
      <c r="H43" s="616">
        <f t="shared" si="16"/>
        <v>7.2469080183887797</v>
      </c>
      <c r="I43" s="16">
        <f>SUM(D43:INDEX(D43:H43,0,MATCH('RFPR cover'!$C$9,$D$6:$H$6,0)))</f>
        <v>28.219110391858209</v>
      </c>
      <c r="J43" s="18">
        <f t="shared" ref="J43" si="17">SUM(D43:H43)</f>
        <v>44.823731801486417</v>
      </c>
      <c r="L43" s="166"/>
      <c r="M43" s="166"/>
      <c r="N43" s="166"/>
      <c r="O43" s="166"/>
      <c r="P43" s="166"/>
      <c r="Q43" s="166"/>
      <c r="R43" s="166"/>
      <c r="S43" s="166"/>
    </row>
    <row r="44" spans="2:19">
      <c r="B44" s="514"/>
      <c r="L44" s="166"/>
      <c r="M44" s="166"/>
      <c r="N44" s="166"/>
      <c r="O44" s="166"/>
      <c r="P44" s="166"/>
      <c r="Q44" s="166"/>
      <c r="R44" s="166"/>
      <c r="S44" s="166"/>
    </row>
    <row r="45" spans="2:19">
      <c r="B45" s="583" t="str">
        <f>IF(Sector="GD2","Capitalisation 2 totex (excluding repex)","Capitalisation 2 totex")</f>
        <v>Capitalisation 2 totex (excluding repex)</v>
      </c>
      <c r="C45" s="510"/>
      <c r="D45" s="512"/>
      <c r="E45" s="512"/>
      <c r="F45" s="512"/>
      <c r="G45" s="512"/>
      <c r="H45" s="512"/>
      <c r="I45" s="512"/>
      <c r="J45" s="512"/>
    </row>
    <row r="46" spans="2:19">
      <c r="D46" s="585"/>
      <c r="E46" s="585"/>
      <c r="F46" s="585"/>
      <c r="G46" s="585"/>
      <c r="H46" s="585"/>
      <c r="I46" s="585"/>
      <c r="J46" s="585"/>
    </row>
    <row r="47" spans="2:19">
      <c r="B47" s="123" t="s">
        <v>485</v>
      </c>
      <c r="C47" s="586" t="str">
        <f>Data!$C$9</f>
        <v>£m 18/19</v>
      </c>
      <c r="D47" s="587">
        <v>5.572140615127231</v>
      </c>
      <c r="E47" s="587">
        <v>4.79199795177</v>
      </c>
      <c r="F47" s="587">
        <v>4.7049363238492585</v>
      </c>
      <c r="G47" s="587">
        <v>6.2678295500338788</v>
      </c>
      <c r="H47" s="587">
        <v>5.067814867524211</v>
      </c>
      <c r="I47" s="622">
        <f>SUM(D47:INDEX(D47:H47,0,MATCH('RFPR cover'!$C$9,$D$6:$H$6,0)))</f>
        <v>10.364138566897232</v>
      </c>
      <c r="J47" s="623">
        <f>SUM(D47:H47)</f>
        <v>26.404719308304578</v>
      </c>
      <c r="K47" s="589"/>
    </row>
    <row r="48" spans="2:19" ht="15" customHeight="1">
      <c r="B48" s="588" t="s">
        <v>500</v>
      </c>
      <c r="C48" s="586" t="str">
        <f>Data!$C$9</f>
        <v>£m 18/19</v>
      </c>
      <c r="D48" s="587">
        <v>5.83830889017249</v>
      </c>
      <c r="E48" s="587">
        <v>5.1110898448668198</v>
      </c>
      <c r="F48" s="587">
        <v>4.8842861994113695</v>
      </c>
      <c r="G48" s="587">
        <v>6.4913364114271648</v>
      </c>
      <c r="H48" s="587">
        <v>5.3199404384586915</v>
      </c>
      <c r="I48" s="624">
        <f>SUM(D48:INDEX(D48:H48,0,MATCH('RFPR cover'!$C$9,$D$6:$H$6,0)))</f>
        <v>10.94939873503931</v>
      </c>
      <c r="J48" s="625">
        <f>SUM(D48:H48)</f>
        <v>27.644961784336534</v>
      </c>
      <c r="K48" s="589"/>
    </row>
    <row r="49" spans="2:19">
      <c r="B49" s="122" t="s">
        <v>487</v>
      </c>
      <c r="C49" s="586" t="str">
        <f>Data!$C$9</f>
        <v>£m 18/19</v>
      </c>
      <c r="D49" s="616">
        <f>D48-D47</f>
        <v>0.26616827504525897</v>
      </c>
      <c r="E49" s="616">
        <f t="shared" ref="E49:J49" si="18">E48-E47</f>
        <v>0.31909189309681985</v>
      </c>
      <c r="F49" s="616">
        <f t="shared" si="18"/>
        <v>0.17934987556211102</v>
      </c>
      <c r="G49" s="616">
        <f t="shared" si="18"/>
        <v>0.22350686139328602</v>
      </c>
      <c r="H49" s="616">
        <f t="shared" si="18"/>
        <v>0.25212557093448051</v>
      </c>
      <c r="I49" s="215">
        <f t="shared" si="18"/>
        <v>0.58526016814207793</v>
      </c>
      <c r="J49" s="329">
        <f t="shared" si="18"/>
        <v>1.2402424760319555</v>
      </c>
      <c r="K49" s="197"/>
      <c r="L49" s="197"/>
      <c r="M49" s="197"/>
      <c r="N49" s="197"/>
      <c r="O49" s="197"/>
      <c r="P49" s="197"/>
      <c r="Q49" s="166"/>
      <c r="R49" s="166"/>
      <c r="S49" s="166"/>
    </row>
    <row r="50" spans="2:19" ht="12.7">
      <c r="B50" s="122"/>
      <c r="C50" s="586"/>
      <c r="D50" s="590"/>
      <c r="E50" s="590"/>
      <c r="F50" s="590"/>
      <c r="G50" s="590"/>
      <c r="H50" s="590"/>
      <c r="I50" s="590"/>
      <c r="J50" s="590"/>
      <c r="K50" s="591"/>
      <c r="L50" s="591"/>
      <c r="M50" s="591"/>
      <c r="N50" s="591"/>
      <c r="O50" s="591"/>
      <c r="P50" s="591"/>
      <c r="Q50" s="166"/>
      <c r="R50" s="166"/>
      <c r="S50" s="166"/>
    </row>
    <row r="51" spans="2:19">
      <c r="B51" s="507" t="s">
        <v>488</v>
      </c>
      <c r="C51" s="30" t="s">
        <v>389</v>
      </c>
      <c r="D51" s="626">
        <f>INDEX(Data!$C$56:$C$84,MATCH('RFPR cover'!$C$7,Data!$B$56:$B$84,0),0)</f>
        <v>0.5</v>
      </c>
      <c r="E51" s="626">
        <f>INDEX(Data!$C$56:$C$84,MATCH('RFPR cover'!$C$7,Data!$B$56:$B$84,0),0)</f>
        <v>0.5</v>
      </c>
      <c r="F51" s="626">
        <f>INDEX(Data!$C$56:$C$84,MATCH('RFPR cover'!$C$7,Data!$B$56:$B$84,0),0)</f>
        <v>0.5</v>
      </c>
      <c r="G51" s="626">
        <f>INDEX(Data!$C$56:$C$84,MATCH('RFPR cover'!$C$7,Data!$B$56:$B$84,0),0)</f>
        <v>0.5</v>
      </c>
      <c r="H51" s="626">
        <f>INDEX(Data!$C$56:$C$84,MATCH('RFPR cover'!$C$7,Data!$B$56:$B$84,0),0)</f>
        <v>0.5</v>
      </c>
      <c r="I51" s="592"/>
      <c r="J51" s="592"/>
      <c r="K51" s="166"/>
      <c r="L51" s="166"/>
      <c r="M51" s="166"/>
      <c r="N51" s="166"/>
      <c r="O51" s="166"/>
      <c r="P51" s="166"/>
      <c r="Q51" s="166"/>
      <c r="R51" s="166"/>
      <c r="S51" s="166"/>
    </row>
    <row r="52" spans="2:19">
      <c r="K52" s="166"/>
      <c r="L52" s="166"/>
      <c r="M52" s="166"/>
      <c r="N52" s="166"/>
      <c r="O52" s="166"/>
      <c r="P52" s="166"/>
      <c r="Q52" s="166"/>
      <c r="R52" s="166"/>
      <c r="S52" s="166"/>
    </row>
    <row r="53" spans="2:19">
      <c r="B53" s="507" t="s">
        <v>489</v>
      </c>
      <c r="C53" s="586" t="str">
        <f>Data!$C$9</f>
        <v>£m 18/19</v>
      </c>
      <c r="D53" s="616">
        <f>D49*D51</f>
        <v>0.13308413752262949</v>
      </c>
      <c r="E53" s="616">
        <f t="shared" ref="E53:H53" si="19">E49*E51</f>
        <v>0.15954594654840992</v>
      </c>
      <c r="F53" s="616">
        <f t="shared" si="19"/>
        <v>8.9674937781055508E-2</v>
      </c>
      <c r="G53" s="616">
        <f t="shared" si="19"/>
        <v>0.11175343069664301</v>
      </c>
      <c r="H53" s="616">
        <f t="shared" si="19"/>
        <v>0.12606278546724026</v>
      </c>
      <c r="I53" s="70">
        <f>SUM(D53:INDEX(D53:H53,0,MATCH('RFPR cover'!$C$9,$D$6:$H$6,0)))</f>
        <v>0.29263008407103941</v>
      </c>
      <c r="J53" s="118">
        <f>SUM(D53:H53)</f>
        <v>0.62012123801597818</v>
      </c>
      <c r="K53" s="166"/>
      <c r="L53" s="166"/>
      <c r="M53" s="166"/>
      <c r="N53" s="166"/>
      <c r="O53" s="166"/>
      <c r="P53" s="166"/>
      <c r="Q53" s="166"/>
      <c r="R53" s="166"/>
      <c r="S53" s="166"/>
    </row>
    <row r="54" spans="2:19">
      <c r="B54" s="507" t="s">
        <v>490</v>
      </c>
      <c r="C54" s="586" t="str">
        <f>Data!$C$9</f>
        <v>£m 18/19</v>
      </c>
      <c r="D54" s="616">
        <f>D49*(1-D51)</f>
        <v>0.13308413752262949</v>
      </c>
      <c r="E54" s="616">
        <f t="shared" ref="E54:H54" si="20">E49*(1-E51)</f>
        <v>0.15954594654840992</v>
      </c>
      <c r="F54" s="616">
        <f t="shared" si="20"/>
        <v>8.9674937781055508E-2</v>
      </c>
      <c r="G54" s="616">
        <f t="shared" si="20"/>
        <v>0.11175343069664301</v>
      </c>
      <c r="H54" s="616">
        <f t="shared" si="20"/>
        <v>0.12606278546724026</v>
      </c>
      <c r="I54" s="119">
        <f>SUM(D54:INDEX(D54:H54,0,MATCH('RFPR cover'!$C$9,$D$6:$H$6,0)))</f>
        <v>0.29263008407103941</v>
      </c>
      <c r="J54" s="120">
        <f>SUM(D54:H54)</f>
        <v>0.62012123801597818</v>
      </c>
      <c r="K54" s="166"/>
      <c r="L54" s="166"/>
      <c r="M54" s="166"/>
      <c r="N54" s="166"/>
      <c r="O54" s="166"/>
      <c r="P54" s="166"/>
      <c r="Q54" s="166"/>
      <c r="R54" s="166"/>
      <c r="S54" s="166"/>
    </row>
    <row r="55" spans="2:19">
      <c r="K55" s="166"/>
      <c r="L55" s="166"/>
      <c r="M55" s="166"/>
      <c r="N55" s="166"/>
      <c r="O55" s="166"/>
      <c r="P55" s="166"/>
      <c r="Q55" s="166"/>
      <c r="R55" s="166"/>
      <c r="S55" s="166"/>
    </row>
    <row r="56" spans="2:19">
      <c r="B56" s="514" t="s">
        <v>491</v>
      </c>
      <c r="K56" s="166"/>
      <c r="L56" s="166"/>
      <c r="M56" s="166"/>
      <c r="N56" s="166"/>
      <c r="O56" s="166"/>
      <c r="P56" s="166"/>
      <c r="Q56" s="166"/>
      <c r="R56" s="166"/>
      <c r="S56" s="166"/>
    </row>
    <row r="57" spans="2:19">
      <c r="B57" s="520" t="s">
        <v>492</v>
      </c>
      <c r="C57" s="586" t="str">
        <f>Data!$C$9</f>
        <v>£m 18/19</v>
      </c>
      <c r="D57" s="593">
        <v>0</v>
      </c>
      <c r="E57" s="593">
        <v>0</v>
      </c>
      <c r="F57" s="593">
        <v>0</v>
      </c>
      <c r="G57" s="593">
        <v>0</v>
      </c>
      <c r="H57" s="593">
        <v>0</v>
      </c>
      <c r="I57" s="16">
        <f>SUM(D57:INDEX(D57:H57,0,MATCH('RFPR cover'!$C$9,$D$6:$H$6,0)))</f>
        <v>0</v>
      </c>
      <c r="J57" s="18">
        <f>SUM(D57:H57)</f>
        <v>0</v>
      </c>
      <c r="K57" s="166"/>
      <c r="L57" s="166"/>
      <c r="M57" s="166"/>
      <c r="N57" s="166"/>
      <c r="O57" s="166"/>
      <c r="P57" s="166"/>
      <c r="Q57" s="166"/>
      <c r="R57" s="166"/>
      <c r="S57" s="166"/>
    </row>
    <row r="58" spans="2:19">
      <c r="B58" s="520" t="s">
        <v>493</v>
      </c>
      <c r="C58" s="586" t="str">
        <f>Data!$C$9</f>
        <v>£m 18/19</v>
      </c>
      <c r="D58" s="593">
        <v>0</v>
      </c>
      <c r="E58" s="593">
        <v>0</v>
      </c>
      <c r="F58" s="593">
        <v>0</v>
      </c>
      <c r="G58" s="593">
        <v>0</v>
      </c>
      <c r="H58" s="593">
        <v>0</v>
      </c>
      <c r="I58" s="16">
        <f>SUM(D58:INDEX(D58:H58,0,MATCH('RFPR cover'!$C$9,$D$6:$H$6,0)))</f>
        <v>0</v>
      </c>
      <c r="J58" s="18">
        <f t="shared" ref="J58:J59" si="21">SUM(D58:H58)</f>
        <v>0</v>
      </c>
      <c r="K58" s="166"/>
      <c r="L58" s="166"/>
      <c r="M58" s="166"/>
      <c r="N58" s="166"/>
      <c r="O58" s="166"/>
      <c r="P58" s="166"/>
      <c r="Q58" s="166"/>
      <c r="R58" s="166"/>
      <c r="S58" s="166"/>
    </row>
    <row r="59" spans="2:19">
      <c r="B59" s="514" t="s">
        <v>494</v>
      </c>
      <c r="C59" s="586" t="str">
        <f>Data!$C$9</f>
        <v>£m 18/19</v>
      </c>
      <c r="D59" s="616">
        <f>SUM(D57:D58)</f>
        <v>0</v>
      </c>
      <c r="E59" s="616">
        <f t="shared" ref="E59" si="22">SUM(E57:E58)</f>
        <v>0</v>
      </c>
      <c r="F59" s="616">
        <f t="shared" ref="F59" si="23">SUM(F57:F58)</f>
        <v>0</v>
      </c>
      <c r="G59" s="616">
        <f t="shared" ref="G59" si="24">SUM(G57:G58)</f>
        <v>0</v>
      </c>
      <c r="H59" s="616">
        <f t="shared" ref="H59" si="25">SUM(H57:H58)</f>
        <v>0</v>
      </c>
      <c r="I59" s="16">
        <f>SUM(D59:INDEX(D59:H59,0,MATCH('RFPR cover'!$C$9,$D$6:$H$6,0)))</f>
        <v>0</v>
      </c>
      <c r="J59" s="18">
        <f t="shared" si="21"/>
        <v>0</v>
      </c>
      <c r="K59" s="514"/>
      <c r="L59" s="514"/>
      <c r="M59" s="514"/>
      <c r="N59" s="514"/>
      <c r="O59" s="514"/>
      <c r="P59" s="514"/>
      <c r="Q59" s="514"/>
      <c r="R59" s="166"/>
      <c r="S59" s="166"/>
    </row>
    <row r="60" spans="2:19">
      <c r="B60" s="514"/>
      <c r="C60" s="514"/>
      <c r="D60" s="514"/>
      <c r="E60" s="514"/>
      <c r="F60" s="514"/>
      <c r="G60" s="514"/>
      <c r="H60" s="514"/>
      <c r="I60" s="514"/>
      <c r="J60" s="514"/>
      <c r="K60" s="514"/>
      <c r="L60" s="514"/>
      <c r="M60" s="514"/>
      <c r="N60" s="514"/>
      <c r="O60" s="514"/>
      <c r="P60" s="514"/>
      <c r="Q60" s="514"/>
      <c r="R60" s="166"/>
      <c r="S60" s="166"/>
    </row>
    <row r="61" spans="2:19">
      <c r="B61" s="514" t="s">
        <v>495</v>
      </c>
      <c r="K61" s="514"/>
      <c r="L61" s="514"/>
      <c r="M61" s="514"/>
      <c r="N61" s="514"/>
      <c r="O61" s="514"/>
      <c r="P61" s="514"/>
      <c r="Q61" s="514"/>
      <c r="R61" s="166"/>
      <c r="S61" s="166"/>
    </row>
    <row r="62" spans="2:19">
      <c r="B62" s="520" t="s">
        <v>492</v>
      </c>
      <c r="C62" s="586" t="str">
        <f>Data!$C$9</f>
        <v>£m 18/19</v>
      </c>
      <c r="D62" s="593">
        <v>0</v>
      </c>
      <c r="E62" s="593">
        <v>0</v>
      </c>
      <c r="F62" s="593">
        <v>0</v>
      </c>
      <c r="G62" s="593">
        <v>0</v>
      </c>
      <c r="H62" s="593">
        <v>0</v>
      </c>
      <c r="I62" s="16">
        <f>SUM(D62:INDEX(D62:H62,0,MATCH('RFPR cover'!$C$9,$D$6:$H$6,0)))</f>
        <v>0</v>
      </c>
      <c r="J62" s="18">
        <f>SUM(D62:H62)</f>
        <v>0</v>
      </c>
      <c r="K62" s="514"/>
      <c r="L62" s="514"/>
      <c r="M62" s="514"/>
      <c r="N62" s="514"/>
      <c r="O62" s="514"/>
      <c r="P62" s="514"/>
      <c r="Q62" s="514"/>
      <c r="R62" s="166"/>
      <c r="S62" s="166"/>
    </row>
    <row r="63" spans="2:19">
      <c r="B63" s="520" t="s">
        <v>493</v>
      </c>
      <c r="C63" s="586" t="str">
        <f>Data!$C$9</f>
        <v>£m 18/19</v>
      </c>
      <c r="D63" s="593">
        <v>0</v>
      </c>
      <c r="E63" s="593">
        <v>0</v>
      </c>
      <c r="F63" s="593">
        <v>0</v>
      </c>
      <c r="G63" s="593">
        <v>0</v>
      </c>
      <c r="H63" s="593">
        <v>0</v>
      </c>
      <c r="I63" s="16">
        <f>SUM(D63:INDEX(D63:H63,0,MATCH('RFPR cover'!$C$9,$D$6:$H$6,0)))</f>
        <v>0</v>
      </c>
      <c r="J63" s="18">
        <f t="shared" ref="J63:J64" si="26">SUM(D63:H63)</f>
        <v>0</v>
      </c>
      <c r="K63" s="514"/>
      <c r="L63" s="514"/>
      <c r="M63" s="514"/>
      <c r="N63" s="514"/>
      <c r="O63" s="514"/>
      <c r="P63" s="514"/>
      <c r="Q63" s="514"/>
      <c r="R63" s="166"/>
      <c r="S63" s="166"/>
    </row>
    <row r="64" spans="2:19">
      <c r="B64" s="514" t="s">
        <v>494</v>
      </c>
      <c r="C64" s="586" t="str">
        <f>Data!$C$9</f>
        <v>£m 18/19</v>
      </c>
      <c r="D64" s="616">
        <f>SUM(D62:D63)</f>
        <v>0</v>
      </c>
      <c r="E64" s="616">
        <f t="shared" ref="E64:H64" si="27">SUM(E62:E63)</f>
        <v>0</v>
      </c>
      <c r="F64" s="616">
        <f t="shared" si="27"/>
        <v>0</v>
      </c>
      <c r="G64" s="616">
        <f t="shared" si="27"/>
        <v>0</v>
      </c>
      <c r="H64" s="616">
        <f t="shared" si="27"/>
        <v>0</v>
      </c>
      <c r="I64" s="16">
        <f>SUM(D64:INDEX(D64:H64,0,MATCH('RFPR cover'!$C$9,$D$6:$H$6,0)))</f>
        <v>0</v>
      </c>
      <c r="J64" s="18">
        <f t="shared" si="26"/>
        <v>0</v>
      </c>
      <c r="K64" s="514"/>
      <c r="L64" s="514"/>
      <c r="M64" s="514"/>
      <c r="N64" s="514"/>
      <c r="O64" s="514"/>
      <c r="P64" s="514"/>
      <c r="Q64" s="514"/>
      <c r="R64" s="166"/>
      <c r="S64" s="166"/>
    </row>
    <row r="65" spans="2:20">
      <c r="B65" s="514"/>
      <c r="C65" s="514"/>
      <c r="D65" s="514"/>
      <c r="E65" s="514"/>
      <c r="F65" s="514"/>
      <c r="G65" s="514"/>
      <c r="H65" s="514"/>
      <c r="I65" s="514"/>
      <c r="J65" s="514"/>
      <c r="K65" s="514"/>
      <c r="L65" s="514"/>
      <c r="M65" s="514"/>
      <c r="N65" s="514"/>
      <c r="O65" s="514"/>
      <c r="P65" s="514"/>
      <c r="Q65" s="514"/>
      <c r="R65" s="166"/>
      <c r="S65" s="166"/>
    </row>
    <row r="66" spans="2:20">
      <c r="B66" s="507" t="s">
        <v>496</v>
      </c>
      <c r="C66" s="586"/>
      <c r="D66" s="616">
        <f>D59*D51</f>
        <v>0</v>
      </c>
      <c r="E66" s="616">
        <f t="shared" ref="E66:H66" si="28">E59*E51</f>
        <v>0</v>
      </c>
      <c r="F66" s="616">
        <f t="shared" si="28"/>
        <v>0</v>
      </c>
      <c r="G66" s="616">
        <f t="shared" si="28"/>
        <v>0</v>
      </c>
      <c r="H66" s="616">
        <f t="shared" si="28"/>
        <v>0</v>
      </c>
      <c r="I66" s="19">
        <f>SUM(D66:INDEX(D66:H66,0,MATCH('RFPR cover'!$C$9,$D$6:$H$6,0)))</f>
        <v>0</v>
      </c>
      <c r="J66" s="21">
        <f>SUM(D66:H66)</f>
        <v>0</v>
      </c>
      <c r="K66" s="514"/>
      <c r="L66" s="514"/>
      <c r="M66" s="514"/>
      <c r="N66" s="514"/>
      <c r="O66" s="514"/>
      <c r="P66" s="514"/>
      <c r="Q66" s="514"/>
      <c r="R66" s="166"/>
      <c r="S66" s="166"/>
    </row>
    <row r="67" spans="2:20">
      <c r="B67" s="507" t="s">
        <v>497</v>
      </c>
      <c r="C67" s="586"/>
      <c r="D67" s="616">
        <f t="shared" ref="D67:H67" si="29">D59*(1-D51)+D64</f>
        <v>0</v>
      </c>
      <c r="E67" s="616">
        <f t="shared" si="29"/>
        <v>0</v>
      </c>
      <c r="F67" s="616">
        <f t="shared" si="29"/>
        <v>0</v>
      </c>
      <c r="G67" s="616">
        <f t="shared" si="29"/>
        <v>0</v>
      </c>
      <c r="H67" s="616">
        <f t="shared" si="29"/>
        <v>0</v>
      </c>
      <c r="I67" s="19">
        <f>SUM(D67:INDEX(D67:H67,0,MATCH('RFPR cover'!$C$9,$D$6:$H$6,0)))</f>
        <v>0</v>
      </c>
      <c r="J67" s="18">
        <f>SUM(D67:H67)</f>
        <v>0</v>
      </c>
      <c r="K67" s="514"/>
      <c r="L67" s="514"/>
      <c r="M67" s="514"/>
      <c r="N67" s="514"/>
      <c r="O67" s="514"/>
      <c r="P67" s="514"/>
      <c r="Q67" s="514"/>
      <c r="R67" s="166"/>
      <c r="S67" s="166"/>
    </row>
    <row r="68" spans="2:20">
      <c r="B68" s="514"/>
      <c r="C68" s="514"/>
      <c r="D68" s="514"/>
      <c r="E68" s="514"/>
      <c r="F68" s="514"/>
      <c r="G68" s="514"/>
      <c r="H68" s="514"/>
      <c r="I68" s="514"/>
      <c r="J68" s="514"/>
      <c r="K68" s="514"/>
      <c r="L68" s="514"/>
      <c r="M68" s="514"/>
      <c r="N68" s="514"/>
      <c r="O68" s="514"/>
      <c r="P68" s="514"/>
      <c r="Q68" s="514"/>
      <c r="R68" s="166"/>
      <c r="S68" s="166"/>
    </row>
    <row r="69" spans="2:20">
      <c r="B69" s="514" t="s">
        <v>498</v>
      </c>
      <c r="C69" s="514"/>
      <c r="D69" s="514"/>
      <c r="E69" s="514"/>
      <c r="F69" s="514"/>
      <c r="G69" s="514"/>
      <c r="H69" s="514"/>
      <c r="I69" s="514"/>
      <c r="J69" s="514"/>
      <c r="K69" s="514"/>
      <c r="L69" s="514"/>
      <c r="M69" s="514"/>
      <c r="N69" s="514"/>
      <c r="O69" s="514"/>
      <c r="P69" s="514"/>
      <c r="Q69" s="514"/>
      <c r="R69" s="166"/>
      <c r="S69" s="166"/>
    </row>
    <row r="70" spans="2:20">
      <c r="B70" s="507" t="s">
        <v>489</v>
      </c>
      <c r="C70" s="586" t="str">
        <f>Data!$C$9</f>
        <v>£m 18/19</v>
      </c>
      <c r="D70" s="616">
        <f>D66+D53</f>
        <v>0.13308413752262949</v>
      </c>
      <c r="E70" s="616">
        <f t="shared" ref="E70:H70" si="30">E66+E53</f>
        <v>0.15954594654840992</v>
      </c>
      <c r="F70" s="616">
        <f t="shared" si="30"/>
        <v>8.9674937781055508E-2</v>
      </c>
      <c r="G70" s="616">
        <f t="shared" si="30"/>
        <v>0.11175343069664301</v>
      </c>
      <c r="H70" s="616">
        <f t="shared" si="30"/>
        <v>0.12606278546724026</v>
      </c>
      <c r="I70" s="16">
        <f>SUM(D70:INDEX(D70:H70,0,MATCH('RFPR cover'!$C$9,$D$6:$H$6,0)))</f>
        <v>0.29263008407103941</v>
      </c>
      <c r="J70" s="18">
        <f>SUM(D70:H70)</f>
        <v>0.62012123801597818</v>
      </c>
      <c r="K70" s="514"/>
      <c r="L70" s="514"/>
      <c r="M70" s="514"/>
      <c r="N70" s="514"/>
      <c r="O70" s="514"/>
      <c r="P70" s="514"/>
      <c r="Q70" s="514"/>
      <c r="R70" s="166"/>
      <c r="S70" s="166"/>
    </row>
    <row r="71" spans="2:20">
      <c r="B71" s="507" t="s">
        <v>490</v>
      </c>
      <c r="C71" s="586" t="str">
        <f>Data!$C$9</f>
        <v>£m 18/19</v>
      </c>
      <c r="D71" s="616">
        <f>D54+D67</f>
        <v>0.13308413752262949</v>
      </c>
      <c r="E71" s="616">
        <f t="shared" ref="E71:H71" si="31">E54+E67</f>
        <v>0.15954594654840992</v>
      </c>
      <c r="F71" s="616">
        <f t="shared" si="31"/>
        <v>8.9674937781055508E-2</v>
      </c>
      <c r="G71" s="616">
        <f t="shared" si="31"/>
        <v>0.11175343069664301</v>
      </c>
      <c r="H71" s="616">
        <f t="shared" si="31"/>
        <v>0.12606278546724026</v>
      </c>
      <c r="I71" s="16">
        <f>SUM(D71:INDEX(D71:H71,0,MATCH('RFPR cover'!$C$9,$D$6:$H$6,0)))</f>
        <v>0.29263008407103941</v>
      </c>
      <c r="J71" s="18">
        <f t="shared" ref="J71" si="32">SUM(D71:H71)</f>
        <v>0.62012123801597818</v>
      </c>
      <c r="K71" s="514"/>
      <c r="L71" s="514"/>
      <c r="M71" s="514"/>
      <c r="N71" s="514"/>
      <c r="O71" s="514"/>
      <c r="P71" s="514"/>
      <c r="Q71" s="514"/>
      <c r="R71" s="166"/>
      <c r="S71" s="166"/>
    </row>
    <row r="72" spans="2:20">
      <c r="B72" s="514" t="s">
        <v>499</v>
      </c>
      <c r="C72" s="594" t="str">
        <f>Data!$C$9</f>
        <v>£m 18/19</v>
      </c>
      <c r="D72" s="616">
        <f>SUM(D70:D71)</f>
        <v>0.26616827504525897</v>
      </c>
      <c r="E72" s="616">
        <f t="shared" ref="E72:H72" si="33">SUM(E70:E71)</f>
        <v>0.31909189309681985</v>
      </c>
      <c r="F72" s="616">
        <f t="shared" si="33"/>
        <v>0.17934987556211102</v>
      </c>
      <c r="G72" s="616">
        <f t="shared" si="33"/>
        <v>0.22350686139328602</v>
      </c>
      <c r="H72" s="616">
        <f t="shared" si="33"/>
        <v>0.25212557093448051</v>
      </c>
      <c r="I72" s="16">
        <f>SUM(D72:INDEX(D72:H72,0,MATCH('RFPR cover'!$C$9,$D$6:$H$6,0)))</f>
        <v>0.58526016814207882</v>
      </c>
      <c r="J72" s="18">
        <f t="shared" ref="J72" si="34">SUM(D72:H72)</f>
        <v>1.2402424760319564</v>
      </c>
      <c r="K72" s="166"/>
      <c r="L72" s="166"/>
      <c r="M72" s="166"/>
      <c r="N72" s="166"/>
      <c r="O72" s="166"/>
      <c r="P72" s="166"/>
      <c r="Q72" s="166"/>
      <c r="R72" s="166"/>
      <c r="S72" s="166"/>
    </row>
    <row r="73" spans="2:20">
      <c r="C73" s="586"/>
      <c r="D73" s="586"/>
      <c r="E73" s="586"/>
      <c r="F73" s="586"/>
      <c r="G73" s="586"/>
      <c r="H73" s="586"/>
      <c r="I73" s="586"/>
      <c r="J73" s="586"/>
      <c r="K73" s="586"/>
      <c r="L73" s="586"/>
      <c r="M73" s="586"/>
      <c r="N73" s="586"/>
      <c r="O73" s="586"/>
      <c r="P73" s="586"/>
      <c r="Q73" s="586"/>
      <c r="R73" s="586"/>
      <c r="S73" s="586"/>
      <c r="T73" s="586"/>
    </row>
    <row r="74" spans="2:20">
      <c r="B74" s="595" t="s">
        <v>501</v>
      </c>
      <c r="C74" s="510"/>
      <c r="D74" s="512"/>
      <c r="E74" s="512"/>
      <c r="F74" s="512"/>
      <c r="G74" s="512"/>
      <c r="H74" s="512"/>
      <c r="I74" s="512"/>
      <c r="J74" s="512"/>
      <c r="K74" s="166"/>
      <c r="L74" s="166"/>
      <c r="M74" s="166"/>
      <c r="N74" s="166"/>
      <c r="O74" s="166"/>
      <c r="P74" s="166"/>
      <c r="Q74" s="166"/>
      <c r="R74" s="166"/>
      <c r="S74" s="166"/>
    </row>
    <row r="75" spans="2:20">
      <c r="D75" s="585"/>
      <c r="E75" s="585"/>
      <c r="F75" s="585"/>
      <c r="G75" s="585"/>
      <c r="H75" s="585"/>
      <c r="I75" s="585"/>
      <c r="J75" s="585"/>
      <c r="K75" s="166"/>
      <c r="L75" s="166"/>
      <c r="M75" s="166"/>
      <c r="N75" s="166"/>
      <c r="O75" s="166"/>
      <c r="P75" s="166"/>
      <c r="Q75" s="166"/>
      <c r="R75" s="166"/>
      <c r="S75" s="166"/>
    </row>
    <row r="76" spans="2:20">
      <c r="B76" s="123" t="s">
        <v>502</v>
      </c>
      <c r="C76" s="586" t="str">
        <f>Data!$C$9</f>
        <v>£m 18/19</v>
      </c>
      <c r="D76" s="587">
        <v>75.708163650952343</v>
      </c>
      <c r="E76" s="587">
        <v>73.528822658811166</v>
      </c>
      <c r="F76" s="587">
        <v>76.033899037446687</v>
      </c>
      <c r="G76" s="587">
        <v>71.975275526479365</v>
      </c>
      <c r="H76" s="587">
        <v>69.957525490222068</v>
      </c>
      <c r="I76" s="622">
        <f>SUM(D76:INDEX(D76:H76,0,MATCH('RFPR cover'!$C$9,$D$6:$H$6,0)))</f>
        <v>149.23698630976349</v>
      </c>
      <c r="J76" s="623">
        <f>SUM(D76:H76)</f>
        <v>367.20368636391163</v>
      </c>
      <c r="K76" s="166"/>
      <c r="L76" s="166"/>
      <c r="M76" s="166"/>
      <c r="N76" s="166"/>
      <c r="O76" s="166"/>
      <c r="P76" s="166"/>
      <c r="Q76" s="166"/>
      <c r="R76" s="166"/>
      <c r="S76" s="166"/>
    </row>
    <row r="77" spans="2:20" ht="16.5" customHeight="1">
      <c r="B77" s="588" t="s">
        <v>503</v>
      </c>
      <c r="C77" s="596" t="str">
        <f>Data!$C$9</f>
        <v>£m 18/19</v>
      </c>
      <c r="D77" s="587">
        <v>80.510613098446782</v>
      </c>
      <c r="E77" s="587">
        <v>79.052077290425927</v>
      </c>
      <c r="F77" s="587">
        <v>77.823813688623503</v>
      </c>
      <c r="G77" s="587">
        <v>77.074837409870796</v>
      </c>
      <c r="H77" s="587">
        <v>76.862455838362536</v>
      </c>
      <c r="I77" s="627">
        <f>SUM(D77:INDEX(D77:H77,0,MATCH('RFPR cover'!$C$9,$D$6:$H$6,0)))</f>
        <v>159.56269038887271</v>
      </c>
      <c r="J77" s="628">
        <f>SUM(D77:H77)</f>
        <v>391.32379732572952</v>
      </c>
      <c r="K77" s="597"/>
      <c r="L77" s="597"/>
      <c r="M77" s="597"/>
      <c r="N77" s="597"/>
      <c r="O77" s="597"/>
      <c r="P77" s="597"/>
      <c r="Q77" s="597"/>
      <c r="R77" s="597"/>
      <c r="S77" s="597"/>
    </row>
    <row r="78" spans="2:20">
      <c r="B78" s="122" t="s">
        <v>487</v>
      </c>
      <c r="C78" s="586" t="str">
        <f>Data!$C$9</f>
        <v>£m 18/19</v>
      </c>
      <c r="D78" s="616">
        <f>D77-D76</f>
        <v>4.802449447494439</v>
      </c>
      <c r="E78" s="616">
        <f t="shared" ref="E78:J78" si="35">E77-E76</f>
        <v>5.5232546316147619</v>
      </c>
      <c r="F78" s="616">
        <f t="shared" si="35"/>
        <v>1.7899146511768151</v>
      </c>
      <c r="G78" s="616">
        <f t="shared" si="35"/>
        <v>5.0995618833914307</v>
      </c>
      <c r="H78" s="616">
        <f t="shared" si="35"/>
        <v>6.9049303481404678</v>
      </c>
      <c r="I78" s="215">
        <f t="shared" si="35"/>
        <v>10.325704079109215</v>
      </c>
      <c r="J78" s="329">
        <f t="shared" si="35"/>
        <v>24.120110961817886</v>
      </c>
      <c r="K78" s="166"/>
      <c r="L78" s="166"/>
      <c r="M78" s="166"/>
      <c r="N78" s="166"/>
      <c r="O78" s="166"/>
      <c r="P78" s="166"/>
      <c r="Q78" s="166"/>
      <c r="R78" s="166"/>
      <c r="S78" s="166"/>
    </row>
    <row r="79" spans="2:20">
      <c r="B79" s="122"/>
      <c r="C79" s="586"/>
      <c r="D79" s="590"/>
      <c r="E79" s="590"/>
      <c r="F79" s="590"/>
      <c r="G79" s="590"/>
      <c r="H79" s="590"/>
      <c r="I79" s="590"/>
      <c r="J79" s="590"/>
      <c r="K79" s="166"/>
      <c r="L79" s="166"/>
      <c r="M79" s="166"/>
      <c r="N79" s="166"/>
      <c r="O79" s="166"/>
      <c r="P79" s="166"/>
      <c r="Q79" s="166"/>
      <c r="R79" s="166"/>
      <c r="S79" s="166"/>
    </row>
    <row r="80" spans="2:20">
      <c r="B80" s="507" t="s">
        <v>488</v>
      </c>
      <c r="C80" s="30" t="s">
        <v>389</v>
      </c>
      <c r="D80" s="626">
        <f>INDEX(Data!$C$56:$C$84,MATCH('RFPR cover'!$C$7,Data!$B$56:$B$84,0),0)</f>
        <v>0.5</v>
      </c>
      <c r="E80" s="626">
        <f>INDEX(Data!$C$56:$C$84,MATCH('RFPR cover'!$C$7,Data!$B$56:$B$84,0),0)</f>
        <v>0.5</v>
      </c>
      <c r="F80" s="626">
        <f>INDEX(Data!$C$56:$C$84,MATCH('RFPR cover'!$C$7,Data!$B$56:$B$84,0),0)</f>
        <v>0.5</v>
      </c>
      <c r="G80" s="626">
        <f>INDEX(Data!$C$56:$C$84,MATCH('RFPR cover'!$C$7,Data!$B$56:$B$84,0),0)</f>
        <v>0.5</v>
      </c>
      <c r="H80" s="626">
        <f>INDEX(Data!$C$56:$C$84,MATCH('RFPR cover'!$C$7,Data!$B$56:$B$84,0),0)</f>
        <v>0.5</v>
      </c>
      <c r="I80" s="592"/>
      <c r="J80" s="592"/>
      <c r="K80" s="166"/>
      <c r="L80" s="166"/>
      <c r="M80" s="166"/>
      <c r="N80" s="166"/>
      <c r="O80" s="166"/>
      <c r="P80" s="166"/>
      <c r="Q80" s="166"/>
      <c r="R80" s="166"/>
      <c r="S80" s="166"/>
    </row>
    <row r="81" spans="2:19">
      <c r="K81" s="166"/>
      <c r="L81" s="166"/>
      <c r="M81" s="166"/>
      <c r="N81" s="166"/>
      <c r="O81" s="166"/>
      <c r="P81" s="166"/>
      <c r="Q81" s="166"/>
      <c r="R81" s="166"/>
      <c r="S81" s="166"/>
    </row>
    <row r="82" spans="2:19">
      <c r="B82" s="507" t="s">
        <v>489</v>
      </c>
      <c r="C82" s="586" t="str">
        <f>Data!$C$9</f>
        <v>£m 18/19</v>
      </c>
      <c r="D82" s="616">
        <f>D78*D80</f>
        <v>2.4012247237472195</v>
      </c>
      <c r="E82" s="616">
        <f t="shared" ref="E82:H82" si="36">E78*E80</f>
        <v>2.761627315807381</v>
      </c>
      <c r="F82" s="616">
        <f t="shared" si="36"/>
        <v>0.89495732558840757</v>
      </c>
      <c r="G82" s="616">
        <f t="shared" si="36"/>
        <v>2.5497809416957153</v>
      </c>
      <c r="H82" s="616">
        <f t="shared" si="36"/>
        <v>3.4524651740702339</v>
      </c>
      <c r="I82" s="70">
        <f>SUM(D82:INDEX(D82:H82,0,MATCH('RFPR cover'!$C$9,$D$6:$H$6,0)))</f>
        <v>5.1628520395546005</v>
      </c>
      <c r="J82" s="118">
        <f>SUM(D82:H82)</f>
        <v>12.060055480908957</v>
      </c>
      <c r="K82" s="166"/>
      <c r="L82" s="166"/>
      <c r="M82" s="166"/>
      <c r="N82" s="166"/>
      <c r="O82" s="166"/>
      <c r="P82" s="166"/>
      <c r="Q82" s="166"/>
      <c r="R82" s="166"/>
      <c r="S82" s="166"/>
    </row>
    <row r="83" spans="2:19">
      <c r="B83" s="507" t="s">
        <v>490</v>
      </c>
      <c r="C83" s="586" t="str">
        <f>Data!$C$9</f>
        <v>£m 18/19</v>
      </c>
      <c r="D83" s="616">
        <f>D78*(1-D80)</f>
        <v>2.4012247237472195</v>
      </c>
      <c r="E83" s="616">
        <f t="shared" ref="E83:H83" si="37">E78*(1-E80)</f>
        <v>2.761627315807381</v>
      </c>
      <c r="F83" s="616">
        <f t="shared" si="37"/>
        <v>0.89495732558840757</v>
      </c>
      <c r="G83" s="616">
        <f t="shared" si="37"/>
        <v>2.5497809416957153</v>
      </c>
      <c r="H83" s="616">
        <f t="shared" si="37"/>
        <v>3.4524651740702339</v>
      </c>
      <c r="I83" s="119">
        <f>SUM(D83:INDEX(D83:H83,0,MATCH('RFPR cover'!$C$9,$D$6:$H$6,0)))</f>
        <v>5.1628520395546005</v>
      </c>
      <c r="J83" s="120">
        <f>SUM(D83:H83)</f>
        <v>12.060055480908957</v>
      </c>
      <c r="K83" s="166"/>
      <c r="L83" s="166"/>
      <c r="M83" s="166"/>
      <c r="N83" s="166"/>
      <c r="O83" s="166"/>
      <c r="P83" s="166"/>
      <c r="Q83" s="166"/>
      <c r="R83" s="166"/>
      <c r="S83" s="166"/>
    </row>
    <row r="84" spans="2:19">
      <c r="C84" s="507"/>
      <c r="D84" s="507"/>
      <c r="E84" s="507"/>
      <c r="F84" s="507"/>
      <c r="G84" s="507"/>
      <c r="H84" s="507"/>
      <c r="I84" s="507"/>
      <c r="J84" s="507"/>
      <c r="K84" s="507"/>
      <c r="L84" s="507"/>
      <c r="M84" s="166"/>
      <c r="N84" s="166"/>
      <c r="O84" s="166"/>
      <c r="P84" s="166"/>
      <c r="Q84" s="166"/>
      <c r="R84" s="166"/>
      <c r="S84" s="166"/>
    </row>
    <row r="85" spans="2:19">
      <c r="B85" s="514" t="s">
        <v>491</v>
      </c>
      <c r="K85" s="507"/>
      <c r="L85" s="507"/>
      <c r="M85" s="166"/>
      <c r="N85" s="166"/>
      <c r="O85" s="166"/>
      <c r="P85" s="166"/>
      <c r="Q85" s="166"/>
      <c r="R85" s="166"/>
      <c r="S85" s="166"/>
    </row>
    <row r="86" spans="2:19">
      <c r="B86" s="520" t="s">
        <v>492</v>
      </c>
      <c r="C86" s="586" t="str">
        <f>Data!$C$9</f>
        <v>£m 18/19</v>
      </c>
      <c r="D86" s="593">
        <v>0</v>
      </c>
      <c r="E86" s="593">
        <v>0</v>
      </c>
      <c r="F86" s="593">
        <v>0</v>
      </c>
      <c r="G86" s="593">
        <v>0</v>
      </c>
      <c r="H86" s="593">
        <v>0</v>
      </c>
      <c r="I86" s="16">
        <f>SUM(D86:INDEX(D86:H86,0,MATCH('RFPR cover'!$C$9,$D$6:$H$6,0)))</f>
        <v>0</v>
      </c>
      <c r="J86" s="18">
        <f>SUM(D86:H86)</f>
        <v>0</v>
      </c>
      <c r="K86" s="507"/>
      <c r="L86" s="507"/>
      <c r="M86" s="166"/>
      <c r="N86" s="166"/>
      <c r="O86" s="166"/>
      <c r="P86" s="166"/>
      <c r="Q86" s="166"/>
      <c r="R86" s="166"/>
      <c r="S86" s="166"/>
    </row>
    <row r="87" spans="2:19">
      <c r="B87" s="520" t="s">
        <v>493</v>
      </c>
      <c r="C87" s="586" t="str">
        <f>Data!$C$9</f>
        <v>£m 18/19</v>
      </c>
      <c r="D87" s="593">
        <v>0</v>
      </c>
      <c r="E87" s="593">
        <v>0</v>
      </c>
      <c r="F87" s="593">
        <v>0</v>
      </c>
      <c r="G87" s="593">
        <v>0</v>
      </c>
      <c r="H87" s="593">
        <v>0</v>
      </c>
      <c r="I87" s="16">
        <f>SUM(D87:INDEX(D87:H87,0,MATCH('RFPR cover'!$C$9,$D$6:$H$6,0)))</f>
        <v>0</v>
      </c>
      <c r="J87" s="18">
        <f t="shared" ref="J87:J88" si="38">SUM(D87:H87)</f>
        <v>0</v>
      </c>
      <c r="K87" s="507"/>
      <c r="L87" s="507"/>
      <c r="M87" s="166"/>
      <c r="N87" s="166"/>
      <c r="O87" s="166"/>
      <c r="P87" s="166"/>
      <c r="Q87" s="166"/>
      <c r="R87" s="166"/>
      <c r="S87" s="166"/>
    </row>
    <row r="88" spans="2:19">
      <c r="B88" s="514" t="s">
        <v>494</v>
      </c>
      <c r="C88" s="586" t="str">
        <f>Data!$C$9</f>
        <v>£m 18/19</v>
      </c>
      <c r="D88" s="616">
        <f>SUM(D86:D87)</f>
        <v>0</v>
      </c>
      <c r="E88" s="616">
        <f t="shared" ref="E88" si="39">SUM(E86:E87)</f>
        <v>0</v>
      </c>
      <c r="F88" s="616">
        <f t="shared" ref="F88" si="40">SUM(F86:F87)</f>
        <v>0</v>
      </c>
      <c r="G88" s="616">
        <f t="shared" ref="G88" si="41">SUM(G86:G87)</f>
        <v>0</v>
      </c>
      <c r="H88" s="616">
        <f t="shared" ref="H88" si="42">SUM(H86:H87)</f>
        <v>0</v>
      </c>
      <c r="I88" s="16">
        <f>SUM(D88:INDEX(D88:H88,0,MATCH('RFPR cover'!$C$9,$D$6:$H$6,0)))</f>
        <v>0</v>
      </c>
      <c r="J88" s="18">
        <f t="shared" si="38"/>
        <v>0</v>
      </c>
      <c r="K88" s="507"/>
      <c r="L88" s="507"/>
      <c r="M88" s="166"/>
      <c r="N88" s="166"/>
      <c r="O88" s="166"/>
      <c r="P88" s="166"/>
      <c r="Q88" s="166"/>
      <c r="R88" s="166"/>
      <c r="S88" s="166"/>
    </row>
    <row r="89" spans="2:19">
      <c r="B89" s="514"/>
      <c r="C89" s="514"/>
      <c r="D89" s="514"/>
      <c r="E89" s="514"/>
      <c r="F89" s="514"/>
      <c r="G89" s="514"/>
      <c r="H89" s="514"/>
      <c r="I89" s="514"/>
      <c r="J89" s="514"/>
      <c r="K89" s="507"/>
      <c r="L89" s="507"/>
      <c r="M89" s="166"/>
      <c r="N89" s="166"/>
      <c r="O89" s="166"/>
      <c r="P89" s="166"/>
      <c r="Q89" s="166"/>
      <c r="R89" s="166"/>
      <c r="S89" s="166"/>
    </row>
    <row r="90" spans="2:19">
      <c r="B90" s="507" t="s">
        <v>496</v>
      </c>
      <c r="C90" s="586"/>
      <c r="D90" s="616">
        <f>D88*D80</f>
        <v>0</v>
      </c>
      <c r="E90" s="616">
        <f t="shared" ref="E90:H90" si="43">E88*E80</f>
        <v>0</v>
      </c>
      <c r="F90" s="616">
        <f t="shared" si="43"/>
        <v>0</v>
      </c>
      <c r="G90" s="616">
        <f t="shared" si="43"/>
        <v>0</v>
      </c>
      <c r="H90" s="616">
        <f t="shared" si="43"/>
        <v>0</v>
      </c>
      <c r="I90" s="19">
        <f>SUM(D90:INDEX(D90:H90,0,MATCH('RFPR cover'!$C$9,$D$6:$H$6,0)))</f>
        <v>0</v>
      </c>
      <c r="J90" s="21">
        <f>SUM(D90:H90)</f>
        <v>0</v>
      </c>
      <c r="K90" s="507"/>
      <c r="L90" s="507"/>
      <c r="M90" s="166"/>
      <c r="N90" s="166"/>
      <c r="O90" s="166"/>
      <c r="P90" s="166"/>
      <c r="Q90" s="166"/>
      <c r="R90" s="166"/>
      <c r="S90" s="166"/>
    </row>
    <row r="91" spans="2:19">
      <c r="B91" s="507" t="s">
        <v>497</v>
      </c>
      <c r="C91" s="586"/>
      <c r="D91" s="616">
        <f>D88*(1-D80)</f>
        <v>0</v>
      </c>
      <c r="E91" s="616">
        <f t="shared" ref="E91:H91" si="44">E88*(1-E80)</f>
        <v>0</v>
      </c>
      <c r="F91" s="616">
        <f t="shared" si="44"/>
        <v>0</v>
      </c>
      <c r="G91" s="616">
        <f t="shared" si="44"/>
        <v>0</v>
      </c>
      <c r="H91" s="616">
        <f t="shared" si="44"/>
        <v>0</v>
      </c>
      <c r="I91" s="16">
        <v>0</v>
      </c>
      <c r="J91" s="18">
        <f>SUM(D91:H91)</f>
        <v>0</v>
      </c>
      <c r="K91" s="507"/>
      <c r="L91" s="507"/>
      <c r="M91" s="166"/>
      <c r="N91" s="166"/>
      <c r="O91" s="166"/>
      <c r="P91" s="166"/>
      <c r="Q91" s="166"/>
      <c r="R91" s="166"/>
      <c r="S91" s="166"/>
    </row>
    <row r="92" spans="2:19">
      <c r="B92" s="514"/>
      <c r="C92" s="514"/>
      <c r="D92" s="514"/>
      <c r="E92" s="514"/>
      <c r="F92" s="514"/>
      <c r="G92" s="514"/>
      <c r="H92" s="514"/>
      <c r="I92" s="514"/>
      <c r="J92" s="514"/>
      <c r="K92" s="507"/>
      <c r="L92" s="507"/>
      <c r="M92" s="166"/>
      <c r="N92" s="166"/>
      <c r="O92" s="166"/>
      <c r="P92" s="166"/>
      <c r="Q92" s="166"/>
      <c r="R92" s="166"/>
      <c r="S92" s="166"/>
    </row>
    <row r="93" spans="2:19">
      <c r="B93" s="514" t="s">
        <v>498</v>
      </c>
      <c r="C93" s="514"/>
      <c r="D93" s="514"/>
      <c r="E93" s="514"/>
      <c r="F93" s="514"/>
      <c r="G93" s="514"/>
      <c r="H93" s="514"/>
      <c r="I93" s="514"/>
      <c r="J93" s="514"/>
      <c r="K93" s="507"/>
      <c r="L93" s="507"/>
      <c r="M93" s="166"/>
      <c r="N93" s="166"/>
      <c r="O93" s="166"/>
      <c r="P93" s="166"/>
      <c r="Q93" s="166"/>
      <c r="R93" s="166"/>
      <c r="S93" s="166"/>
    </row>
    <row r="94" spans="2:19">
      <c r="B94" s="507" t="s">
        <v>489</v>
      </c>
      <c r="C94" s="586" t="str">
        <f>Data!$C$9</f>
        <v>£m 18/19</v>
      </c>
      <c r="D94" s="616">
        <f>D90+D82</f>
        <v>2.4012247237472195</v>
      </c>
      <c r="E94" s="616">
        <f t="shared" ref="E94:H94" si="45">E90+E82</f>
        <v>2.761627315807381</v>
      </c>
      <c r="F94" s="616">
        <f t="shared" si="45"/>
        <v>0.89495732558840757</v>
      </c>
      <c r="G94" s="616">
        <f t="shared" si="45"/>
        <v>2.5497809416957153</v>
      </c>
      <c r="H94" s="616">
        <f t="shared" si="45"/>
        <v>3.4524651740702339</v>
      </c>
      <c r="I94" s="16">
        <f>SUM(D94:INDEX(D94:H94,0,MATCH('RFPR cover'!$C$9,$D$6:$H$6,0)))</f>
        <v>5.1628520395546005</v>
      </c>
      <c r="J94" s="18">
        <f>SUM(D94:H94)</f>
        <v>12.060055480908957</v>
      </c>
      <c r="K94" s="507"/>
      <c r="L94" s="507"/>
      <c r="M94" s="166"/>
      <c r="N94" s="166"/>
      <c r="O94" s="166"/>
      <c r="P94" s="166"/>
      <c r="Q94" s="166"/>
      <c r="R94" s="166"/>
      <c r="S94" s="166"/>
    </row>
    <row r="95" spans="2:19">
      <c r="B95" s="507" t="s">
        <v>490</v>
      </c>
      <c r="C95" s="586" t="str">
        <f>Data!$C$9</f>
        <v>£m 18/19</v>
      </c>
      <c r="D95" s="616">
        <f>D83+D91</f>
        <v>2.4012247237472195</v>
      </c>
      <c r="E95" s="616">
        <f t="shared" ref="E95:H95" si="46">E83+E91</f>
        <v>2.761627315807381</v>
      </c>
      <c r="F95" s="616">
        <f t="shared" si="46"/>
        <v>0.89495732558840757</v>
      </c>
      <c r="G95" s="616">
        <f t="shared" si="46"/>
        <v>2.5497809416957153</v>
      </c>
      <c r="H95" s="616">
        <f t="shared" si="46"/>
        <v>3.4524651740702339</v>
      </c>
      <c r="I95" s="16">
        <f>SUM(D95:INDEX(D95:H95,0,MATCH('RFPR cover'!$C$9,$D$6:$H$6,0)))</f>
        <v>5.1628520395546005</v>
      </c>
      <c r="J95" s="18">
        <f t="shared" ref="J95:J96" si="47">SUM(D95:H95)</f>
        <v>12.060055480908957</v>
      </c>
      <c r="K95" s="507"/>
      <c r="L95" s="507"/>
      <c r="M95" s="166"/>
      <c r="N95" s="166"/>
      <c r="O95" s="166"/>
      <c r="P95" s="166"/>
      <c r="Q95" s="166"/>
      <c r="R95" s="166"/>
      <c r="S95" s="166"/>
    </row>
    <row r="96" spans="2:19">
      <c r="B96" s="514" t="s">
        <v>499</v>
      </c>
      <c r="C96" s="594" t="str">
        <f>Data!$C$9</f>
        <v>£m 18/19</v>
      </c>
      <c r="D96" s="616">
        <f>SUM(D94:D95)</f>
        <v>4.802449447494439</v>
      </c>
      <c r="E96" s="616">
        <f t="shared" ref="E96:H96" si="48">SUM(E94:E95)</f>
        <v>5.5232546316147619</v>
      </c>
      <c r="F96" s="616">
        <f t="shared" si="48"/>
        <v>1.7899146511768151</v>
      </c>
      <c r="G96" s="616">
        <f t="shared" si="48"/>
        <v>5.0995618833914307</v>
      </c>
      <c r="H96" s="616">
        <f t="shared" si="48"/>
        <v>6.9049303481404678</v>
      </c>
      <c r="I96" s="16">
        <f>SUM(D96:INDEX(D96:H96,0,MATCH('RFPR cover'!$C$9,$D$6:$H$6,0)))</f>
        <v>10.325704079109201</v>
      </c>
      <c r="J96" s="18">
        <f t="shared" si="47"/>
        <v>24.120110961817915</v>
      </c>
      <c r="K96" s="166"/>
      <c r="L96" s="166"/>
      <c r="M96" s="166"/>
      <c r="N96" s="166"/>
      <c r="O96" s="166"/>
      <c r="P96" s="166"/>
      <c r="Q96" s="166"/>
      <c r="R96" s="166"/>
      <c r="S96" s="166"/>
    </row>
    <row r="97" spans="2:19">
      <c r="K97" s="166"/>
      <c r="L97" s="166"/>
      <c r="M97" s="166"/>
      <c r="N97" s="166"/>
      <c r="O97" s="166"/>
      <c r="P97" s="166"/>
      <c r="Q97" s="166"/>
      <c r="R97" s="166"/>
      <c r="S97" s="166"/>
    </row>
    <row r="98" spans="2:19">
      <c r="B98" s="509" t="s">
        <v>504</v>
      </c>
      <c r="C98" s="510"/>
      <c r="D98" s="512"/>
      <c r="E98" s="512"/>
      <c r="F98" s="512"/>
      <c r="G98" s="512"/>
      <c r="H98" s="512"/>
      <c r="I98" s="512"/>
      <c r="J98" s="512"/>
      <c r="Q98" s="166"/>
      <c r="R98" s="166"/>
      <c r="S98" s="166"/>
    </row>
    <row r="99" spans="2:19">
      <c r="K99" s="166"/>
      <c r="L99" s="166"/>
      <c r="M99" s="166"/>
      <c r="N99" s="166"/>
      <c r="O99" s="166"/>
      <c r="P99" s="166"/>
      <c r="Q99" s="166"/>
      <c r="R99" s="166"/>
      <c r="S99" s="166"/>
    </row>
    <row r="100" spans="2:19">
      <c r="B100" s="514" t="s">
        <v>505</v>
      </c>
      <c r="Q100" s="166"/>
      <c r="R100" s="166"/>
      <c r="S100" s="166"/>
    </row>
    <row r="101" spans="2:19">
      <c r="B101" s="507" t="s">
        <v>506</v>
      </c>
      <c r="C101" s="586" t="str">
        <f>Data!$C$9</f>
        <v>£m 18/19</v>
      </c>
      <c r="D101" s="616">
        <f t="shared" ref="D101:H102" si="49">D41+D70+D94</f>
        <v>13.810095494214806</v>
      </c>
      <c r="E101" s="616">
        <f t="shared" si="49"/>
        <v>5.7549418253399383</v>
      </c>
      <c r="F101" s="616">
        <f t="shared" si="49"/>
        <v>2.8226802283841015</v>
      </c>
      <c r="G101" s="616">
        <f t="shared" si="49"/>
        <v>5.5023431029974343</v>
      </c>
      <c r="H101" s="616">
        <f t="shared" si="49"/>
        <v>7.2019819687318645</v>
      </c>
      <c r="I101" s="16">
        <f>SUM(D101:INDEX(D101:H101,0,MATCH('RFPR cover'!$C$9,$D$6:$H$6,0)))</f>
        <v>19.565037319554744</v>
      </c>
      <c r="J101" s="18">
        <f>SUM(D101:H101)</f>
        <v>35.092042619668142</v>
      </c>
      <c r="Q101" s="166"/>
      <c r="R101" s="546"/>
      <c r="S101" s="166"/>
    </row>
    <row r="102" spans="2:19">
      <c r="B102" s="507" t="s">
        <v>490</v>
      </c>
      <c r="C102" s="586" t="str">
        <f>Data!$C$9</f>
        <v>£m 18/19</v>
      </c>
      <c r="D102" s="616">
        <f t="shared" si="49"/>
        <v>13.810095494214806</v>
      </c>
      <c r="E102" s="616">
        <f t="shared" si="49"/>
        <v>5.7549418253399383</v>
      </c>
      <c r="F102" s="616">
        <f t="shared" si="49"/>
        <v>2.8226802283841015</v>
      </c>
      <c r="G102" s="616">
        <f t="shared" si="49"/>
        <v>5.5023431029974343</v>
      </c>
      <c r="H102" s="616">
        <f t="shared" si="49"/>
        <v>7.2019819687318645</v>
      </c>
      <c r="I102" s="16">
        <f>SUM(D102:INDEX(D102:H102,0,MATCH('RFPR cover'!$C$9,$D$6:$H$6,0)))</f>
        <v>19.565037319554744</v>
      </c>
      <c r="J102" s="18">
        <f t="shared" ref="J102:J103" si="50">SUM(D102:H102)</f>
        <v>35.092042619668142</v>
      </c>
      <c r="Q102" s="166"/>
      <c r="R102" s="166"/>
      <c r="S102" s="166"/>
    </row>
    <row r="103" spans="2:19">
      <c r="B103" s="514" t="s">
        <v>507</v>
      </c>
      <c r="C103" s="594" t="str">
        <f>Data!$C$9</f>
        <v>£m 18/19</v>
      </c>
      <c r="D103" s="616">
        <f>SUM(D101:D102)</f>
        <v>27.620190988429613</v>
      </c>
      <c r="E103" s="616">
        <f t="shared" ref="E103:H103" si="51">SUM(E101:E102)</f>
        <v>11.509883650679877</v>
      </c>
      <c r="F103" s="616">
        <f t="shared" si="51"/>
        <v>5.645360456768203</v>
      </c>
      <c r="G103" s="616">
        <f t="shared" si="51"/>
        <v>11.004686205994869</v>
      </c>
      <c r="H103" s="616">
        <f t="shared" si="51"/>
        <v>14.403963937463729</v>
      </c>
      <c r="I103" s="16">
        <f>SUM(D103:INDEX(D103:H103,0,MATCH('RFPR cover'!$C$9,$D$6:$H$6,0)))</f>
        <v>39.130074639109488</v>
      </c>
      <c r="J103" s="18">
        <f t="shared" si="50"/>
        <v>70.184085239336284</v>
      </c>
      <c r="Q103" s="166"/>
      <c r="R103" s="166"/>
      <c r="S103" s="166"/>
    </row>
    <row r="104" spans="2:19">
      <c r="B104" s="514"/>
      <c r="C104" s="594"/>
      <c r="D104" s="594"/>
      <c r="E104" s="594"/>
      <c r="F104" s="594"/>
      <c r="G104" s="594"/>
      <c r="H104" s="594"/>
      <c r="I104" s="594"/>
      <c r="J104" s="594"/>
      <c r="Q104" s="166"/>
      <c r="R104" s="166"/>
      <c r="S104" s="166"/>
    </row>
    <row r="105" spans="2:19">
      <c r="B105" s="578" t="s">
        <v>508</v>
      </c>
      <c r="C105" s="579"/>
      <c r="D105" s="579"/>
      <c r="E105" s="579"/>
      <c r="F105" s="579"/>
      <c r="G105" s="579"/>
      <c r="H105" s="580"/>
      <c r="I105" s="580"/>
      <c r="J105" s="580"/>
    </row>
    <row r="107" spans="2:19">
      <c r="B107" s="464"/>
    </row>
    <row r="108" spans="2:19">
      <c r="B108" s="598"/>
      <c r="D108" s="463" t="str">
        <f t="shared" ref="D108:H108" si="52">IF(D109&lt;=Reporting_Year,"Actuals","N/A")</f>
        <v>Actuals</v>
      </c>
      <c r="E108" s="599" t="str">
        <f t="shared" si="52"/>
        <v>Actuals</v>
      </c>
      <c r="F108" s="599" t="str">
        <f t="shared" si="52"/>
        <v>N/A</v>
      </c>
      <c r="G108" s="599" t="str">
        <f t="shared" si="52"/>
        <v>N/A</v>
      </c>
      <c r="H108" s="599" t="str">
        <f t="shared" si="52"/>
        <v>N/A</v>
      </c>
    </row>
    <row r="109" spans="2:19">
      <c r="B109" s="464"/>
      <c r="D109" s="575">
        <f>'RFPR cover'!$C$6</f>
        <v>2022</v>
      </c>
      <c r="E109" s="576">
        <f t="shared" ref="E109:H109" si="53">D109+1</f>
        <v>2023</v>
      </c>
      <c r="F109" s="576">
        <f t="shared" si="53"/>
        <v>2024</v>
      </c>
      <c r="G109" s="576">
        <f t="shared" si="53"/>
        <v>2025</v>
      </c>
      <c r="H109" s="576">
        <f t="shared" si="53"/>
        <v>2026</v>
      </c>
    </row>
    <row r="110" spans="2:19">
      <c r="B110" s="464"/>
      <c r="D110" s="468" t="str">
        <f>RIIO_2_start_date-1&amp;"/"&amp;RIGHT(RIIO_2_start_date,2)</f>
        <v>2021/22</v>
      </c>
      <c r="E110" s="468" t="str">
        <f>RIIO_2_start_date&amp;"/"&amp;RIGHT(RIIO_2_start_date+1,2)</f>
        <v>2022/23</v>
      </c>
      <c r="F110" s="468" t="str">
        <f>RIIO_2_start_date+1&amp;"/"&amp;RIGHT(RIIO_2_start_date+2,2)</f>
        <v>2023/24</v>
      </c>
      <c r="G110" s="468" t="str">
        <f>RIIO_2_start_date+2&amp;"/"&amp;RIGHT(RIIO_2_start_date+3,2)</f>
        <v>2024/25</v>
      </c>
      <c r="H110" s="468" t="str">
        <f>RIIO_2_start_date+3&amp;"/"&amp;RIGHT(RIIO_2_start_date+4,2)</f>
        <v>2025/26</v>
      </c>
    </row>
    <row r="111" spans="2:19">
      <c r="B111" s="464"/>
      <c r="D111" s="30"/>
      <c r="E111" s="30"/>
      <c r="F111" s="30"/>
      <c r="G111" s="30"/>
      <c r="H111" s="30"/>
      <c r="I111" s="30"/>
    </row>
    <row r="112" spans="2:19">
      <c r="B112" s="600" t="s">
        <v>509</v>
      </c>
      <c r="C112" s="42"/>
      <c r="D112" s="600"/>
      <c r="E112" s="600"/>
      <c r="F112" s="600"/>
      <c r="G112" s="600"/>
      <c r="H112" s="600"/>
      <c r="Q112" s="166"/>
    </row>
    <row r="113" spans="1:19">
      <c r="B113" s="520" t="s">
        <v>510</v>
      </c>
      <c r="C113" s="30" t="s">
        <v>425</v>
      </c>
      <c r="D113" s="519">
        <v>778</v>
      </c>
      <c r="E113" s="519">
        <v>886</v>
      </c>
      <c r="F113" s="519"/>
      <c r="G113" s="519"/>
      <c r="H113" s="519"/>
    </row>
    <row r="114" spans="1:19">
      <c r="B114" s="520" t="s">
        <v>511</v>
      </c>
      <c r="C114" s="30" t="s">
        <v>425</v>
      </c>
      <c r="D114" s="601">
        <v>3</v>
      </c>
      <c r="E114" s="593">
        <v>2.2301176700000003</v>
      </c>
      <c r="F114" s="593"/>
      <c r="G114" s="519"/>
      <c r="H114" s="519"/>
    </row>
    <row r="115" spans="1:19">
      <c r="B115" s="520" t="s">
        <v>512</v>
      </c>
      <c r="C115" s="30" t="s">
        <v>425</v>
      </c>
      <c r="D115" s="601">
        <v>-2</v>
      </c>
      <c r="E115" s="593">
        <v>-3</v>
      </c>
      <c r="F115" s="593"/>
      <c r="G115" s="593"/>
      <c r="H115" s="593"/>
    </row>
    <row r="116" spans="1:19">
      <c r="B116" s="520" t="s">
        <v>513</v>
      </c>
      <c r="C116" s="30" t="s">
        <v>425</v>
      </c>
      <c r="D116" s="519">
        <v>-52.795570429999998</v>
      </c>
      <c r="E116" s="519">
        <v>-52.275568610000008</v>
      </c>
      <c r="F116" s="519"/>
      <c r="G116" s="519"/>
      <c r="H116" s="519"/>
    </row>
    <row r="117" spans="1:19">
      <c r="B117" s="520" t="s">
        <v>514</v>
      </c>
      <c r="C117" s="30" t="s">
        <v>425</v>
      </c>
      <c r="D117" s="601">
        <v>0</v>
      </c>
      <c r="E117" s="593">
        <v>0</v>
      </c>
      <c r="F117" s="593"/>
      <c r="G117" s="593"/>
      <c r="H117" s="593"/>
      <c r="R117" s="166"/>
      <c r="S117" s="166"/>
    </row>
    <row r="118" spans="1:19">
      <c r="B118" s="520" t="s">
        <v>515</v>
      </c>
      <c r="C118" s="30" t="s">
        <v>425</v>
      </c>
      <c r="D118" s="602">
        <v>0</v>
      </c>
      <c r="E118" s="603">
        <v>0</v>
      </c>
      <c r="F118" s="603"/>
      <c r="G118" s="603"/>
      <c r="H118" s="603"/>
    </row>
    <row r="119" spans="1:19">
      <c r="A119" s="598">
        <v>1</v>
      </c>
      <c r="B119" s="520" t="s">
        <v>446</v>
      </c>
      <c r="C119" s="30" t="s">
        <v>425</v>
      </c>
      <c r="D119" s="519">
        <v>0</v>
      </c>
      <c r="E119" s="604">
        <v>0</v>
      </c>
      <c r="F119" s="604"/>
      <c r="G119" s="604"/>
      <c r="H119" s="604"/>
    </row>
    <row r="120" spans="1:19">
      <c r="A120" s="598">
        <v>2</v>
      </c>
      <c r="B120" s="520" t="s">
        <v>446</v>
      </c>
      <c r="C120" s="30" t="s">
        <v>425</v>
      </c>
      <c r="D120" s="601">
        <v>0</v>
      </c>
      <c r="E120" s="593">
        <v>0</v>
      </c>
      <c r="F120" s="593"/>
      <c r="G120" s="593"/>
      <c r="H120" s="593"/>
    </row>
    <row r="121" spans="1:19">
      <c r="A121" s="598">
        <v>3</v>
      </c>
      <c r="B121" s="520" t="s">
        <v>443</v>
      </c>
      <c r="C121" s="30" t="s">
        <v>425</v>
      </c>
      <c r="D121" s="605">
        <v>0</v>
      </c>
      <c r="E121" s="606">
        <v>0</v>
      </c>
      <c r="F121" s="606"/>
      <c r="G121" s="606"/>
      <c r="H121" s="606"/>
    </row>
    <row r="122" spans="1:19">
      <c r="B122" s="600" t="s">
        <v>516</v>
      </c>
      <c r="C122" s="30" t="s">
        <v>425</v>
      </c>
      <c r="D122" s="629">
        <f t="shared" ref="D122:H122" si="54">SUM(D113:D121)</f>
        <v>726.20442957</v>
      </c>
      <c r="E122" s="630">
        <f t="shared" si="54"/>
        <v>832.95454905999998</v>
      </c>
      <c r="F122" s="630">
        <f t="shared" si="54"/>
        <v>0</v>
      </c>
      <c r="G122" s="630">
        <f t="shared" si="54"/>
        <v>0</v>
      </c>
      <c r="H122" s="631">
        <f t="shared" si="54"/>
        <v>0</v>
      </c>
    </row>
    <row r="123" spans="1:19">
      <c r="B123" s="600"/>
      <c r="C123" s="600"/>
      <c r="D123" s="600"/>
      <c r="E123" s="600"/>
      <c r="F123" s="600"/>
      <c r="G123" s="600"/>
      <c r="H123" s="600"/>
      <c r="I123" s="600"/>
      <c r="J123" s="600"/>
      <c r="K123" s="600"/>
      <c r="L123" s="600"/>
      <c r="M123" s="600"/>
    </row>
    <row r="124" spans="1:19">
      <c r="A124" s="598"/>
      <c r="B124" s="520" t="s">
        <v>517</v>
      </c>
      <c r="C124" s="30" t="s">
        <v>425</v>
      </c>
      <c r="D124" s="519">
        <v>402.46512377000005</v>
      </c>
      <c r="E124" s="519">
        <v>422.04473989999997</v>
      </c>
      <c r="F124" s="519"/>
      <c r="G124" s="519"/>
      <c r="H124" s="519"/>
    </row>
    <row r="125" spans="1:19" ht="21" customHeight="1">
      <c r="A125" s="598"/>
      <c r="B125" s="607" t="s">
        <v>518</v>
      </c>
      <c r="C125" s="598"/>
      <c r="D125" s="598"/>
      <c r="E125" s="598"/>
      <c r="F125" s="598"/>
      <c r="G125" s="598"/>
      <c r="H125" s="598"/>
      <c r="I125" s="598"/>
      <c r="J125" s="598"/>
      <c r="K125" s="30"/>
    </row>
    <row r="126" spans="1:19">
      <c r="A126" s="598">
        <v>1</v>
      </c>
      <c r="B126" s="520" t="s">
        <v>519</v>
      </c>
      <c r="C126" s="30" t="s">
        <v>425</v>
      </c>
      <c r="D126" s="519">
        <v>896.53487623000001</v>
      </c>
      <c r="E126" s="604">
        <v>972.95526010000003</v>
      </c>
      <c r="F126" s="604"/>
      <c r="G126" s="604"/>
      <c r="H126" s="608"/>
    </row>
    <row r="127" spans="1:19">
      <c r="A127" s="598">
        <v>2</v>
      </c>
      <c r="B127" s="520" t="s">
        <v>446</v>
      </c>
      <c r="C127" s="30" t="s">
        <v>425</v>
      </c>
      <c r="D127" s="601">
        <v>0</v>
      </c>
      <c r="E127" s="593">
        <v>0</v>
      </c>
      <c r="F127" s="593"/>
      <c r="G127" s="593"/>
      <c r="H127" s="609"/>
    </row>
    <row r="128" spans="1:19">
      <c r="A128" s="598">
        <v>3</v>
      </c>
      <c r="B128" s="520" t="s">
        <v>443</v>
      </c>
      <c r="C128" s="30" t="s">
        <v>425</v>
      </c>
      <c r="D128" s="602">
        <v>0</v>
      </c>
      <c r="E128" s="603">
        <v>0</v>
      </c>
      <c r="F128" s="603"/>
      <c r="G128" s="603"/>
      <c r="H128" s="610"/>
    </row>
    <row r="129" spans="1:14">
      <c r="A129" s="598"/>
      <c r="B129" s="600" t="s">
        <v>520</v>
      </c>
      <c r="C129" s="30" t="s">
        <v>425</v>
      </c>
      <c r="D129" s="632">
        <f>SUM(D126:D128)</f>
        <v>896.53487623000001</v>
      </c>
      <c r="E129" s="632">
        <f t="shared" ref="E129:H129" si="55">SUM(E126:E128)</f>
        <v>972.95526010000003</v>
      </c>
      <c r="F129" s="632">
        <f t="shared" si="55"/>
        <v>0</v>
      </c>
      <c r="G129" s="632">
        <f t="shared" si="55"/>
        <v>0</v>
      </c>
      <c r="H129" s="632">
        <f t="shared" si="55"/>
        <v>0</v>
      </c>
    </row>
    <row r="130" spans="1:14">
      <c r="A130" s="598"/>
      <c r="B130" s="600"/>
      <c r="C130" s="600"/>
      <c r="D130" s="600"/>
      <c r="E130" s="600"/>
      <c r="F130" s="600"/>
      <c r="G130" s="600"/>
      <c r="H130" s="600"/>
      <c r="I130" s="600"/>
      <c r="J130" s="600"/>
      <c r="K130" s="600"/>
      <c r="L130" s="600"/>
      <c r="M130" s="600"/>
      <c r="N130" s="600"/>
    </row>
    <row r="131" spans="1:14" s="607" customFormat="1" ht="15" customHeight="1">
      <c r="B131" s="611" t="s">
        <v>521</v>
      </c>
      <c r="C131" s="197" t="s">
        <v>425</v>
      </c>
      <c r="D131" s="616">
        <f>SUM(D122,D124,D129)</f>
        <v>2025.20442957</v>
      </c>
      <c r="E131" s="616">
        <f t="shared" ref="E131:H131" si="56">SUM(E122,E124,E129)</f>
        <v>2227.9545490599999</v>
      </c>
      <c r="F131" s="616">
        <f t="shared" si="56"/>
        <v>0</v>
      </c>
      <c r="G131" s="616">
        <f t="shared" si="56"/>
        <v>0</v>
      </c>
      <c r="H131" s="616">
        <f t="shared" si="56"/>
        <v>0</v>
      </c>
    </row>
    <row r="132" spans="1:14" ht="10.5" customHeight="1">
      <c r="B132" s="464"/>
      <c r="D132" s="612"/>
      <c r="E132" s="612"/>
      <c r="F132" s="612"/>
      <c r="G132" s="612"/>
      <c r="H132" s="612"/>
    </row>
    <row r="133" spans="1:14" ht="26.45" customHeight="1">
      <c r="B133" s="600" t="s">
        <v>522</v>
      </c>
    </row>
    <row r="134" spans="1:14">
      <c r="B134" s="613" t="s">
        <v>523</v>
      </c>
    </row>
    <row r="135" spans="1:14">
      <c r="A135" s="598">
        <v>1</v>
      </c>
      <c r="B135" s="520" t="s">
        <v>517</v>
      </c>
      <c r="C135" s="30" t="s">
        <v>425</v>
      </c>
      <c r="D135" s="614">
        <v>-402.46512377000005</v>
      </c>
      <c r="E135" s="614">
        <v>-422.04473989999997</v>
      </c>
      <c r="F135" s="614"/>
      <c r="G135" s="614"/>
      <c r="H135" s="614"/>
    </row>
    <row r="136" spans="1:14" ht="6.95" customHeight="1">
      <c r="A136" s="598"/>
      <c r="B136" s="598"/>
      <c r="C136" s="598"/>
      <c r="D136" s="598"/>
      <c r="E136" s="598"/>
    </row>
    <row r="137" spans="1:14">
      <c r="A137" s="598">
        <v>2</v>
      </c>
      <c r="B137" s="520" t="s">
        <v>1033</v>
      </c>
      <c r="C137" s="30" t="s">
        <v>425</v>
      </c>
      <c r="D137" s="614">
        <v>-10.403745859999999</v>
      </c>
      <c r="E137" s="614">
        <v>-12.348713369999999</v>
      </c>
      <c r="F137" s="614"/>
      <c r="G137" s="614"/>
      <c r="H137" s="614"/>
    </row>
    <row r="138" spans="1:14">
      <c r="A138" s="598">
        <v>3</v>
      </c>
      <c r="B138" s="520" t="s">
        <v>1034</v>
      </c>
      <c r="C138" s="30" t="s">
        <v>425</v>
      </c>
      <c r="D138" s="614">
        <v>1.79347046</v>
      </c>
      <c r="E138" s="614">
        <v>2.6852506800000002</v>
      </c>
      <c r="F138" s="614"/>
      <c r="G138" s="614"/>
      <c r="H138" s="614"/>
    </row>
    <row r="139" spans="1:14">
      <c r="A139" s="598">
        <v>4</v>
      </c>
      <c r="B139" s="520" t="s">
        <v>1035</v>
      </c>
      <c r="C139" s="30" t="s">
        <v>425</v>
      </c>
      <c r="D139" s="614">
        <v>-4.6525753400000003</v>
      </c>
      <c r="E139" s="614">
        <v>-6.1055971900000001</v>
      </c>
      <c r="F139" s="614"/>
      <c r="G139" s="614"/>
      <c r="H139" s="614"/>
    </row>
    <row r="140" spans="1:14">
      <c r="A140" s="598">
        <v>5</v>
      </c>
      <c r="B140" s="520" t="s">
        <v>1036</v>
      </c>
      <c r="C140" s="30" t="s">
        <v>425</v>
      </c>
      <c r="D140" s="614">
        <v>-9.5392999500000002</v>
      </c>
      <c r="E140" s="614">
        <v>-20.840480009999997</v>
      </c>
      <c r="F140" s="614"/>
      <c r="G140" s="614"/>
      <c r="H140" s="614"/>
    </row>
    <row r="141" spans="1:14">
      <c r="A141" s="598">
        <v>6</v>
      </c>
      <c r="B141" s="520" t="s">
        <v>1037</v>
      </c>
      <c r="C141" s="30" t="s">
        <v>425</v>
      </c>
      <c r="D141" s="614">
        <v>2.271888659203237</v>
      </c>
      <c r="E141" s="614">
        <v>1.4671839954818382</v>
      </c>
      <c r="F141" s="614"/>
      <c r="G141" s="614"/>
      <c r="H141" s="614"/>
    </row>
    <row r="142" spans="1:14">
      <c r="A142" s="598">
        <v>7</v>
      </c>
      <c r="B142" s="520" t="s">
        <v>1038</v>
      </c>
      <c r="C142" s="30" t="s">
        <v>425</v>
      </c>
      <c r="D142" s="614">
        <v>1.3708620000000005E-2</v>
      </c>
      <c r="E142" s="614">
        <v>-6.0820190800000002</v>
      </c>
      <c r="F142" s="614"/>
      <c r="G142" s="614"/>
      <c r="H142" s="614"/>
    </row>
    <row r="143" spans="1:14">
      <c r="A143" s="598">
        <v>8</v>
      </c>
      <c r="B143" s="520" t="s">
        <v>1039</v>
      </c>
      <c r="C143" s="30" t="s">
        <v>425</v>
      </c>
      <c r="D143" s="614">
        <v>10.0745662</v>
      </c>
      <c r="E143" s="614">
        <v>12.826214850000001</v>
      </c>
      <c r="F143" s="614"/>
      <c r="G143" s="614"/>
      <c r="H143" s="614"/>
    </row>
    <row r="144" spans="1:14">
      <c r="A144" s="598">
        <v>9</v>
      </c>
      <c r="B144" s="520" t="s">
        <v>1040</v>
      </c>
      <c r="C144" s="30" t="s">
        <v>425</v>
      </c>
      <c r="D144" s="614">
        <v>-8.8624058323207784</v>
      </c>
      <c r="E144" s="614">
        <v>-8.8170855893074123</v>
      </c>
      <c r="F144" s="614"/>
      <c r="G144" s="614"/>
      <c r="H144" s="614"/>
    </row>
    <row r="145" spans="1:19">
      <c r="A145" s="598">
        <v>10</v>
      </c>
      <c r="B145" s="520" t="s">
        <v>1041</v>
      </c>
      <c r="C145" s="30" t="s">
        <v>425</v>
      </c>
      <c r="D145" s="614">
        <v>-7.1329575300000014</v>
      </c>
      <c r="E145" s="614">
        <v>-0.11766795621000002</v>
      </c>
      <c r="F145" s="614"/>
      <c r="G145" s="614"/>
      <c r="H145" s="614"/>
    </row>
    <row r="146" spans="1:19">
      <c r="A146" s="598">
        <v>11</v>
      </c>
      <c r="B146" s="520" t="s">
        <v>1042</v>
      </c>
      <c r="C146" s="30" t="s">
        <v>425</v>
      </c>
      <c r="D146" s="614">
        <v>-3.1436647999999998</v>
      </c>
      <c r="E146" s="614">
        <v>-7.5032499599999998</v>
      </c>
      <c r="F146" s="614"/>
      <c r="G146" s="614"/>
      <c r="H146" s="614"/>
    </row>
    <row r="147" spans="1:19">
      <c r="A147" s="598">
        <v>12</v>
      </c>
      <c r="B147" s="520" t="s">
        <v>1043</v>
      </c>
      <c r="C147" s="30" t="s">
        <v>425</v>
      </c>
      <c r="D147" s="614">
        <v>-1.2276182099999999</v>
      </c>
      <c r="E147" s="614">
        <v>-1.3463770400000001</v>
      </c>
      <c r="F147" s="614"/>
      <c r="G147" s="614"/>
      <c r="H147" s="614"/>
    </row>
    <row r="148" spans="1:19">
      <c r="A148" s="598">
        <v>13</v>
      </c>
      <c r="B148" s="520" t="s">
        <v>1044</v>
      </c>
      <c r="C148" s="30" t="s">
        <v>425</v>
      </c>
      <c r="D148" s="614">
        <v>0.62262600000000001</v>
      </c>
      <c r="E148" s="614">
        <v>2.1177222325000002</v>
      </c>
      <c r="F148" s="614"/>
      <c r="G148" s="614"/>
      <c r="H148" s="614"/>
    </row>
    <row r="149" spans="1:19">
      <c r="A149" s="598">
        <v>14</v>
      </c>
      <c r="B149" s="520" t="s">
        <v>1045</v>
      </c>
      <c r="C149" s="30" t="s">
        <v>425</v>
      </c>
      <c r="D149" s="614">
        <v>5.7517872397326855</v>
      </c>
      <c r="E149" s="614">
        <v>5.7223739629771577</v>
      </c>
      <c r="F149" s="614"/>
      <c r="G149" s="614"/>
      <c r="H149" s="614"/>
    </row>
    <row r="150" spans="1:19">
      <c r="A150" s="598">
        <v>15</v>
      </c>
      <c r="B150" s="520" t="s">
        <v>1046</v>
      </c>
      <c r="C150" s="30" t="s">
        <v>425</v>
      </c>
      <c r="D150" s="614">
        <v>0.70757203000000002</v>
      </c>
      <c r="E150" s="614">
        <v>0.55837178523449893</v>
      </c>
      <c r="F150" s="614"/>
      <c r="G150" s="614"/>
      <c r="H150" s="614"/>
    </row>
    <row r="151" spans="1:19">
      <c r="A151" s="598">
        <v>16</v>
      </c>
      <c r="B151" s="520" t="s">
        <v>1047</v>
      </c>
      <c r="C151" s="30" t="s">
        <v>425</v>
      </c>
      <c r="D151" s="614">
        <v>-3.2457352284438898E-2</v>
      </c>
      <c r="E151" s="614">
        <v>-4.4953811088703333E-2</v>
      </c>
      <c r="F151" s="614"/>
      <c r="G151" s="614"/>
      <c r="H151" s="614"/>
    </row>
    <row r="152" spans="1:19">
      <c r="A152" s="598">
        <v>17</v>
      </c>
      <c r="B152" s="520" t="s">
        <v>1048</v>
      </c>
      <c r="C152" s="30" t="s">
        <v>425</v>
      </c>
      <c r="D152" s="614">
        <v>-737.40030186000331</v>
      </c>
      <c r="E152" s="614">
        <v>-801.42288615852101</v>
      </c>
      <c r="F152" s="614"/>
      <c r="G152" s="614"/>
      <c r="H152" s="614"/>
    </row>
    <row r="153" spans="1:19" ht="18.600000000000001" customHeight="1">
      <c r="A153" s="598"/>
      <c r="B153" s="464" t="s">
        <v>524</v>
      </c>
      <c r="C153" s="30" t="s">
        <v>425</v>
      </c>
      <c r="D153" s="633">
        <f>SUM(D137:D152)</f>
        <v>-761.15940752567258</v>
      </c>
      <c r="E153" s="633">
        <f>SUM(E137:E152)</f>
        <v>-839.25191265893363</v>
      </c>
      <c r="F153" s="633">
        <f>SUM(F137:F152)</f>
        <v>0</v>
      </c>
      <c r="G153" s="633">
        <f>SUM(G137:G152)</f>
        <v>0</v>
      </c>
      <c r="H153" s="633">
        <f>SUM(H137:H152)</f>
        <v>0</v>
      </c>
    </row>
    <row r="154" spans="1:19">
      <c r="A154" s="598"/>
      <c r="B154" s="613" t="s">
        <v>525</v>
      </c>
      <c r="C154" s="600"/>
      <c r="D154" s="600"/>
      <c r="E154" s="600"/>
      <c r="F154" s="600"/>
      <c r="G154" s="600"/>
      <c r="H154" s="600"/>
    </row>
    <row r="155" spans="1:19">
      <c r="A155" s="598">
        <v>15</v>
      </c>
      <c r="B155" s="520" t="s">
        <v>1049</v>
      </c>
      <c r="C155" s="30" t="s">
        <v>425</v>
      </c>
      <c r="D155" s="519">
        <v>-2.50674624</v>
      </c>
      <c r="E155" s="519">
        <v>-1.8582495141923483</v>
      </c>
      <c r="F155" s="519"/>
      <c r="G155" s="519"/>
      <c r="H155" s="519"/>
    </row>
    <row r="156" spans="1:19">
      <c r="A156" s="598">
        <v>16</v>
      </c>
      <c r="B156" s="520" t="s">
        <v>1050</v>
      </c>
      <c r="C156" s="30" t="s">
        <v>425</v>
      </c>
      <c r="D156" s="519">
        <v>-56</v>
      </c>
      <c r="E156" s="519">
        <v>-31</v>
      </c>
      <c r="F156" s="519"/>
      <c r="G156" s="519"/>
      <c r="H156" s="519"/>
    </row>
    <row r="157" spans="1:19">
      <c r="A157" s="598">
        <v>17</v>
      </c>
      <c r="B157" s="520" t="s">
        <v>1051</v>
      </c>
      <c r="C157" s="30" t="s">
        <v>425</v>
      </c>
      <c r="D157" s="519">
        <v>-2.5877505599999999</v>
      </c>
      <c r="E157" s="519">
        <v>-2.30118592</v>
      </c>
      <c r="F157" s="519"/>
      <c r="G157" s="519"/>
      <c r="H157" s="519"/>
    </row>
    <row r="158" spans="1:19">
      <c r="A158" s="598">
        <v>18</v>
      </c>
      <c r="B158" s="520" t="s">
        <v>1035</v>
      </c>
      <c r="C158" s="30" t="s">
        <v>425</v>
      </c>
      <c r="D158" s="519">
        <v>0</v>
      </c>
      <c r="E158" s="519">
        <v>-1.6748000000000001</v>
      </c>
      <c r="F158" s="519"/>
      <c r="G158" s="519"/>
      <c r="H158" s="519"/>
      <c r="R158" s="166"/>
      <c r="S158" s="166"/>
    </row>
    <row r="159" spans="1:19">
      <c r="A159" s="598">
        <v>19</v>
      </c>
      <c r="B159" s="520" t="s">
        <v>1052</v>
      </c>
      <c r="C159" s="30" t="s">
        <v>425</v>
      </c>
      <c r="D159" s="519">
        <v>-536.22650481993173</v>
      </c>
      <c r="E159" s="519">
        <v>-634.2962992197339</v>
      </c>
      <c r="F159" s="519"/>
      <c r="G159" s="519"/>
      <c r="H159" s="519"/>
      <c r="R159" s="166"/>
      <c r="S159" s="166"/>
    </row>
    <row r="160" spans="1:19">
      <c r="A160" s="598">
        <v>20</v>
      </c>
      <c r="B160" s="520" t="s">
        <v>446</v>
      </c>
      <c r="C160" s="30" t="s">
        <v>425</v>
      </c>
      <c r="D160" s="519">
        <v>0</v>
      </c>
      <c r="E160" s="519">
        <v>0</v>
      </c>
      <c r="F160" s="519"/>
      <c r="G160" s="519"/>
      <c r="H160" s="519"/>
      <c r="R160" s="166"/>
      <c r="S160" s="166"/>
    </row>
    <row r="161" spans="1:19">
      <c r="A161" s="598">
        <v>21</v>
      </c>
      <c r="B161" s="520" t="s">
        <v>443</v>
      </c>
      <c r="C161" s="30" t="s">
        <v>425</v>
      </c>
      <c r="D161" s="519">
        <v>0</v>
      </c>
      <c r="E161" s="519">
        <v>0</v>
      </c>
      <c r="F161" s="519"/>
      <c r="G161" s="519"/>
      <c r="H161" s="519"/>
      <c r="R161" s="166"/>
      <c r="S161" s="166"/>
    </row>
    <row r="162" spans="1:19" ht="19.5" customHeight="1" thickBot="1">
      <c r="A162" s="598"/>
      <c r="B162" s="464" t="s">
        <v>526</v>
      </c>
      <c r="C162" s="30" t="s">
        <v>425</v>
      </c>
      <c r="D162" s="634">
        <f>SUM(D155:D161)</f>
        <v>-597.32100161993174</v>
      </c>
      <c r="E162" s="634">
        <f t="shared" ref="E162:H162" si="57">SUM(E155:E161)</f>
        <v>-671.13053465392625</v>
      </c>
      <c r="F162" s="634">
        <f t="shared" si="57"/>
        <v>0</v>
      </c>
      <c r="G162" s="634">
        <f t="shared" si="57"/>
        <v>0</v>
      </c>
      <c r="H162" s="634">
        <f t="shared" si="57"/>
        <v>0</v>
      </c>
      <c r="R162" s="166"/>
      <c r="S162" s="166"/>
    </row>
    <row r="163" spans="1:19" ht="17.45" customHeight="1" thickBot="1">
      <c r="B163" s="600" t="s">
        <v>527</v>
      </c>
      <c r="C163" s="30" t="s">
        <v>425</v>
      </c>
      <c r="D163" s="635">
        <f>D135+D153+D162</f>
        <v>-1760.9455329156044</v>
      </c>
      <c r="E163" s="636">
        <f>E135+E153+E162</f>
        <v>-1932.4271872128597</v>
      </c>
      <c r="F163" s="636">
        <f>F135+F153+F162</f>
        <v>0</v>
      </c>
      <c r="G163" s="636">
        <f>G135+G153+G162</f>
        <v>0</v>
      </c>
      <c r="H163" s="637">
        <f>H135+H153+H162</f>
        <v>0</v>
      </c>
      <c r="R163" s="166"/>
      <c r="S163" s="166"/>
    </row>
    <row r="164" spans="1:19">
      <c r="B164" s="464"/>
      <c r="D164" s="612"/>
      <c r="E164" s="612"/>
      <c r="F164" s="612"/>
      <c r="G164" s="612"/>
      <c r="H164" s="612"/>
      <c r="R164" s="166"/>
      <c r="S164" s="166"/>
    </row>
    <row r="165" spans="1:19">
      <c r="B165" s="600" t="s">
        <v>528</v>
      </c>
      <c r="C165" s="30" t="s">
        <v>425</v>
      </c>
      <c r="D165" s="616">
        <f>D163+D131</f>
        <v>264.25889665439558</v>
      </c>
      <c r="E165" s="616">
        <f>E163+E131</f>
        <v>295.52736184714013</v>
      </c>
      <c r="F165" s="616">
        <f>F163+F131</f>
        <v>0</v>
      </c>
      <c r="G165" s="616">
        <f>G163+G131</f>
        <v>0</v>
      </c>
      <c r="H165" s="616">
        <f>H163+H131</f>
        <v>0</v>
      </c>
      <c r="R165" s="546"/>
      <c r="S165" s="166"/>
    </row>
    <row r="166" spans="1:19">
      <c r="B166" s="464" t="s">
        <v>529</v>
      </c>
      <c r="C166" s="30" t="s">
        <v>23</v>
      </c>
      <c r="D166" s="615">
        <v>243.60518876862628</v>
      </c>
      <c r="E166" s="615">
        <v>250.45459708893969</v>
      </c>
      <c r="F166" s="615"/>
      <c r="G166" s="615"/>
      <c r="H166" s="615"/>
      <c r="I166" s="464" t="s">
        <v>530</v>
      </c>
      <c r="R166" s="166"/>
      <c r="S166" s="166"/>
    </row>
    <row r="167" spans="1:19">
      <c r="B167" s="464" t="s">
        <v>531</v>
      </c>
      <c r="C167" s="30" t="s">
        <v>425</v>
      </c>
      <c r="D167" s="615">
        <v>0</v>
      </c>
      <c r="E167" s="615">
        <v>0</v>
      </c>
      <c r="F167" s="615"/>
      <c r="G167" s="615"/>
      <c r="H167" s="615"/>
      <c r="I167" s="464" t="s">
        <v>530</v>
      </c>
    </row>
    <row r="168" spans="1:19">
      <c r="B168" s="464" t="s">
        <v>532</v>
      </c>
      <c r="C168" s="30" t="s">
        <v>425</v>
      </c>
      <c r="D168" s="638">
        <f>IF(A2="ESO",D167,D166*INDEX(real_to_nominal_CF,MATCH(D6,calendar_year,0)))</f>
        <v>264.25889665439553</v>
      </c>
      <c r="E168" s="638">
        <f>IF(B2="ESO",E167,E166*INDEX(real_to_nominal_CF,MATCH(E6,calendar_year,0)))</f>
        <v>295.52736184714001</v>
      </c>
      <c r="F168" s="638">
        <f>IF(C2="ESO",F167,F166*INDEX(real_to_nominal_CF,MATCH(F6,calendar_year,0)))</f>
        <v>0</v>
      </c>
      <c r="G168" s="638">
        <f>IF(D2="ESO",G167,G166*INDEX(real_to_nominal_CF,MATCH(G6,calendar_year,0)))</f>
        <v>0</v>
      </c>
      <c r="H168" s="638">
        <f>IF(E2="ESO",H167,H166*INDEX(real_to_nominal_CF,MATCH(H6,calendar_year,0)))</f>
        <v>0</v>
      </c>
      <c r="I168" s="166"/>
      <c r="R168" s="166"/>
      <c r="S168" s="166"/>
    </row>
    <row r="169" spans="1:19">
      <c r="B169" s="464"/>
      <c r="C169" s="30" t="s">
        <v>533</v>
      </c>
      <c r="D169" s="639" t="str">
        <f>IF(D$108="Actuals",IF(ABS(D165-D168)&lt;materiality_threshold,"OK","ERROR"),"N/A")</f>
        <v>OK</v>
      </c>
      <c r="E169" s="639" t="str">
        <f>IF(E$108="Actuals",IF(ABS(E165-E168)&lt;materiality_threshold,"OK","ERROR"),"N/A")</f>
        <v>OK</v>
      </c>
      <c r="F169" s="639" t="str">
        <f>IF(F$108="Actuals",IF(ABS(F165-F168)&lt;materiality_threshold,"OK","ERROR"),"N/A")</f>
        <v>N/A</v>
      </c>
      <c r="G169" s="639" t="str">
        <f>IF(G$108="Actuals",IF(ABS(G165-G168)&lt;materiality_threshold,"OK","ERROR"),"N/A")</f>
        <v>N/A</v>
      </c>
      <c r="H169" s="639" t="str">
        <f>IF(H$108="Actuals",IF(ABS(H165-H168)&lt;materiality_threshold,"OK","ERROR"),"N/A")</f>
        <v>N/A</v>
      </c>
      <c r="R169" s="166"/>
      <c r="S169" s="166"/>
    </row>
    <row r="170" spans="1:19">
      <c r="B170" s="464" t="s">
        <v>235</v>
      </c>
      <c r="R170" s="166"/>
      <c r="S170" s="166"/>
    </row>
    <row r="171" spans="1:19">
      <c r="B171" s="600" t="s">
        <v>534</v>
      </c>
    </row>
    <row r="172" spans="1:19">
      <c r="A172" s="598">
        <v>1</v>
      </c>
      <c r="B172" s="520" t="s">
        <v>1053</v>
      </c>
      <c r="C172" s="30" t="s">
        <v>425</v>
      </c>
      <c r="D172" s="519">
        <v>13.159114836665713</v>
      </c>
      <c r="E172" s="519">
        <v>14.352937345963699</v>
      </c>
      <c r="F172" s="519"/>
      <c r="G172" s="519"/>
      <c r="H172" s="519"/>
    </row>
    <row r="173" spans="1:19">
      <c r="A173" s="598">
        <v>2</v>
      </c>
      <c r="B173" s="520" t="s">
        <v>1054</v>
      </c>
      <c r="C173" s="30" t="s">
        <v>425</v>
      </c>
      <c r="D173" s="601">
        <v>1.9317941339999998</v>
      </c>
      <c r="E173" s="593">
        <v>2.0006217873699996</v>
      </c>
      <c r="F173" s="593"/>
      <c r="G173" s="593"/>
      <c r="H173" s="593"/>
    </row>
    <row r="174" spans="1:19">
      <c r="A174" s="598">
        <v>3</v>
      </c>
      <c r="B174" s="520" t="s">
        <v>1055</v>
      </c>
      <c r="C174" s="30" t="s">
        <v>425</v>
      </c>
      <c r="D174" s="601">
        <v>37.990297599999998</v>
      </c>
      <c r="E174" s="593">
        <v>37.990297600000012</v>
      </c>
      <c r="F174" s="593"/>
      <c r="G174" s="593"/>
      <c r="H174" s="593"/>
    </row>
    <row r="175" spans="1:19">
      <c r="A175" s="598">
        <v>4</v>
      </c>
      <c r="B175" s="520" t="s">
        <v>1045</v>
      </c>
      <c r="C175" s="30" t="s">
        <v>425</v>
      </c>
      <c r="D175" s="601">
        <v>5.7517872397326855</v>
      </c>
      <c r="E175" s="593">
        <v>5.7223739629771577</v>
      </c>
      <c r="F175" s="593"/>
      <c r="G175" s="593"/>
      <c r="H175" s="593"/>
    </row>
    <row r="176" spans="1:19">
      <c r="A176" s="598">
        <v>5</v>
      </c>
      <c r="B176" s="520" t="s">
        <v>1056</v>
      </c>
      <c r="C176" s="30" t="s">
        <v>425</v>
      </c>
      <c r="D176" s="601">
        <v>28.41453482</v>
      </c>
      <c r="E176" s="593">
        <v>28.342012974768604</v>
      </c>
      <c r="F176" s="593"/>
      <c r="G176" s="593"/>
      <c r="H176" s="593"/>
    </row>
    <row r="177" spans="1:19">
      <c r="A177" s="598">
        <v>6</v>
      </c>
      <c r="B177" s="520" t="s">
        <v>1057</v>
      </c>
      <c r="C177" s="30" t="s">
        <v>425</v>
      </c>
      <c r="D177" s="601">
        <v>2.7816029014078176</v>
      </c>
      <c r="E177" s="593">
        <v>2.2466297059474893</v>
      </c>
      <c r="F177" s="593"/>
      <c r="G177" s="593"/>
      <c r="H177" s="593"/>
    </row>
    <row r="178" spans="1:19">
      <c r="A178" s="598">
        <v>7</v>
      </c>
      <c r="B178" s="520" t="s">
        <v>1058</v>
      </c>
      <c r="C178" s="30" t="s">
        <v>425</v>
      </c>
      <c r="D178" s="601">
        <v>0.5011021567837477</v>
      </c>
      <c r="E178" s="593">
        <v>0.61926663216897704</v>
      </c>
      <c r="F178" s="593"/>
      <c r="G178" s="593"/>
      <c r="H178" s="593"/>
    </row>
    <row r="179" spans="1:19">
      <c r="A179" s="598">
        <v>8</v>
      </c>
      <c r="B179" s="520" t="s">
        <v>1059</v>
      </c>
      <c r="C179" s="30" t="s">
        <v>425</v>
      </c>
      <c r="D179" s="601">
        <v>0.34420000000000006</v>
      </c>
      <c r="E179" s="593">
        <v>0.79845124944690471</v>
      </c>
      <c r="F179" s="593"/>
      <c r="G179" s="593"/>
      <c r="H179" s="593"/>
    </row>
    <row r="180" spans="1:19">
      <c r="A180" s="598">
        <v>9</v>
      </c>
      <c r="B180" s="520" t="s">
        <v>1044</v>
      </c>
      <c r="C180" s="30" t="s">
        <v>425</v>
      </c>
      <c r="D180" s="601">
        <v>0.62262600000000001</v>
      </c>
      <c r="E180" s="593">
        <v>2.1177222325000002</v>
      </c>
      <c r="F180" s="593"/>
      <c r="G180" s="593"/>
      <c r="H180" s="593"/>
    </row>
    <row r="181" spans="1:19">
      <c r="A181" s="598">
        <v>10</v>
      </c>
      <c r="B181" s="520" t="s">
        <v>446</v>
      </c>
      <c r="C181" s="30" t="s">
        <v>425</v>
      </c>
      <c r="D181" s="601">
        <v>0</v>
      </c>
      <c r="E181" s="593">
        <v>0</v>
      </c>
      <c r="F181" s="593"/>
      <c r="G181" s="593"/>
      <c r="H181" s="593"/>
    </row>
    <row r="182" spans="1:19">
      <c r="A182" s="598">
        <v>11</v>
      </c>
      <c r="B182" s="520" t="s">
        <v>446</v>
      </c>
      <c r="C182" s="30" t="s">
        <v>425</v>
      </c>
      <c r="D182" s="601">
        <v>0</v>
      </c>
      <c r="E182" s="593">
        <v>0</v>
      </c>
      <c r="F182" s="593"/>
      <c r="G182" s="593"/>
      <c r="H182" s="593"/>
    </row>
    <row r="183" spans="1:19">
      <c r="A183" s="598">
        <v>12</v>
      </c>
      <c r="B183" s="520" t="s">
        <v>446</v>
      </c>
      <c r="C183" s="30" t="s">
        <v>425</v>
      </c>
      <c r="D183" s="601">
        <v>0</v>
      </c>
      <c r="E183" s="593">
        <v>0</v>
      </c>
      <c r="F183" s="593"/>
      <c r="G183" s="593"/>
      <c r="H183" s="593"/>
    </row>
    <row r="184" spans="1:19">
      <c r="A184" s="598">
        <v>13</v>
      </c>
      <c r="B184" s="520" t="s">
        <v>446</v>
      </c>
      <c r="C184" s="30" t="s">
        <v>425</v>
      </c>
      <c r="D184" s="601">
        <v>0</v>
      </c>
      <c r="E184" s="593">
        <v>0</v>
      </c>
      <c r="F184" s="593"/>
      <c r="G184" s="593"/>
      <c r="H184" s="593"/>
    </row>
    <row r="185" spans="1:19">
      <c r="A185" s="598">
        <v>14</v>
      </c>
      <c r="B185" s="520" t="s">
        <v>446</v>
      </c>
      <c r="C185" s="30" t="s">
        <v>425</v>
      </c>
      <c r="D185" s="601">
        <v>0</v>
      </c>
      <c r="E185" s="593">
        <v>0</v>
      </c>
      <c r="F185" s="593"/>
      <c r="G185" s="593"/>
      <c r="H185" s="593"/>
      <c r="R185" s="166"/>
      <c r="S185" s="166"/>
    </row>
    <row r="186" spans="1:19">
      <c r="A186" s="598">
        <v>15</v>
      </c>
      <c r="B186" s="520" t="s">
        <v>446</v>
      </c>
      <c r="C186" s="30" t="s">
        <v>425</v>
      </c>
      <c r="D186" s="601">
        <v>0</v>
      </c>
      <c r="E186" s="593">
        <v>0</v>
      </c>
      <c r="F186" s="593"/>
      <c r="G186" s="593"/>
      <c r="H186" s="593"/>
      <c r="R186" s="166"/>
      <c r="S186" s="166"/>
    </row>
    <row r="187" spans="1:19">
      <c r="A187" s="598">
        <v>16</v>
      </c>
      <c r="B187" s="520" t="s">
        <v>446</v>
      </c>
      <c r="C187" s="30" t="s">
        <v>425</v>
      </c>
      <c r="D187" s="601">
        <v>0</v>
      </c>
      <c r="E187" s="593">
        <v>0</v>
      </c>
      <c r="F187" s="593"/>
      <c r="G187" s="593"/>
      <c r="H187" s="593"/>
      <c r="R187" s="166"/>
      <c r="S187" s="166"/>
    </row>
    <row r="188" spans="1:19">
      <c r="A188" s="598">
        <v>17</v>
      </c>
      <c r="B188" s="520" t="s">
        <v>446</v>
      </c>
      <c r="C188" s="30" t="s">
        <v>425</v>
      </c>
      <c r="D188" s="601">
        <v>0</v>
      </c>
      <c r="E188" s="593">
        <v>0</v>
      </c>
      <c r="F188" s="593"/>
      <c r="G188" s="593"/>
      <c r="H188" s="593"/>
      <c r="R188" s="166"/>
      <c r="S188" s="166"/>
    </row>
    <row r="189" spans="1:19">
      <c r="A189" s="598">
        <v>18</v>
      </c>
      <c r="B189" s="520" t="s">
        <v>446</v>
      </c>
      <c r="C189" s="30" t="s">
        <v>425</v>
      </c>
      <c r="D189" s="601">
        <v>0</v>
      </c>
      <c r="E189" s="593">
        <v>0</v>
      </c>
      <c r="F189" s="593"/>
      <c r="G189" s="593"/>
      <c r="H189" s="593"/>
      <c r="R189" s="166"/>
      <c r="S189" s="166"/>
    </row>
    <row r="190" spans="1:19">
      <c r="A190" s="598">
        <v>19</v>
      </c>
      <c r="B190" s="520" t="s">
        <v>446</v>
      </c>
      <c r="C190" s="30" t="s">
        <v>425</v>
      </c>
      <c r="D190" s="601">
        <v>0</v>
      </c>
      <c r="E190" s="593">
        <v>0</v>
      </c>
      <c r="F190" s="593"/>
      <c r="G190" s="593"/>
      <c r="H190" s="593"/>
      <c r="R190" s="166"/>
      <c r="S190" s="166"/>
    </row>
    <row r="191" spans="1:19">
      <c r="A191" s="598">
        <v>20</v>
      </c>
      <c r="B191" s="520" t="s">
        <v>446</v>
      </c>
      <c r="C191" s="30" t="s">
        <v>425</v>
      </c>
      <c r="D191" s="601">
        <v>0</v>
      </c>
      <c r="E191" s="593">
        <v>0</v>
      </c>
      <c r="F191" s="593"/>
      <c r="G191" s="593"/>
      <c r="H191" s="593"/>
      <c r="R191" s="166"/>
      <c r="S191" s="166"/>
    </row>
    <row r="192" spans="1:19">
      <c r="A192" s="598">
        <v>21</v>
      </c>
      <c r="B192" s="520" t="s">
        <v>446</v>
      </c>
      <c r="C192" s="30" t="s">
        <v>425</v>
      </c>
      <c r="D192" s="601">
        <v>0</v>
      </c>
      <c r="E192" s="593">
        <v>0</v>
      </c>
      <c r="F192" s="593"/>
      <c r="G192" s="593"/>
      <c r="H192" s="593"/>
      <c r="R192" s="166"/>
      <c r="S192" s="166"/>
    </row>
    <row r="193" spans="1:19">
      <c r="A193" s="598">
        <v>22</v>
      </c>
      <c r="B193" s="520" t="s">
        <v>446</v>
      </c>
      <c r="C193" s="30" t="s">
        <v>425</v>
      </c>
      <c r="D193" s="601">
        <v>0</v>
      </c>
      <c r="E193" s="593">
        <v>0</v>
      </c>
      <c r="F193" s="593"/>
      <c r="G193" s="593"/>
      <c r="H193" s="593"/>
      <c r="R193" s="166"/>
      <c r="S193" s="166"/>
    </row>
    <row r="194" spans="1:19">
      <c r="A194" s="598">
        <v>23</v>
      </c>
      <c r="B194" s="520" t="s">
        <v>446</v>
      </c>
      <c r="C194" s="30" t="s">
        <v>425</v>
      </c>
      <c r="D194" s="601">
        <v>0</v>
      </c>
      <c r="E194" s="593">
        <v>0</v>
      </c>
      <c r="F194" s="593"/>
      <c r="G194" s="593"/>
      <c r="H194" s="593"/>
      <c r="R194" s="166"/>
      <c r="S194" s="166"/>
    </row>
    <row r="195" spans="1:19">
      <c r="A195" s="598">
        <v>24</v>
      </c>
      <c r="B195" s="520" t="s">
        <v>446</v>
      </c>
      <c r="C195" s="30" t="s">
        <v>425</v>
      </c>
      <c r="D195" s="601">
        <v>0</v>
      </c>
      <c r="E195" s="593">
        <v>0</v>
      </c>
      <c r="F195" s="593"/>
      <c r="G195" s="593"/>
      <c r="H195" s="593"/>
      <c r="R195" s="546"/>
      <c r="S195" s="166"/>
    </row>
    <row r="196" spans="1:19">
      <c r="A196" s="598">
        <v>25</v>
      </c>
      <c r="B196" s="520" t="s">
        <v>446</v>
      </c>
      <c r="C196" s="30" t="s">
        <v>425</v>
      </c>
      <c r="D196" s="601">
        <v>0</v>
      </c>
      <c r="E196" s="593">
        <v>0</v>
      </c>
      <c r="F196" s="593"/>
      <c r="G196" s="593"/>
      <c r="H196" s="593"/>
      <c r="R196" s="166"/>
      <c r="S196" s="166"/>
    </row>
    <row r="197" spans="1:19">
      <c r="B197" s="600" t="s">
        <v>535</v>
      </c>
      <c r="C197" s="30" t="s">
        <v>425</v>
      </c>
      <c r="D197" s="616">
        <f>SUM(D172:D196)</f>
        <v>91.497059688589957</v>
      </c>
      <c r="E197" s="616">
        <f t="shared" ref="E197:H197" si="58">SUM(E172:E196)</f>
        <v>94.190313491142831</v>
      </c>
      <c r="F197" s="616">
        <f t="shared" si="58"/>
        <v>0</v>
      </c>
      <c r="G197" s="616">
        <f t="shared" si="58"/>
        <v>0</v>
      </c>
      <c r="H197" s="616">
        <f t="shared" si="58"/>
        <v>0</v>
      </c>
      <c r="R197" s="166"/>
      <c r="S197" s="166"/>
    </row>
    <row r="198" spans="1:19">
      <c r="B198" s="464"/>
      <c r="D198" s="30"/>
      <c r="E198" s="30"/>
      <c r="F198" s="30"/>
      <c r="G198" s="30"/>
      <c r="H198" s="30"/>
      <c r="I198" s="30"/>
      <c r="J198" s="30"/>
      <c r="R198" s="166"/>
      <c r="S198" s="166"/>
    </row>
    <row r="199" spans="1:19">
      <c r="B199" s="600" t="s">
        <v>536</v>
      </c>
      <c r="C199" s="30" t="s">
        <v>425</v>
      </c>
      <c r="D199" s="616">
        <f>D165-D197</f>
        <v>172.76183696580563</v>
      </c>
      <c r="E199" s="616">
        <f t="shared" ref="E199:H199" si="59">E165-E197</f>
        <v>201.3370483559973</v>
      </c>
      <c r="F199" s="616">
        <f t="shared" si="59"/>
        <v>0</v>
      </c>
      <c r="G199" s="616">
        <f t="shared" si="59"/>
        <v>0</v>
      </c>
      <c r="H199" s="616">
        <f t="shared" si="59"/>
        <v>0</v>
      </c>
    </row>
    <row r="200" spans="1:19">
      <c r="B200" s="600" t="s">
        <v>537</v>
      </c>
      <c r="C200" s="30" t="s">
        <v>425</v>
      </c>
      <c r="D200" s="640">
        <f>('R3 - Totex - Reconciliation'!D$13+'R3 - Totex - Reconciliation'!D$47+'R3 - Totex - Reconciliation'!D76)*INDEX(real_to_nominal_CF,MATCH(D$109,calendar_year,0))</f>
        <v>172.76183696580563</v>
      </c>
      <c r="E200" s="640">
        <f>('R3 - Totex - Reconciliation'!E$13+'R3 - Totex - Reconciliation'!E$47+'R3 - Totex - Reconciliation'!E76)*INDEX(real_to_nominal_CF,MATCH(E$109,calendar_year,0))</f>
        <v>201.33704835599715</v>
      </c>
      <c r="F200" s="640">
        <f>('R3 - Totex - Reconciliation'!F$13+'R3 - Totex - Reconciliation'!F$47+'R3 - Totex - Reconciliation'!F76)*INDEX(real_to_nominal_CF,MATCH(F$109,calendar_year,0))</f>
        <v>215.78043460506422</v>
      </c>
      <c r="G200" s="640">
        <f>('R3 - Totex - Reconciliation'!G$13+'R3 - Totex - Reconciliation'!G$47+'R3 - Totex - Reconciliation'!G76)*INDEX(real_to_nominal_CF,MATCH(G$109,calendar_year,0))</f>
        <v>202.51856675261794</v>
      </c>
      <c r="H200" s="641">
        <f>('R3 - Totex - Reconciliation'!H$13+'R3 - Totex - Reconciliation'!H$47+'R3 - Totex - Reconciliation'!H76)*INDEX(real_to_nominal_CF,MATCH(H$109,calendar_year,0))</f>
        <v>193.69487038280178</v>
      </c>
      <c r="I200" s="464" t="s">
        <v>538</v>
      </c>
    </row>
    <row r="201" spans="1:19">
      <c r="B201" s="464"/>
      <c r="C201" s="30" t="s">
        <v>533</v>
      </c>
      <c r="D201" s="642" t="str">
        <f>IF(D$108="Actuals",IF(ABS(D199-('R3 - Totex - Reconciliation'!D13+'R3 - Totex - Reconciliation'!D47+D76)*INDEX(real_to_nominal_CF,MATCH(D6,Data!$F$26:$L$26,0)))&lt;materiality_threshold,"OK","Error"),"N/A")</f>
        <v>OK</v>
      </c>
      <c r="E201" s="642" t="str">
        <f>IF(E$108="Actuals",IF(ABS(E199-('R3 - Totex - Reconciliation'!E13+'R3 - Totex - Reconciliation'!E47+E76)*INDEX(real_to_nominal_CF,MATCH(E6,Data!$F$26:$L$26,0)))&lt;materiality_threshold,"OK","Error"),"N/A")</f>
        <v>OK</v>
      </c>
      <c r="F201" s="642" t="str">
        <f>IF(F$108="Actuals",IF(ABS(F199-('R3 - Totex - Reconciliation'!F13+'R3 - Totex - Reconciliation'!F47+F76)*INDEX(real_to_nominal_CF,MATCH(F6,Data!$F$26:$L$26,0)))&lt;materiality_threshold,"OK","Error"),"N/A")</f>
        <v>N/A</v>
      </c>
      <c r="G201" s="642" t="str">
        <f>IF(G$108="Actuals",IF(ABS(G199-('R3 - Totex - Reconciliation'!G13+'R3 - Totex - Reconciliation'!G47+G76)*INDEX(real_to_nominal_CF,MATCH(G6,Data!$F$26:$L$26,0)))&lt;materiality_threshold,"OK","Error"),"N/A")</f>
        <v>N/A</v>
      </c>
      <c r="H201" s="642" t="str">
        <f>IF(H$108="Actuals",IF(ABS(H199-('R3 - Totex - Reconciliation'!H13+'R3 - Totex - Reconciliation'!H47+H76)*INDEX(real_to_nominal_CF,MATCH(H6,Data!$F$26:$L$26,0)))&lt;materiality_threshold,"OK","Error"),"N/A")</f>
        <v>N/A</v>
      </c>
      <c r="I201" s="464" t="s">
        <v>539</v>
      </c>
    </row>
    <row r="202" spans="1:19">
      <c r="B202" s="464"/>
      <c r="C202" s="464"/>
    </row>
    <row r="203" spans="1:19">
      <c r="B203" s="546" t="s">
        <v>540</v>
      </c>
    </row>
    <row r="205" spans="1:19">
      <c r="B205" s="547" t="s">
        <v>481</v>
      </c>
      <c r="C205" s="166"/>
      <c r="D205" s="166"/>
      <c r="E205" s="166"/>
      <c r="F205" s="166"/>
    </row>
    <row r="206" spans="1:19">
      <c r="B206" s="1283"/>
      <c r="C206" s="1284"/>
      <c r="D206" s="1284"/>
      <c r="E206" s="1284"/>
      <c r="F206" s="1286"/>
    </row>
    <row r="207" spans="1:19">
      <c r="B207" s="550"/>
      <c r="C207" s="551"/>
      <c r="D207" s="552"/>
      <c r="E207" s="553"/>
      <c r="F207" s="554"/>
    </row>
    <row r="208" spans="1:19">
      <c r="B208" s="550"/>
      <c r="C208" s="551"/>
      <c r="D208" s="552"/>
      <c r="E208" s="553"/>
      <c r="F208" s="554"/>
    </row>
    <row r="209" spans="2:19">
      <c r="B209" s="550"/>
      <c r="C209" s="551"/>
      <c r="D209" s="552"/>
      <c r="E209" s="553"/>
      <c r="F209" s="554"/>
    </row>
    <row r="210" spans="2:19">
      <c r="B210" s="550"/>
      <c r="C210" s="551"/>
      <c r="D210" s="552"/>
      <c r="E210" s="553"/>
      <c r="F210" s="554"/>
      <c r="R210" s="166"/>
      <c r="S210" s="166"/>
    </row>
    <row r="211" spans="2:19">
      <c r="B211" s="555"/>
      <c r="C211" s="556"/>
      <c r="D211" s="557"/>
      <c r="E211" s="558"/>
      <c r="F211" s="559"/>
    </row>
    <row r="228" spans="2:3">
      <c r="B228" s="464"/>
      <c r="C228" s="464"/>
    </row>
    <row r="229" spans="2:3">
      <c r="B229" s="464"/>
      <c r="C229" s="464"/>
    </row>
    <row r="230" spans="2:3">
      <c r="B230" s="464"/>
      <c r="C230" s="464"/>
    </row>
    <row r="231" spans="2:3">
      <c r="B231" s="464"/>
      <c r="C231" s="464"/>
    </row>
    <row r="232" spans="2:3">
      <c r="B232" s="464"/>
      <c r="C232" s="464"/>
    </row>
    <row r="233" spans="2:3">
      <c r="B233" s="464"/>
      <c r="C233" s="464"/>
    </row>
    <row r="234" spans="2:3">
      <c r="B234" s="464"/>
      <c r="C234" s="464"/>
    </row>
    <row r="235" spans="2:3">
      <c r="B235" s="464"/>
      <c r="C235" s="464"/>
    </row>
    <row r="239" spans="2:3" ht="12.75" customHeight="1"/>
    <row r="246" ht="29.25" customHeight="1"/>
  </sheetData>
  <sheetProtection algorithmName="SHA-512" hashValue="Rl/RDHZUXnNFx5Z/2AlNPmLHKoFyXfejXiaL5OFPxULZOthcX425YoH20WSScdbSCfueBtCG3CnhxzVVPnOg1w==" saltValue="gG5mT1wvdmZne/ft+4Ysnw==" spinCount="100000" sheet="1" objects="1" scenarios="1" insertRows="0"/>
  <mergeCells count="2">
    <mergeCell ref="K15:M15"/>
    <mergeCell ref="B206:F206"/>
  </mergeCells>
  <phoneticPr fontId="260" type="noConversion"/>
  <conditionalFormatting sqref="B40">
    <cfRule type="expression" dxfId="65" priority="46">
      <formula>$B$51="n/a"</formula>
    </cfRule>
  </conditionalFormatting>
  <conditionalFormatting sqref="B69">
    <cfRule type="expression" dxfId="64" priority="45">
      <formula>$B$51="n/a"</formula>
    </cfRule>
  </conditionalFormatting>
  <conditionalFormatting sqref="B93">
    <cfRule type="expression" dxfId="63" priority="44">
      <formula>$B$51="n/a"</formula>
    </cfRule>
  </conditionalFormatting>
  <conditionalFormatting sqref="C23:C30">
    <cfRule type="expression" dxfId="62" priority="50">
      <formula>$B$45="n/a"</formula>
    </cfRule>
  </conditionalFormatting>
  <conditionalFormatting sqref="C33:C35">
    <cfRule type="expression" dxfId="61" priority="3">
      <formula>$B$45="n/a"</formula>
    </cfRule>
  </conditionalFormatting>
  <conditionalFormatting sqref="C37:C38">
    <cfRule type="expression" dxfId="60" priority="8">
      <formula>$B$44="n/a"</formula>
    </cfRule>
  </conditionalFormatting>
  <conditionalFormatting sqref="C45 B46:C54 B73:C73 Q73:T73 C74 B75:C84 B97:C97">
    <cfRule type="expression" dxfId="59" priority="67">
      <formula>$B$45="n/a"</formula>
    </cfRule>
  </conditionalFormatting>
  <conditionalFormatting sqref="C57:C59">
    <cfRule type="expression" dxfId="58" priority="49">
      <formula>$B$45="n/a"</formula>
    </cfRule>
  </conditionalFormatting>
  <conditionalFormatting sqref="C62:C64">
    <cfRule type="expression" dxfId="57" priority="1">
      <formula>$B$45="n/a"</formula>
    </cfRule>
  </conditionalFormatting>
  <conditionalFormatting sqref="C66:C67">
    <cfRule type="expression" dxfId="56" priority="7">
      <formula>$B$44="n/a"</formula>
    </cfRule>
  </conditionalFormatting>
  <conditionalFormatting sqref="C86:C88">
    <cfRule type="expression" dxfId="55" priority="47">
      <formula>$B$45="n/a"</formula>
    </cfRule>
  </conditionalFormatting>
  <conditionalFormatting sqref="C90:C91">
    <cfRule type="expression" dxfId="54" priority="6">
      <formula>$B$44="n/a"</formula>
    </cfRule>
  </conditionalFormatting>
  <conditionalFormatting sqref="D108:G109">
    <cfRule type="expression" dxfId="53" priority="63">
      <formula>AND(D$5="Actuals",E$5="N/A")</formula>
    </cfRule>
  </conditionalFormatting>
  <conditionalFormatting sqref="D7:H7">
    <cfRule type="expression" dxfId="52" priority="56">
      <formula>AND(D$5="Actuals",E$5="Forecast")</formula>
    </cfRule>
  </conditionalFormatting>
  <conditionalFormatting sqref="D110:H110">
    <cfRule type="expression" dxfId="51" priority="55">
      <formula>AND(D$5="Actuals",E$5="Forecast")</formula>
    </cfRule>
  </conditionalFormatting>
  <conditionalFormatting sqref="D113:H121 D124:H124 D135:H135">
    <cfRule type="expression" dxfId="50" priority="53">
      <formula>D$108="N/A"</formula>
    </cfRule>
  </conditionalFormatting>
  <conditionalFormatting sqref="D126:H129 D131:H131">
    <cfRule type="expression" dxfId="49" priority="25">
      <formula>D$108="N/A"</formula>
    </cfRule>
  </conditionalFormatting>
  <conditionalFormatting sqref="D137:H153">
    <cfRule type="expression" dxfId="48" priority="11">
      <formula>D$108="N/A"</formula>
    </cfRule>
  </conditionalFormatting>
  <conditionalFormatting sqref="D155:H163">
    <cfRule type="expression" dxfId="47" priority="10">
      <formula>D$108="N/A"</formula>
    </cfRule>
  </conditionalFormatting>
  <conditionalFormatting sqref="D165:H167">
    <cfRule type="expression" dxfId="46" priority="16">
      <formula>D$108="N/A"</formula>
    </cfRule>
  </conditionalFormatting>
  <conditionalFormatting sqref="D170:H197">
    <cfRule type="expression" dxfId="45" priority="21">
      <formula>D$108="N/A"</formula>
    </cfRule>
  </conditionalFormatting>
  <conditionalFormatting sqref="E122:H122">
    <cfRule type="expression" dxfId="44" priority="43">
      <formula>E$108="N/A"</formula>
    </cfRule>
  </conditionalFormatting>
  <conditionalFormatting sqref="H5:H6">
    <cfRule type="expression" dxfId="43" priority="272">
      <formula>AND(H$5="Actuals",#REF!="Forecast")</formula>
    </cfRule>
  </conditionalFormatting>
  <conditionalFormatting sqref="H108:H109">
    <cfRule type="expression" dxfId="42" priority="289">
      <formula>AND(H$5="Actuals",#REF!="N/A")</formula>
    </cfRule>
  </conditionalFormatting>
  <conditionalFormatting sqref="I5 D5:G6">
    <cfRule type="expression" dxfId="41" priority="71">
      <formula>AND(D$5="Actuals",E$5="Forecast")</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78"/>
  <sheetViews>
    <sheetView zoomScale="85" zoomScaleNormal="85" workbookViewId="0"/>
  </sheetViews>
  <sheetFormatPr defaultColWidth="9" defaultRowHeight="12.35"/>
  <cols>
    <col min="1" max="1" width="8.3671875" style="166" customWidth="1"/>
    <col min="2" max="2" width="71.3671875" style="166" bestFit="1" customWidth="1"/>
    <col min="3" max="3" width="13.3671875" style="30" customWidth="1"/>
    <col min="4" max="8" width="11.1015625" style="166" customWidth="1"/>
    <col min="9" max="9" width="12.89453125" style="166" customWidth="1"/>
    <col min="10" max="10" width="12.734375" style="166" customWidth="1"/>
    <col min="11" max="11" width="5.734375" style="166" bestFit="1" customWidth="1"/>
    <col min="12" max="16384" width="9" style="166"/>
  </cols>
  <sheetData>
    <row r="1" spans="1:14" ht="20.350000000000001">
      <c r="A1" s="643" t="s">
        <v>541</v>
      </c>
      <c r="B1" s="644"/>
      <c r="C1" s="645"/>
      <c r="D1" s="646"/>
      <c r="E1" s="646"/>
      <c r="F1" s="646"/>
      <c r="G1" s="646"/>
      <c r="H1" s="646"/>
      <c r="I1" s="453"/>
      <c r="J1" s="453"/>
      <c r="K1" s="574"/>
    </row>
    <row r="2" spans="1:14" ht="20.350000000000001">
      <c r="A2" s="454" t="str">
        <f>Licensee</f>
        <v>Cadent-WM</v>
      </c>
      <c r="B2" s="647"/>
      <c r="C2" s="648"/>
      <c r="D2" s="649"/>
      <c r="E2" s="649"/>
      <c r="F2" s="649"/>
      <c r="G2" s="649"/>
      <c r="H2" s="649"/>
      <c r="I2" s="458"/>
      <c r="J2" s="458"/>
      <c r="K2" s="459"/>
    </row>
    <row r="3" spans="1:14" ht="20.350000000000001">
      <c r="A3" s="456">
        <f>Reporting_Year</f>
        <v>2023</v>
      </c>
      <c r="B3" s="457"/>
      <c r="C3" s="650"/>
      <c r="D3" s="651"/>
      <c r="E3" s="651"/>
      <c r="F3" s="651"/>
      <c r="G3" s="651"/>
      <c r="H3" s="651"/>
      <c r="I3" s="461"/>
      <c r="J3" s="461"/>
      <c r="K3" s="462"/>
    </row>
    <row r="4" spans="1:14" s="464" customFormat="1" ht="12.75" customHeight="1">
      <c r="B4" s="598"/>
      <c r="C4" s="30"/>
    </row>
    <row r="5" spans="1:14" s="464" customFormat="1" ht="21.6" customHeight="1">
      <c r="B5" s="598"/>
      <c r="C5" s="30"/>
      <c r="D5" s="463" t="str">
        <f t="shared" ref="D5:I5" si="0">IF(D6&lt;=Reporting_Year,"Actuals","Forecast")</f>
        <v>Actuals</v>
      </c>
      <c r="E5" s="463" t="str">
        <f t="shared" si="0"/>
        <v>Actuals</v>
      </c>
      <c r="F5" s="463" t="str">
        <f t="shared" si="0"/>
        <v>Forecast</v>
      </c>
      <c r="G5" s="463" t="str">
        <f t="shared" si="0"/>
        <v>Forecast</v>
      </c>
      <c r="H5" s="463" t="str">
        <f t="shared" si="0"/>
        <v>Forecast</v>
      </c>
      <c r="I5" s="463" t="str">
        <f t="shared" si="0"/>
        <v>Forecast</v>
      </c>
    </row>
    <row r="6" spans="1:14" s="464" customFormat="1" ht="29.25" customHeight="1">
      <c r="C6" s="30"/>
      <c r="D6" s="575">
        <f>'RFPR cover'!$C$6</f>
        <v>2022</v>
      </c>
      <c r="E6" s="576">
        <f>D6+1</f>
        <v>2023</v>
      </c>
      <c r="F6" s="576">
        <f t="shared" ref="F6:H6" si="1">E6+1</f>
        <v>2024</v>
      </c>
      <c r="G6" s="576">
        <f t="shared" si="1"/>
        <v>2025</v>
      </c>
      <c r="H6" s="576">
        <f t="shared" si="1"/>
        <v>2026</v>
      </c>
      <c r="I6" s="467" t="str">
        <f>"Cumulative to "&amp;'RFPR cover'!$C$9</f>
        <v>Cumulative to 2023</v>
      </c>
      <c r="J6" s="577" t="s">
        <v>386</v>
      </c>
    </row>
    <row r="7" spans="1:14" s="464" customFormat="1">
      <c r="C7" s="30"/>
      <c r="D7" s="468" t="str">
        <f>RIIO_2_start_date-1&amp;"/"&amp;RIGHT(RIIO_2_start_date,2)</f>
        <v>2021/22</v>
      </c>
      <c r="E7" s="468" t="str">
        <f>RIIO_2_start_date&amp;"/"&amp;RIGHT(RIIO_2_start_date+1,2)</f>
        <v>2022/23</v>
      </c>
      <c r="F7" s="468" t="str">
        <f>RIIO_2_start_date+1&amp;"/"&amp;RIGHT(RIIO_2_start_date+2,2)</f>
        <v>2023/24</v>
      </c>
      <c r="G7" s="468" t="str">
        <f>RIIO_2_start_date+2&amp;"/"&amp;RIGHT(RIIO_2_start_date+3,2)</f>
        <v>2024/25</v>
      </c>
      <c r="H7" s="468" t="str">
        <f>RIIO_2_start_date+3&amp;"/"&amp;RIGHT(RIIO_2_start_date+4,2)</f>
        <v>2025/26</v>
      </c>
    </row>
    <row r="8" spans="1:14" s="464" customFormat="1" ht="17.7">
      <c r="B8" s="652" t="s">
        <v>542</v>
      </c>
      <c r="C8" s="510"/>
      <c r="D8" s="511"/>
      <c r="E8" s="511"/>
      <c r="F8" s="511"/>
      <c r="G8" s="511"/>
      <c r="H8" s="511"/>
      <c r="I8" s="511"/>
      <c r="J8" s="511"/>
      <c r="K8" s="511"/>
    </row>
    <row r="9" spans="1:14" s="464" customFormat="1">
      <c r="N9" s="478"/>
    </row>
    <row r="10" spans="1:14" s="464" customFormat="1"/>
    <row r="11" spans="1:14" s="464" customFormat="1"/>
    <row r="12" spans="1:14" s="464" customFormat="1">
      <c r="A12" s="470" t="s">
        <v>390</v>
      </c>
      <c r="B12" s="600" t="s">
        <v>543</v>
      </c>
      <c r="C12" s="586" t="str">
        <f>Data!$C$9</f>
        <v>£m 18/19</v>
      </c>
      <c r="D12" s="653">
        <v>-7.0993072540795777E-3</v>
      </c>
      <c r="E12" s="653">
        <v>-7.0993072540795777E-3</v>
      </c>
      <c r="F12" s="653">
        <v>-7.0993072540795777E-3</v>
      </c>
      <c r="G12" s="653">
        <v>-7.0993072540795777E-3</v>
      </c>
      <c r="H12" s="653">
        <v>-7.0993072540795777E-3</v>
      </c>
      <c r="I12" s="617">
        <f>SUM(D12:INDEX(D12:H12,0,MATCH('RFPR cover'!$C$9,$D$6:$H$6,0)))</f>
        <v>-1.4198614508159155E-2</v>
      </c>
      <c r="J12" s="618">
        <f>SUM(D12:H12)</f>
        <v>-3.5496536270397887E-2</v>
      </c>
    </row>
    <row r="13" spans="1:14" s="464" customFormat="1" ht="19.5" customHeight="1">
      <c r="A13" s="470"/>
      <c r="B13" s="654" t="s">
        <v>544</v>
      </c>
    </row>
    <row r="14" spans="1:14" s="464" customFormat="1">
      <c r="A14" s="470" t="s">
        <v>391</v>
      </c>
      <c r="B14" s="655" t="str">
        <f>Data!B125</f>
        <v>Customer Satisfaction Survey ODI - (SpC 4.2)</v>
      </c>
      <c r="C14" s="586" t="str">
        <f>Data!$C$9</f>
        <v>£m 18/19</v>
      </c>
      <c r="D14" s="656">
        <v>0.80765898737684227</v>
      </c>
      <c r="E14" s="656">
        <v>0.93421014738973318</v>
      </c>
      <c r="F14" s="656">
        <v>1.3622794117647055</v>
      </c>
      <c r="G14" s="656">
        <v>1.3979411764705882</v>
      </c>
      <c r="H14" s="656">
        <v>1.4550000000000001</v>
      </c>
      <c r="I14" s="617">
        <f>SUM(D14:INDEX(D14:H14,0,MATCH('RFPR cover'!$C$9,$D$6:$H$6,0)))</f>
        <v>1.7418691347665756</v>
      </c>
      <c r="J14" s="618">
        <f t="shared" ref="J14:J20" si="2">SUM(D14:H14)</f>
        <v>5.9570897230018698</v>
      </c>
    </row>
    <row r="15" spans="1:14" s="464" customFormat="1">
      <c r="A15" s="470" t="s">
        <v>392</v>
      </c>
      <c r="B15" s="655" t="str">
        <f>Data!B126</f>
        <v>Complaints metric ODI - (SpC 4.3)</v>
      </c>
      <c r="C15" s="586" t="str">
        <f>Data!$C$9</f>
        <v>£m 18/19</v>
      </c>
      <c r="D15" s="656">
        <v>0</v>
      </c>
      <c r="E15" s="656">
        <v>0</v>
      </c>
      <c r="F15" s="656">
        <v>0</v>
      </c>
      <c r="G15" s="656">
        <v>0</v>
      </c>
      <c r="H15" s="656">
        <v>0</v>
      </c>
      <c r="I15" s="617">
        <f>SUM(D15:INDEX(D15:H15,0,MATCH('RFPR cover'!$C$9,$D$6:$H$6,0)))</f>
        <v>0</v>
      </c>
      <c r="J15" s="618">
        <f t="shared" si="2"/>
        <v>0</v>
      </c>
    </row>
    <row r="16" spans="1:14" s="464" customFormat="1">
      <c r="A16" s="470" t="s">
        <v>393</v>
      </c>
      <c r="B16" s="655" t="str">
        <f>Data!B127</f>
        <v>Unplanned Interruption Mean Duration ODI [NGN, SGN and WWU] - (SpC 4.5)</v>
      </c>
      <c r="C16" s="586" t="str">
        <f>Data!$C$9</f>
        <v>£m 18/19</v>
      </c>
      <c r="D16" s="656">
        <v>0</v>
      </c>
      <c r="E16" s="656">
        <v>0</v>
      </c>
      <c r="F16" s="656">
        <v>0</v>
      </c>
      <c r="G16" s="656">
        <v>0</v>
      </c>
      <c r="H16" s="656">
        <v>0</v>
      </c>
      <c r="I16" s="617">
        <f>SUM(D16:INDEX(D16:H16,0,MATCH('RFPR cover'!$C$9,$D$6:$H$6,0)))</f>
        <v>0</v>
      </c>
      <c r="J16" s="618">
        <f t="shared" si="2"/>
        <v>0</v>
      </c>
    </row>
    <row r="17" spans="1:11" s="464" customFormat="1">
      <c r="A17" s="470" t="s">
        <v>394</v>
      </c>
      <c r="B17" s="655" t="str">
        <f>Data!B128</f>
        <v>Unplanned Interruption Mean Duration ODI [Cadent only]- (SpC 4.6)</v>
      </c>
      <c r="C17" s="586" t="str">
        <f>Data!$C$9</f>
        <v>£m 18/19</v>
      </c>
      <c r="D17" s="656">
        <v>0</v>
      </c>
      <c r="E17" s="656">
        <v>0</v>
      </c>
      <c r="F17" s="656">
        <v>0</v>
      </c>
      <c r="G17" s="656">
        <v>0</v>
      </c>
      <c r="H17" s="656">
        <v>0</v>
      </c>
      <c r="I17" s="617">
        <f>SUM(D17:INDEX(D17:H17,0,MATCH('RFPR cover'!$C$9,$D$6:$H$6,0)))</f>
        <v>0</v>
      </c>
      <c r="J17" s="618">
        <f t="shared" si="2"/>
        <v>0</v>
      </c>
    </row>
    <row r="18" spans="1:11" s="464" customFormat="1">
      <c r="A18" s="470" t="s">
        <v>395</v>
      </c>
      <c r="B18" s="655" t="str">
        <f>Data!B129</f>
        <v>Shrinkage Management ODI- (SpC 4.4)</v>
      </c>
      <c r="C18" s="586" t="str">
        <f>Data!$C$9</f>
        <v>£m 18/19</v>
      </c>
      <c r="D18" s="656">
        <v>0.36375000000000002</v>
      </c>
      <c r="E18" s="656">
        <v>0.36375000000000002</v>
      </c>
      <c r="F18" s="656">
        <v>0.36375000000000002</v>
      </c>
      <c r="G18" s="656">
        <v>0.36375000000000002</v>
      </c>
      <c r="H18" s="656">
        <v>0.36375000000000002</v>
      </c>
      <c r="I18" s="617">
        <f>SUM(D18:INDEX(D18:H18,0,MATCH('RFPR cover'!$C$9,$D$6:$H$6,0)))</f>
        <v>0.72750000000000004</v>
      </c>
      <c r="J18" s="618">
        <f t="shared" si="2"/>
        <v>1.8187500000000001</v>
      </c>
    </row>
    <row r="19" spans="1:11" s="464" customFormat="1">
      <c r="A19" s="470" t="s">
        <v>396</v>
      </c>
      <c r="B19" s="655" t="str">
        <f>Data!B130</f>
        <v>Collaborative streetworks ODI [Cadent Lon &amp; EoE, SGN So only]- (SpC 4.7)</v>
      </c>
      <c r="C19" s="586" t="str">
        <f>Data!$C$9</f>
        <v>£m 18/19</v>
      </c>
      <c r="D19" s="656">
        <v>0</v>
      </c>
      <c r="E19" s="656">
        <v>0</v>
      </c>
      <c r="F19" s="656">
        <v>0</v>
      </c>
      <c r="G19" s="656">
        <v>0</v>
      </c>
      <c r="H19" s="656">
        <v>0</v>
      </c>
      <c r="I19" s="617">
        <f>SUM(D19:INDEX(D19:H19,0,MATCH('RFPR cover'!$C$9,$D$6:$H$6,0)))</f>
        <v>0</v>
      </c>
      <c r="J19" s="618">
        <f t="shared" si="2"/>
        <v>0</v>
      </c>
    </row>
    <row r="20" spans="1:11" s="464" customFormat="1">
      <c r="B20" s="600" t="s">
        <v>545</v>
      </c>
      <c r="C20" s="594" t="str">
        <f>Data!$C$9</f>
        <v>£m 18/19</v>
      </c>
      <c r="D20" s="629">
        <f>SUM(D14:D19)</f>
        <v>1.1714089873768423</v>
      </c>
      <c r="E20" s="629">
        <f>SUM(E14:E19)</f>
        <v>1.2979601473897331</v>
      </c>
      <c r="F20" s="629">
        <f>SUM(F14:F19)</f>
        <v>1.7260294117647055</v>
      </c>
      <c r="G20" s="629">
        <f>SUM(G14:G19)</f>
        <v>1.7616911764705883</v>
      </c>
      <c r="H20" s="629">
        <f>SUM(H14:H19)</f>
        <v>1.8187500000000001</v>
      </c>
      <c r="I20" s="617">
        <f>SUM(D20:INDEX(D20:H20,0,MATCH('RFPR cover'!$C$9,$D$6:$H$6,0)))</f>
        <v>2.4693691347665752</v>
      </c>
      <c r="J20" s="618">
        <f t="shared" si="2"/>
        <v>7.7758397230018694</v>
      </c>
    </row>
    <row r="21" spans="1:11" s="464" customFormat="1"/>
    <row r="22" spans="1:11" s="658" customFormat="1" ht="14.25" customHeight="1">
      <c r="A22" s="657"/>
    </row>
    <row r="23" spans="1:11" s="464" customFormat="1">
      <c r="A23" s="659"/>
      <c r="B23" s="660" t="s">
        <v>546</v>
      </c>
      <c r="C23" s="661"/>
      <c r="D23" s="661"/>
      <c r="E23" s="661"/>
      <c r="F23" s="661"/>
      <c r="G23" s="661"/>
      <c r="H23" s="661"/>
      <c r="I23" s="661"/>
      <c r="J23" s="661"/>
    </row>
    <row r="24" spans="1:11" s="464" customFormat="1">
      <c r="A24" s="662" t="s">
        <v>390</v>
      </c>
      <c r="B24" s="1287"/>
      <c r="C24" s="1287"/>
      <c r="D24" s="1287"/>
      <c r="E24" s="1287"/>
      <c r="F24" s="1287"/>
      <c r="G24" s="1287"/>
      <c r="H24" s="1287"/>
      <c r="I24" s="1287"/>
      <c r="J24" s="1287"/>
    </row>
    <row r="25" spans="1:11" s="464" customFormat="1">
      <c r="A25" s="662" t="s">
        <v>391</v>
      </c>
      <c r="B25" s="1287"/>
      <c r="C25" s="1287"/>
      <c r="D25" s="1287"/>
      <c r="E25" s="1287"/>
      <c r="F25" s="1287"/>
      <c r="G25" s="1287"/>
      <c r="H25" s="1287"/>
      <c r="I25" s="1287"/>
      <c r="J25" s="1287"/>
    </row>
    <row r="26" spans="1:11" s="464" customFormat="1">
      <c r="A26" s="662" t="s">
        <v>392</v>
      </c>
      <c r="B26" s="1287"/>
      <c r="C26" s="1287"/>
      <c r="D26" s="1287"/>
      <c r="E26" s="1287"/>
      <c r="F26" s="1287"/>
      <c r="G26" s="1287"/>
      <c r="H26" s="1287"/>
      <c r="I26" s="1287"/>
      <c r="J26" s="1287"/>
    </row>
    <row r="27" spans="1:11" s="464" customFormat="1">
      <c r="A27" s="662" t="s">
        <v>393</v>
      </c>
      <c r="B27" s="1287"/>
      <c r="C27" s="1287"/>
      <c r="D27" s="1287"/>
      <c r="E27" s="1287"/>
      <c r="F27" s="1287"/>
      <c r="G27" s="1287"/>
      <c r="H27" s="1287"/>
      <c r="I27" s="1287"/>
      <c r="J27" s="1287"/>
    </row>
    <row r="28" spans="1:11" s="464" customFormat="1">
      <c r="A28" s="662" t="s">
        <v>394</v>
      </c>
      <c r="B28" s="1287"/>
      <c r="C28" s="1287"/>
      <c r="D28" s="1287"/>
      <c r="E28" s="1287"/>
      <c r="F28" s="1287"/>
      <c r="G28" s="1287"/>
      <c r="H28" s="1287"/>
      <c r="I28" s="1287"/>
      <c r="J28" s="1287"/>
    </row>
    <row r="29" spans="1:11" s="464" customFormat="1">
      <c r="A29" s="662" t="s">
        <v>395</v>
      </c>
      <c r="B29" s="1287"/>
      <c r="C29" s="1287"/>
      <c r="D29" s="1287"/>
      <c r="E29" s="1287"/>
      <c r="F29" s="1287"/>
      <c r="G29" s="1287"/>
      <c r="H29" s="1287"/>
      <c r="I29" s="1287"/>
      <c r="J29" s="1287"/>
    </row>
    <row r="30" spans="1:11" s="464" customFormat="1">
      <c r="A30" s="662" t="s">
        <v>396</v>
      </c>
      <c r="B30" s="1287"/>
      <c r="C30" s="1287"/>
      <c r="D30" s="1287"/>
      <c r="E30" s="1287"/>
      <c r="F30" s="1287"/>
      <c r="G30" s="1287"/>
      <c r="H30" s="1287"/>
      <c r="I30" s="1287"/>
      <c r="J30" s="1287"/>
    </row>
    <row r="31" spans="1:11" s="464" customFormat="1">
      <c r="A31" s="470"/>
      <c r="C31" s="586"/>
      <c r="D31" s="586"/>
      <c r="E31" s="586"/>
      <c r="F31" s="586"/>
      <c r="G31" s="586"/>
      <c r="H31" s="586"/>
      <c r="I31" s="586"/>
      <c r="J31" s="586"/>
    </row>
    <row r="32" spans="1:11" s="464" customFormat="1" ht="21">
      <c r="B32" s="652" t="s">
        <v>547</v>
      </c>
      <c r="C32" s="510"/>
      <c r="D32" s="511"/>
      <c r="E32" s="511"/>
      <c r="F32" s="511"/>
      <c r="G32" s="511"/>
      <c r="H32" s="511"/>
      <c r="I32" s="511"/>
      <c r="J32" s="511"/>
      <c r="K32" s="511"/>
    </row>
    <row r="33" spans="1:11" s="464" customFormat="1">
      <c r="A33" s="600"/>
      <c r="C33" s="30"/>
    </row>
    <row r="34" spans="1:11">
      <c r="B34" s="663" t="s">
        <v>548</v>
      </c>
    </row>
    <row r="35" spans="1:11">
      <c r="B35" s="600"/>
    </row>
    <row r="36" spans="1:11" s="464" customFormat="1">
      <c r="A36" s="585" t="s">
        <v>397</v>
      </c>
      <c r="B36" s="600" t="s">
        <v>549</v>
      </c>
      <c r="C36" s="42" t="s">
        <v>550</v>
      </c>
      <c r="D36" s="612"/>
      <c r="E36" s="612"/>
      <c r="F36" s="612"/>
      <c r="G36" s="612"/>
      <c r="H36" s="612"/>
    </row>
    <row r="37" spans="1:11" s="464" customFormat="1">
      <c r="B37" s="507" t="s">
        <v>551</v>
      </c>
      <c r="C37" s="586" t="str">
        <f>Data!$C$9</f>
        <v>£m 18/19</v>
      </c>
      <c r="D37" s="515">
        <v>0.31729832764654575</v>
      </c>
      <c r="E37" s="515">
        <v>0.52481832437136378</v>
      </c>
      <c r="F37" s="515">
        <v>1.6724877032473682</v>
      </c>
      <c r="G37" s="515">
        <v>1.6730500579585768</v>
      </c>
      <c r="H37" s="515">
        <v>1.6730500579585768</v>
      </c>
      <c r="I37" s="617">
        <f>SUM(D37:INDEX(D37:H37,0,MATCH('RFPR cover'!$C$9,$D$6:$H$6,0)))</f>
        <v>0.84211665201790953</v>
      </c>
      <c r="J37" s="618">
        <f t="shared" ref="J37" si="3">SUM(D37:H37)</f>
        <v>5.860704471182431</v>
      </c>
      <c r="K37" s="464" t="s">
        <v>552</v>
      </c>
    </row>
    <row r="38" spans="1:11" s="464" customFormat="1">
      <c r="B38" s="507" t="s">
        <v>553</v>
      </c>
      <c r="C38" s="586" t="str">
        <f>Data!$C$9</f>
        <v>£m 18/19</v>
      </c>
      <c r="D38" s="664">
        <v>0</v>
      </c>
      <c r="E38" s="587">
        <v>0</v>
      </c>
      <c r="F38" s="587">
        <v>0</v>
      </c>
      <c r="G38" s="587">
        <v>0</v>
      </c>
      <c r="H38" s="587">
        <v>0</v>
      </c>
      <c r="I38" s="617">
        <f>SUM(D38:INDEX(D38:H38,0,MATCH('RFPR cover'!$C$9,$D$6:$H$6,0)))</f>
        <v>0</v>
      </c>
      <c r="J38" s="618">
        <f t="shared" ref="J38:J41" si="4">SUM(D38:H38)</f>
        <v>0</v>
      </c>
    </row>
    <row r="39" spans="1:11" s="464" customFormat="1">
      <c r="B39" s="507" t="s">
        <v>554</v>
      </c>
      <c r="C39" s="586" t="str">
        <f>Data!$C$9</f>
        <v>£m 18/19</v>
      </c>
      <c r="D39" s="519">
        <v>3.1729832764654575E-2</v>
      </c>
      <c r="E39" s="519">
        <v>5.2481832437136389E-2</v>
      </c>
      <c r="F39" s="519">
        <v>0.16724877032473673</v>
      </c>
      <c r="G39" s="519">
        <v>0.16730500579585761</v>
      </c>
      <c r="H39" s="519">
        <v>0.16730500579585761</v>
      </c>
      <c r="I39" s="617">
        <f>SUM(D39:INDEX(D39:H39,0,MATCH('RFPR cover'!$C$9,$D$6:$H$6,0)))</f>
        <v>8.4211665201790964E-2</v>
      </c>
      <c r="J39" s="618">
        <f t="shared" si="4"/>
        <v>0.58607044711824297</v>
      </c>
    </row>
    <row r="40" spans="1:11" s="600" customFormat="1">
      <c r="B40" s="464" t="s">
        <v>555</v>
      </c>
      <c r="C40" s="586" t="str">
        <f>Data!$C$9</f>
        <v>£m 18/19</v>
      </c>
      <c r="D40" s="629">
        <f>D37-D38-D39</f>
        <v>0.28556849488189118</v>
      </c>
      <c r="E40" s="672">
        <f t="shared" ref="E40:H40" si="5">E37-E38-E39</f>
        <v>0.47233649193422739</v>
      </c>
      <c r="F40" s="672">
        <f t="shared" si="5"/>
        <v>1.5052389329226314</v>
      </c>
      <c r="G40" s="672">
        <f t="shared" si="5"/>
        <v>1.5057450521627191</v>
      </c>
      <c r="H40" s="672">
        <f t="shared" si="5"/>
        <v>1.5057450521627191</v>
      </c>
      <c r="I40" s="617">
        <f>SUM(D40:INDEX(D40:H40,0,MATCH('RFPR cover'!$C$9,$D$6:$H$6,0)))</f>
        <v>0.75790498681611851</v>
      </c>
      <c r="J40" s="618">
        <f t="shared" si="4"/>
        <v>5.2746340240641878</v>
      </c>
      <c r="K40" s="464"/>
    </row>
    <row r="41" spans="1:11" s="464" customFormat="1">
      <c r="A41" s="598"/>
      <c r="B41" s="600" t="s">
        <v>556</v>
      </c>
      <c r="C41" s="586" t="str">
        <f>Data!$C$9</f>
        <v>£m 18/19</v>
      </c>
      <c r="D41" s="673">
        <f>D38+D39</f>
        <v>3.1729832764654575E-2</v>
      </c>
      <c r="E41" s="673">
        <f t="shared" ref="E41:H41" si="6">E38+E39</f>
        <v>5.2481832437136389E-2</v>
      </c>
      <c r="F41" s="673">
        <f t="shared" si="6"/>
        <v>0.16724877032473673</v>
      </c>
      <c r="G41" s="673">
        <f t="shared" si="6"/>
        <v>0.16730500579585761</v>
      </c>
      <c r="H41" s="673">
        <f t="shared" si="6"/>
        <v>0.16730500579585761</v>
      </c>
      <c r="I41" s="617">
        <f>SUM(D41:INDEX(D41:H41,0,MATCH('RFPR cover'!$C$9,$D$6:$H$6,0)))</f>
        <v>8.4211665201790964E-2</v>
      </c>
      <c r="J41" s="618">
        <f t="shared" si="4"/>
        <v>0.58607044711824297</v>
      </c>
    </row>
    <row r="42" spans="1:11" s="464" customFormat="1">
      <c r="A42" s="598"/>
      <c r="B42" s="600"/>
      <c r="C42" s="586"/>
      <c r="D42" s="665"/>
      <c r="E42" s="665"/>
      <c r="F42" s="665"/>
      <c r="G42" s="665"/>
      <c r="H42" s="665"/>
    </row>
    <row r="43" spans="1:11" s="464" customFormat="1">
      <c r="A43" s="585" t="s">
        <v>398</v>
      </c>
      <c r="B43" s="600" t="s">
        <v>557</v>
      </c>
      <c r="C43" s="586" t="s">
        <v>558</v>
      </c>
      <c r="D43" s="665"/>
      <c r="E43" s="665"/>
      <c r="F43" s="665"/>
      <c r="G43" s="665"/>
      <c r="H43" s="665"/>
    </row>
    <row r="44" spans="1:11" s="464" customFormat="1" ht="13.7">
      <c r="A44" s="598"/>
      <c r="B44" s="507" t="s">
        <v>559</v>
      </c>
      <c r="C44" s="586" t="str">
        <f>Data!$C$9</f>
        <v>£m 18/19</v>
      </c>
      <c r="D44" s="515">
        <v>0.56045279327622521</v>
      </c>
      <c r="E44" s="666"/>
      <c r="F44" s="666"/>
      <c r="G44" s="666"/>
      <c r="H44" s="666"/>
      <c r="K44" s="464" t="s">
        <v>552</v>
      </c>
    </row>
    <row r="45" spans="1:11" s="464" customFormat="1" ht="13.7">
      <c r="A45" s="598"/>
      <c r="B45" s="507" t="s">
        <v>553</v>
      </c>
      <c r="C45" s="586" t="str">
        <f>Data!$C$9</f>
        <v>£m 18/19</v>
      </c>
      <c r="D45" s="664">
        <v>0</v>
      </c>
      <c r="E45" s="666"/>
      <c r="F45" s="666"/>
      <c r="G45" s="666"/>
      <c r="H45" s="666"/>
    </row>
    <row r="46" spans="1:11" s="464" customFormat="1" ht="13.7">
      <c r="A46" s="598"/>
      <c r="B46" s="507" t="s">
        <v>554</v>
      </c>
      <c r="C46" s="586" t="str">
        <f>Data!$C$9</f>
        <v>£m 18/19</v>
      </c>
      <c r="D46" s="519">
        <v>5.601380660704991E-2</v>
      </c>
      <c r="E46" s="666"/>
      <c r="F46" s="666"/>
      <c r="G46" s="666"/>
      <c r="H46" s="666"/>
    </row>
    <row r="47" spans="1:11" s="464" customFormat="1" ht="13.7">
      <c r="A47" s="598"/>
      <c r="B47" s="464" t="s">
        <v>560</v>
      </c>
      <c r="C47" s="586" t="str">
        <f>Data!$C$9</f>
        <v>£m 18/19</v>
      </c>
      <c r="D47" s="629">
        <f>D44-D45-D46</f>
        <v>0.5044389866691753</v>
      </c>
      <c r="E47" s="666"/>
      <c r="F47" s="666"/>
      <c r="G47" s="666"/>
      <c r="H47" s="666"/>
    </row>
    <row r="48" spans="1:11" ht="13.7">
      <c r="A48" s="667"/>
      <c r="B48" s="600" t="s">
        <v>561</v>
      </c>
      <c r="C48" s="586" t="str">
        <f>Data!$C$9</f>
        <v>£m 18/19</v>
      </c>
      <c r="D48" s="672">
        <f>D45+D46</f>
        <v>5.601380660704991E-2</v>
      </c>
      <c r="E48" s="666"/>
      <c r="F48" s="666"/>
      <c r="G48" s="666"/>
      <c r="H48" s="666"/>
      <c r="K48" s="464"/>
    </row>
    <row r="49" spans="1:11">
      <c r="B49" s="600"/>
      <c r="C49" s="586"/>
      <c r="D49" s="586"/>
      <c r="E49" s="586"/>
      <c r="F49" s="586"/>
      <c r="G49" s="586"/>
      <c r="H49" s="586"/>
      <c r="K49" s="586"/>
    </row>
    <row r="50" spans="1:11">
      <c r="A50" s="585" t="s">
        <v>399</v>
      </c>
      <c r="B50" s="600" t="s">
        <v>562</v>
      </c>
      <c r="C50" s="586" t="s">
        <v>563</v>
      </c>
      <c r="D50" s="665"/>
      <c r="E50" s="665"/>
      <c r="F50" s="665"/>
      <c r="G50" s="665"/>
      <c r="H50" s="665"/>
      <c r="K50" s="464"/>
    </row>
    <row r="51" spans="1:11">
      <c r="A51" s="598"/>
      <c r="B51" s="507" t="s">
        <v>564</v>
      </c>
      <c r="C51" s="586" t="str">
        <f>Data!$C$9</f>
        <v>£m 18/19</v>
      </c>
      <c r="D51" s="515">
        <v>0</v>
      </c>
      <c r="E51" s="515">
        <v>8.4766989984491906E-2</v>
      </c>
      <c r="F51" s="515">
        <v>0.43952260037705476</v>
      </c>
      <c r="G51" s="515">
        <v>0.57774780599097086</v>
      </c>
      <c r="H51" s="515">
        <v>0.48145650499247572</v>
      </c>
      <c r="I51" s="617">
        <f>SUM(D51:INDEX(D51:H51,0,MATCH('RFPR cover'!$C$9,$D$6:$H$6,0)))</f>
        <v>8.4766989984491906E-2</v>
      </c>
      <c r="J51" s="618">
        <f t="shared" ref="J51" si="7">SUM(D51:H51)</f>
        <v>1.5834939013449933</v>
      </c>
      <c r="K51" s="464" t="s">
        <v>552</v>
      </c>
    </row>
    <row r="52" spans="1:11">
      <c r="A52" s="598"/>
      <c r="B52" s="507" t="s">
        <v>565</v>
      </c>
      <c r="C52" s="586" t="str">
        <f>Data!$C$9</f>
        <v>£m 18/19</v>
      </c>
      <c r="D52" s="664">
        <v>0</v>
      </c>
      <c r="E52" s="587">
        <v>0</v>
      </c>
      <c r="F52" s="587">
        <v>0</v>
      </c>
      <c r="G52" s="587">
        <v>0</v>
      </c>
      <c r="H52" s="587">
        <v>0</v>
      </c>
      <c r="I52" s="617">
        <f>SUM(D52:INDEX(D52:H52,0,MATCH('RFPR cover'!$C$9,$D$6:$H$6,0)))</f>
        <v>0</v>
      </c>
      <c r="J52" s="618">
        <f t="shared" ref="J52:J55" si="8">SUM(D52:H52)</f>
        <v>0</v>
      </c>
    </row>
    <row r="53" spans="1:11">
      <c r="A53" s="598"/>
      <c r="B53" s="507" t="s">
        <v>554</v>
      </c>
      <c r="C53" s="586" t="str">
        <f>Data!$C$9</f>
        <v>£m 18/19</v>
      </c>
      <c r="D53" s="519">
        <v>0</v>
      </c>
      <c r="E53" s="519">
        <v>0</v>
      </c>
      <c r="F53" s="519">
        <v>0</v>
      </c>
      <c r="G53" s="519">
        <v>0</v>
      </c>
      <c r="H53" s="519">
        <v>0</v>
      </c>
      <c r="I53" s="617">
        <f>SUM(D53:INDEX(D53:H53,0,MATCH('RFPR cover'!$C$9,$D$6:$H$6,0)))</f>
        <v>0</v>
      </c>
      <c r="J53" s="618">
        <f t="shared" si="8"/>
        <v>0</v>
      </c>
    </row>
    <row r="54" spans="1:11">
      <c r="A54" s="598"/>
      <c r="B54" s="464" t="s">
        <v>566</v>
      </c>
      <c r="C54" s="586" t="str">
        <f>Data!$C$9</f>
        <v>£m 18/19</v>
      </c>
      <c r="D54" s="629">
        <f>D51-D52-D53</f>
        <v>0</v>
      </c>
      <c r="E54" s="672">
        <f>E51-E52-E53</f>
        <v>8.4766989984491906E-2</v>
      </c>
      <c r="F54" s="672">
        <f>F51-F52-F53</f>
        <v>0.43952260037705476</v>
      </c>
      <c r="G54" s="672">
        <f>G51-G52-G53</f>
        <v>0.57774780599097086</v>
      </c>
      <c r="H54" s="672">
        <f>H51-H52-H53</f>
        <v>0.48145650499247572</v>
      </c>
      <c r="I54" s="617">
        <f>SUM(D54:INDEX(D54:H54,0,MATCH('RFPR cover'!$C$9,$D$6:$H$6,0)))</f>
        <v>8.4766989984491906E-2</v>
      </c>
      <c r="J54" s="618">
        <f t="shared" si="8"/>
        <v>1.5834939013449933</v>
      </c>
    </row>
    <row r="55" spans="1:11">
      <c r="A55" s="667"/>
      <c r="B55" s="600" t="s">
        <v>567</v>
      </c>
      <c r="C55" s="586" t="str">
        <f>Data!$C$9</f>
        <v>£m 18/19</v>
      </c>
      <c r="D55" s="672">
        <f>D52+D53</f>
        <v>0</v>
      </c>
      <c r="E55" s="672">
        <f>E52+E53</f>
        <v>0</v>
      </c>
      <c r="F55" s="672">
        <f>F52+F53</f>
        <v>0</v>
      </c>
      <c r="G55" s="672">
        <f>G52+G53</f>
        <v>0</v>
      </c>
      <c r="H55" s="672">
        <f>H52+H53</f>
        <v>0</v>
      </c>
      <c r="I55" s="617">
        <f>SUM(D55:INDEX(D55:H55,0,MATCH('RFPR cover'!$C$9,$D$6:$H$6,0)))</f>
        <v>0</v>
      </c>
      <c r="J55" s="618">
        <f t="shared" si="8"/>
        <v>0</v>
      </c>
    </row>
    <row r="56" spans="1:11">
      <c r="B56" s="600"/>
      <c r="C56" s="586"/>
      <c r="D56" s="586"/>
      <c r="E56" s="586"/>
      <c r="F56" s="586"/>
      <c r="G56" s="586"/>
      <c r="H56" s="586"/>
      <c r="I56" s="586"/>
    </row>
    <row r="57" spans="1:11">
      <c r="B57" s="600"/>
      <c r="C57" s="586"/>
      <c r="D57" s="586"/>
      <c r="E57" s="586"/>
      <c r="F57" s="586"/>
      <c r="G57" s="586"/>
      <c r="H57" s="586"/>
      <c r="I57" s="586"/>
    </row>
    <row r="58" spans="1:11" s="464" customFormat="1">
      <c r="B58" s="663" t="s">
        <v>568</v>
      </c>
      <c r="C58" s="30"/>
    </row>
    <row r="59" spans="1:11" s="464" customFormat="1" ht="15">
      <c r="B59" s="668" t="s">
        <v>569</v>
      </c>
      <c r="C59" s="669"/>
      <c r="D59" s="668"/>
      <c r="E59" s="668"/>
      <c r="F59" s="668"/>
      <c r="G59" s="668"/>
      <c r="H59" s="668"/>
      <c r="I59" s="668"/>
      <c r="J59" s="668"/>
      <c r="K59" s="668"/>
    </row>
    <row r="60" spans="1:11" s="464" customFormat="1">
      <c r="B60" s="670" t="s">
        <v>570</v>
      </c>
      <c r="C60" s="30"/>
    </row>
    <row r="61" spans="1:11" s="464" customFormat="1" ht="18.95" customHeight="1">
      <c r="A61" s="470"/>
      <c r="B61" s="654" t="s">
        <v>571</v>
      </c>
    </row>
    <row r="62" spans="1:11" s="464" customFormat="1" ht="14.45" customHeight="1">
      <c r="A62" s="470" t="s">
        <v>400</v>
      </c>
      <c r="B62" s="671" t="str">
        <f>Data!B188</f>
        <v/>
      </c>
      <c r="C62" s="586" t="str">
        <f>Data!$C$9</f>
        <v>£m 18/19</v>
      </c>
      <c r="D62" s="656">
        <v>0</v>
      </c>
      <c r="E62" s="656">
        <v>0</v>
      </c>
      <c r="F62" s="656">
        <v>0</v>
      </c>
      <c r="G62" s="656">
        <v>0</v>
      </c>
      <c r="H62" s="656">
        <v>0</v>
      </c>
      <c r="I62" s="617">
        <f>SUM(D62:INDEX(D62:H62,0,MATCH('RFPR cover'!$C$9,$D$6:$H$6,0)))</f>
        <v>0</v>
      </c>
      <c r="J62" s="618">
        <f t="shared" ref="J62" si="9">SUM(D62:H62)</f>
        <v>0</v>
      </c>
    </row>
    <row r="63" spans="1:11" s="464" customFormat="1" ht="14.45" customHeight="1">
      <c r="A63" s="470" t="s">
        <v>401</v>
      </c>
      <c r="B63" s="671" t="str">
        <f>Data!B189</f>
        <v/>
      </c>
      <c r="C63" s="586" t="str">
        <f>Data!$C$9</f>
        <v>£m 18/19</v>
      </c>
      <c r="D63" s="656">
        <v>0</v>
      </c>
      <c r="E63" s="656">
        <v>0</v>
      </c>
      <c r="F63" s="656">
        <v>0</v>
      </c>
      <c r="G63" s="656">
        <v>0</v>
      </c>
      <c r="H63" s="656">
        <v>0</v>
      </c>
      <c r="I63" s="617">
        <f>SUM(D63:INDEX(D63:H63,0,MATCH('RFPR cover'!$C$9,$D$6:$H$6,0)))</f>
        <v>0</v>
      </c>
      <c r="J63" s="618">
        <f t="shared" ref="J63:J67" si="10">SUM(D63:H63)</f>
        <v>0</v>
      </c>
    </row>
    <row r="64" spans="1:11" s="464" customFormat="1" ht="14.45" customHeight="1">
      <c r="A64" s="470" t="s">
        <v>402</v>
      </c>
      <c r="B64" s="671" t="str">
        <f>Data!B190</f>
        <v/>
      </c>
      <c r="C64" s="586" t="str">
        <f>Data!$C$9</f>
        <v>£m 18/19</v>
      </c>
      <c r="D64" s="656">
        <v>0</v>
      </c>
      <c r="E64" s="656">
        <v>0</v>
      </c>
      <c r="F64" s="656">
        <v>0</v>
      </c>
      <c r="G64" s="656">
        <v>0</v>
      </c>
      <c r="H64" s="656">
        <v>0</v>
      </c>
      <c r="I64" s="617">
        <f>SUM(D64:INDEX(D64:H64,0,MATCH('RFPR cover'!$C$9,$D$6:$H$6,0)))</f>
        <v>0</v>
      </c>
      <c r="J64" s="618">
        <f t="shared" si="10"/>
        <v>0</v>
      </c>
    </row>
    <row r="65" spans="1:13" s="464" customFormat="1" ht="14.45" customHeight="1">
      <c r="A65" s="470" t="s">
        <v>403</v>
      </c>
      <c r="B65" s="671" t="str">
        <f>Data!B191</f>
        <v/>
      </c>
      <c r="C65" s="586" t="str">
        <f>Data!$C$9</f>
        <v>£m 18/19</v>
      </c>
      <c r="D65" s="656">
        <v>0</v>
      </c>
      <c r="E65" s="656">
        <v>0</v>
      </c>
      <c r="F65" s="656">
        <v>0</v>
      </c>
      <c r="G65" s="656">
        <v>0</v>
      </c>
      <c r="H65" s="656">
        <v>0</v>
      </c>
      <c r="I65" s="617">
        <f>SUM(D65:INDEX(D65:H65,0,MATCH('RFPR cover'!$C$9,$D$6:$H$6,0)))</f>
        <v>0</v>
      </c>
      <c r="J65" s="618">
        <f t="shared" si="10"/>
        <v>0</v>
      </c>
    </row>
    <row r="66" spans="1:13" s="464" customFormat="1" ht="14.45" customHeight="1">
      <c r="A66" s="470" t="s">
        <v>404</v>
      </c>
      <c r="B66" s="671" t="str">
        <f>Data!B192</f>
        <v/>
      </c>
      <c r="C66" s="586" t="str">
        <f>Data!$C$9</f>
        <v>£m 18/19</v>
      </c>
      <c r="D66" s="656">
        <v>0</v>
      </c>
      <c r="E66" s="656">
        <v>0</v>
      </c>
      <c r="F66" s="656">
        <v>0</v>
      </c>
      <c r="G66" s="656">
        <v>0</v>
      </c>
      <c r="H66" s="656">
        <v>0</v>
      </c>
      <c r="I66" s="617">
        <f>SUM(D66:INDEX(D66:H66,0,MATCH('RFPR cover'!$C$9,$D$6:$H$6,0)))</f>
        <v>0</v>
      </c>
      <c r="J66" s="618">
        <f t="shared" si="10"/>
        <v>0</v>
      </c>
    </row>
    <row r="67" spans="1:13" s="464" customFormat="1" ht="14.45" customHeight="1">
      <c r="B67" s="600"/>
      <c r="C67" s="594" t="str">
        <f>Data!$C$9</f>
        <v>£m 18/19</v>
      </c>
      <c r="D67" s="629">
        <f>SUM(D62:D66)</f>
        <v>0</v>
      </c>
      <c r="E67" s="629">
        <f>SUM(E62:E66)</f>
        <v>0</v>
      </c>
      <c r="F67" s="629">
        <f>SUM(F62:F66)</f>
        <v>0</v>
      </c>
      <c r="G67" s="629">
        <f>SUM(G62:G66)</f>
        <v>0</v>
      </c>
      <c r="H67" s="629">
        <f>SUM(H62:H66)</f>
        <v>0</v>
      </c>
      <c r="I67" s="617">
        <f>SUM(D67:INDEX(D67:H67,0,MATCH('RFPR cover'!$C$9,$D$6:$H$6,0)))</f>
        <v>0</v>
      </c>
      <c r="J67" s="618">
        <f t="shared" si="10"/>
        <v>0</v>
      </c>
    </row>
    <row r="68" spans="1:13" s="464" customFormat="1" ht="14.45" customHeight="1">
      <c r="B68" s="600"/>
      <c r="C68" s="594"/>
      <c r="D68" s="594"/>
      <c r="E68" s="594"/>
      <c r="F68" s="594"/>
      <c r="G68" s="594"/>
      <c r="H68" s="594"/>
      <c r="I68" s="594"/>
    </row>
    <row r="69" spans="1:13" s="658" customFormat="1" ht="14.25" customHeight="1">
      <c r="A69" s="657"/>
      <c r="M69" s="464"/>
    </row>
    <row r="70" spans="1:13" s="464" customFormat="1">
      <c r="A70" s="659"/>
      <c r="B70" s="660" t="s">
        <v>546</v>
      </c>
      <c r="C70" s="661"/>
      <c r="D70" s="661"/>
      <c r="E70" s="661"/>
      <c r="F70" s="661"/>
      <c r="G70" s="661"/>
      <c r="H70" s="661"/>
      <c r="I70" s="661"/>
      <c r="J70" s="661"/>
    </row>
    <row r="71" spans="1:13" s="464" customFormat="1">
      <c r="A71" s="662" t="s">
        <v>397</v>
      </c>
      <c r="B71" s="660"/>
      <c r="C71" s="661"/>
      <c r="D71" s="661"/>
      <c r="E71" s="661"/>
      <c r="F71" s="661"/>
      <c r="G71" s="661"/>
      <c r="H71" s="661"/>
      <c r="I71" s="661"/>
      <c r="J71" s="661"/>
    </row>
    <row r="72" spans="1:13" s="464" customFormat="1">
      <c r="A72" s="662" t="s">
        <v>398</v>
      </c>
      <c r="B72" s="660"/>
      <c r="C72" s="661"/>
      <c r="D72" s="661"/>
      <c r="E72" s="661"/>
      <c r="F72" s="661"/>
      <c r="G72" s="661"/>
      <c r="H72" s="661"/>
      <c r="I72" s="661"/>
      <c r="J72" s="661"/>
    </row>
    <row r="73" spans="1:13" s="464" customFormat="1">
      <c r="A73" s="662" t="s">
        <v>399</v>
      </c>
      <c r="B73" s="1287"/>
      <c r="C73" s="1287"/>
      <c r="D73" s="1287"/>
      <c r="E73" s="1287"/>
      <c r="F73" s="1287"/>
      <c r="G73" s="1287"/>
      <c r="H73" s="1287"/>
      <c r="I73" s="1287"/>
      <c r="J73" s="1287"/>
    </row>
    <row r="74" spans="1:13" s="464" customFormat="1">
      <c r="A74" s="662" t="s">
        <v>400</v>
      </c>
      <c r="B74" s="1287"/>
      <c r="C74" s="1287"/>
      <c r="D74" s="1287"/>
      <c r="E74" s="1287"/>
      <c r="F74" s="1287"/>
      <c r="G74" s="1287"/>
      <c r="H74" s="1287"/>
      <c r="I74" s="1287"/>
      <c r="J74" s="1287"/>
    </row>
    <row r="75" spans="1:13" s="464" customFormat="1">
      <c r="A75" s="662" t="s">
        <v>401</v>
      </c>
      <c r="B75" s="1287"/>
      <c r="C75" s="1287"/>
      <c r="D75" s="1287"/>
      <c r="E75" s="1287"/>
      <c r="F75" s="1287"/>
      <c r="G75" s="1287"/>
      <c r="H75" s="1287"/>
      <c r="I75" s="1287"/>
      <c r="J75" s="1287"/>
    </row>
    <row r="76" spans="1:13" s="464" customFormat="1">
      <c r="A76" s="662" t="s">
        <v>402</v>
      </c>
      <c r="B76" s="1287"/>
      <c r="C76" s="1287"/>
      <c r="D76" s="1287"/>
      <c r="E76" s="1287"/>
      <c r="F76" s="1287"/>
      <c r="G76" s="1287"/>
      <c r="H76" s="1287"/>
      <c r="I76" s="1287"/>
      <c r="J76" s="1287"/>
    </row>
    <row r="77" spans="1:13" s="464" customFormat="1">
      <c r="A77" s="662" t="s">
        <v>403</v>
      </c>
      <c r="B77" s="520"/>
      <c r="C77" s="520"/>
      <c r="D77" s="520"/>
      <c r="E77" s="520"/>
      <c r="F77" s="520"/>
      <c r="G77" s="520"/>
      <c r="H77" s="520"/>
      <c r="I77" s="520"/>
      <c r="J77" s="520"/>
    </row>
    <row r="78" spans="1:13" s="464" customFormat="1">
      <c r="A78" s="662" t="s">
        <v>404</v>
      </c>
      <c r="B78" s="1287"/>
      <c r="C78" s="1287"/>
      <c r="D78" s="1287"/>
      <c r="E78" s="1287"/>
      <c r="F78" s="1287"/>
      <c r="G78" s="1287"/>
      <c r="H78" s="1287"/>
      <c r="I78" s="1287"/>
      <c r="J78" s="1287"/>
    </row>
  </sheetData>
  <sheetProtection algorithmName="SHA-512" hashValue="sTesCY255SbLlmr8yEwvCKc51bAByadmIRSsLde8u3TO/DRaclKnQpd+vmZzHi/q4hFce2ukt/CeGE0hcURQAw==" saltValue="zG5cvZQXQEIKZfOlWQLJJw==" spinCount="100000" sheet="1" objects="1" scenarios="1" insertRows="0" sort="0" autoFilter="0" pivotTables="0"/>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7:H7">
    <cfRule type="expression" dxfId="40" priority="1">
      <formula>AND(D$5="Actuals",E$5="Forecast")</formula>
    </cfRule>
  </conditionalFormatting>
  <conditionalFormatting sqref="H5:H6">
    <cfRule type="expression" dxfId="39" priority="237">
      <formula>AND(H$5="Actuals",#REF!="Forecast")</formula>
    </cfRule>
  </conditionalFormatting>
  <conditionalFormatting sqref="I5 D5:G6">
    <cfRule type="expression" dxfId="38"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election activeCell="D38" sqref="D38"/>
    </sheetView>
  </sheetViews>
  <sheetFormatPr defaultColWidth="0" defaultRowHeight="12.35" zeroHeight="1"/>
  <cols>
    <col min="1" max="1" width="8.3671875" style="166" customWidth="1"/>
    <col min="2" max="2" width="74.89453125" style="166" customWidth="1"/>
    <col min="3" max="3" width="14.1015625" style="166" customWidth="1"/>
    <col min="4" max="8" width="11.1015625" style="166" customWidth="1"/>
    <col min="9" max="10" width="12.89453125" style="166" customWidth="1"/>
    <col min="11" max="11" width="5" style="166" customWidth="1"/>
    <col min="12" max="23" width="9.26171875" style="166" customWidth="1"/>
    <col min="24" max="27" width="9" style="166" hidden="1" customWidth="1"/>
    <col min="28" max="16384" width="9" style="166" hidden="1"/>
  </cols>
  <sheetData>
    <row r="1" spans="1:27" ht="20.350000000000001">
      <c r="A1" s="449" t="s">
        <v>254</v>
      </c>
      <c r="B1" s="451"/>
      <c r="C1" s="452"/>
      <c r="D1" s="452"/>
      <c r="E1" s="452"/>
      <c r="F1" s="452"/>
      <c r="G1" s="452"/>
      <c r="H1" s="452"/>
      <c r="I1" s="453"/>
      <c r="J1" s="453"/>
      <c r="K1" s="574"/>
    </row>
    <row r="2" spans="1:27" ht="20.350000000000001">
      <c r="A2" s="454" t="str">
        <f>Licensee</f>
        <v>Cadent-WM</v>
      </c>
      <c r="B2" s="456"/>
      <c r="C2" s="457"/>
      <c r="D2" s="457"/>
      <c r="E2" s="457"/>
      <c r="F2" s="457"/>
      <c r="G2" s="457"/>
      <c r="H2" s="457"/>
      <c r="I2" s="458"/>
      <c r="J2" s="458"/>
      <c r="K2" s="459"/>
    </row>
    <row r="3" spans="1:27" ht="20.350000000000001">
      <c r="A3" s="674">
        <f>Reporting_Year</f>
        <v>2023</v>
      </c>
      <c r="B3" s="675" t="str">
        <f>IF('RFPR cover'!C7=Data!B79,"Not required to be completed for System Operator","")</f>
        <v/>
      </c>
      <c r="C3" s="674"/>
      <c r="D3" s="460"/>
      <c r="E3" s="460"/>
      <c r="F3" s="460"/>
      <c r="G3" s="460"/>
      <c r="H3" s="460"/>
      <c r="I3" s="461"/>
      <c r="J3" s="461"/>
      <c r="K3" s="462"/>
    </row>
    <row r="4" spans="1:27" ht="12.75" customHeight="1">
      <c r="A4" s="676"/>
      <c r="B4" s="676"/>
      <c r="C4" s="676"/>
      <c r="D4" s="676"/>
      <c r="E4" s="676"/>
      <c r="F4" s="676"/>
      <c r="G4" s="676"/>
      <c r="H4" s="676"/>
      <c r="I4" s="677"/>
    </row>
    <row r="5" spans="1:27">
      <c r="A5" s="464"/>
      <c r="B5" s="598"/>
      <c r="C5" s="598"/>
      <c r="D5" s="463" t="str">
        <f t="shared" ref="D5:I5" si="0">IF(D6&lt;=Reporting_Year,"Actuals","Forecast")</f>
        <v>Actuals</v>
      </c>
      <c r="E5" s="463" t="str">
        <f t="shared" si="0"/>
        <v>Actuals</v>
      </c>
      <c r="F5" s="463" t="str">
        <f t="shared" si="0"/>
        <v>Forecast</v>
      </c>
      <c r="G5" s="463" t="str">
        <f t="shared" si="0"/>
        <v>Forecast</v>
      </c>
      <c r="H5" s="463" t="str">
        <f t="shared" si="0"/>
        <v>Forecast</v>
      </c>
      <c r="I5" s="463" t="str">
        <f t="shared" si="0"/>
        <v>Forecast</v>
      </c>
      <c r="J5" s="464"/>
      <c r="K5" s="464"/>
      <c r="L5" s="464"/>
      <c r="M5" s="464"/>
      <c r="N5" s="464"/>
      <c r="O5" s="464"/>
      <c r="P5" s="464"/>
      <c r="Q5" s="464"/>
      <c r="R5" s="464"/>
      <c r="S5" s="464"/>
      <c r="T5" s="464"/>
      <c r="U5" s="464"/>
      <c r="V5" s="464"/>
      <c r="W5" s="464"/>
      <c r="X5" s="464"/>
      <c r="Y5" s="464"/>
      <c r="Z5" s="464"/>
      <c r="AA5" s="464"/>
    </row>
    <row r="6" spans="1:27" ht="24.7">
      <c r="A6" s="464"/>
      <c r="B6" s="464"/>
      <c r="C6" s="464"/>
      <c r="D6" s="575">
        <f>'RFPR cover'!$C$6</f>
        <v>2022</v>
      </c>
      <c r="E6" s="576">
        <f>D6+1</f>
        <v>2023</v>
      </c>
      <c r="F6" s="576">
        <f t="shared" ref="F6:H6" si="1">E6+1</f>
        <v>2024</v>
      </c>
      <c r="G6" s="576">
        <f t="shared" si="1"/>
        <v>2025</v>
      </c>
      <c r="H6" s="678">
        <f t="shared" si="1"/>
        <v>2026</v>
      </c>
      <c r="I6" s="679" t="str">
        <f>"Cumulative to "&amp;'RFPR cover'!$C$9</f>
        <v>Cumulative to 2023</v>
      </c>
      <c r="J6" s="680" t="s">
        <v>386</v>
      </c>
      <c r="K6" s="464"/>
      <c r="L6" s="464"/>
      <c r="M6" s="464"/>
      <c r="N6" s="464"/>
      <c r="O6" s="464"/>
      <c r="P6" s="464"/>
      <c r="Q6" s="464"/>
      <c r="R6" s="464"/>
      <c r="S6" s="464"/>
      <c r="T6" s="464"/>
      <c r="U6" s="464"/>
      <c r="V6" s="464"/>
      <c r="W6" s="464"/>
      <c r="X6" s="464"/>
      <c r="Y6" s="464"/>
      <c r="Z6" s="464"/>
      <c r="AA6" s="464"/>
    </row>
    <row r="7" spans="1:27">
      <c r="A7" s="464"/>
      <c r="B7" s="464"/>
      <c r="C7" s="464"/>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464"/>
      <c r="J7" s="464"/>
      <c r="K7" s="464"/>
      <c r="L7" s="464"/>
      <c r="M7" s="464"/>
      <c r="N7" s="464"/>
      <c r="O7" s="464"/>
      <c r="P7" s="464"/>
      <c r="Q7" s="464"/>
      <c r="R7" s="464"/>
      <c r="S7" s="464"/>
      <c r="T7" s="464"/>
      <c r="U7" s="464"/>
      <c r="V7" s="464"/>
      <c r="W7" s="464"/>
      <c r="X7" s="464"/>
      <c r="Y7" s="464"/>
      <c r="Z7" s="464"/>
      <c r="AA7" s="464"/>
    </row>
    <row r="8" spans="1:27">
      <c r="A8" s="464"/>
      <c r="B8" s="464"/>
      <c r="C8" s="464"/>
      <c r="D8" s="464"/>
      <c r="E8" s="464"/>
      <c r="F8" s="464"/>
      <c r="G8" s="464"/>
      <c r="H8" s="464"/>
      <c r="I8" s="464"/>
      <c r="J8" s="464"/>
      <c r="K8" s="464"/>
      <c r="L8" s="464"/>
      <c r="M8" s="464"/>
      <c r="N8" s="464"/>
      <c r="O8" s="464"/>
      <c r="P8" s="464"/>
      <c r="Q8" s="464"/>
      <c r="R8" s="464"/>
      <c r="S8" s="464"/>
      <c r="T8" s="464"/>
      <c r="U8" s="464"/>
      <c r="V8" s="464"/>
      <c r="W8" s="464"/>
      <c r="X8" s="464"/>
      <c r="Y8" s="464"/>
      <c r="Z8" s="464"/>
      <c r="AA8" s="464"/>
    </row>
    <row r="9" spans="1:27">
      <c r="B9" s="682" t="str">
        <f>'R5a - Financing input'!C92</f>
        <v>Net Interest Per Statutory Accounts</v>
      </c>
      <c r="C9" s="30" t="s">
        <v>425</v>
      </c>
      <c r="D9" s="710">
        <f>'R5a - Financing input'!M92</f>
        <v>316.35346812999978</v>
      </c>
      <c r="E9" s="710">
        <f>'R5a - Financing input'!N92</f>
        <v>204.97499434999992</v>
      </c>
      <c r="F9" s="710">
        <f>'R5a - Financing input'!O92</f>
        <v>226.27431781791626</v>
      </c>
      <c r="G9" s="710">
        <f>'R5a - Financing input'!P92</f>
        <v>135.01244227728037</v>
      </c>
      <c r="H9" s="710">
        <f>'R5a - Financing input'!Q92</f>
        <v>132.30171122486684</v>
      </c>
      <c r="I9" s="464"/>
      <c r="J9" s="464"/>
    </row>
    <row r="10" spans="1:27">
      <c r="B10" s="547"/>
      <c r="C10" s="30"/>
      <c r="D10" s="41"/>
      <c r="E10" s="41"/>
      <c r="F10" s="41"/>
      <c r="G10" s="41"/>
      <c r="H10" s="41"/>
      <c r="I10" s="464"/>
      <c r="J10" s="464"/>
    </row>
    <row r="11" spans="1:27">
      <c r="B11" s="547" t="s">
        <v>572</v>
      </c>
      <c r="C11" s="683"/>
      <c r="D11" s="684"/>
      <c r="E11" s="684"/>
      <c r="F11" s="684"/>
      <c r="G11" s="684"/>
      <c r="H11" s="684"/>
      <c r="I11" s="464"/>
      <c r="J11" s="464"/>
    </row>
    <row r="12" spans="1:27">
      <c r="B12" s="685" t="str">
        <f>'R5a - Financing input'!C100</f>
        <v>Interest not qualifying for corporation tax relief</v>
      </c>
      <c r="C12" s="30" t="s">
        <v>425</v>
      </c>
      <c r="D12" s="710">
        <f>'R5a - Financing input'!M100</f>
        <v>0</v>
      </c>
      <c r="E12" s="710">
        <f>'R5a - Financing input'!N100</f>
        <v>0</v>
      </c>
      <c r="F12" s="710">
        <f>'R5a - Financing input'!O100</f>
        <v>0</v>
      </c>
      <c r="G12" s="710">
        <f>'R5a - Financing input'!P100</f>
        <v>0</v>
      </c>
      <c r="H12" s="710">
        <f>'R5a - Financing input'!Q100</f>
        <v>0</v>
      </c>
      <c r="I12" s="464"/>
      <c r="J12" s="464"/>
    </row>
    <row r="13" spans="1:27">
      <c r="B13" s="685" t="str">
        <f>'R5a - Financing input'!C101</f>
        <v>Fair value adjustments (e.g. losses on derivatives)</v>
      </c>
      <c r="C13" s="30" t="s">
        <v>425</v>
      </c>
      <c r="D13" s="710">
        <f>'R5a - Financing input'!M101</f>
        <v>13.819698439999998</v>
      </c>
      <c r="E13" s="710">
        <f>'R5a - Financing input'!N101</f>
        <v>14.963229609999999</v>
      </c>
      <c r="F13" s="710">
        <f>'R5a - Financing input'!O101</f>
        <v>15.924119960612465</v>
      </c>
      <c r="G13" s="710">
        <f>'R5a - Financing input'!P101</f>
        <v>3.3696381577296339</v>
      </c>
      <c r="H13" s="710">
        <f>'R5a - Financing input'!Q101</f>
        <v>3.2317871291445792</v>
      </c>
      <c r="I13" s="464"/>
      <c r="J13" s="464"/>
    </row>
    <row r="14" spans="1:27">
      <c r="B14" s="685" t="str">
        <f>'R5a - Financing input'!C102</f>
        <v>Dividends on preference shares</v>
      </c>
      <c r="C14" s="30" t="s">
        <v>425</v>
      </c>
      <c r="D14" s="710">
        <f>'R5a - Financing input'!M102</f>
        <v>0</v>
      </c>
      <c r="E14" s="710">
        <f>'R5a - Financing input'!N102</f>
        <v>0</v>
      </c>
      <c r="F14" s="710">
        <f>'R5a - Financing input'!O102</f>
        <v>0</v>
      </c>
      <c r="G14" s="710">
        <f>'R5a - Financing input'!P102</f>
        <v>0</v>
      </c>
      <c r="H14" s="710">
        <f>'R5a - Financing input'!Q102</f>
        <v>0</v>
      </c>
      <c r="I14" s="464"/>
      <c r="J14" s="464"/>
    </row>
    <row r="15" spans="1:27">
      <c r="B15" s="685" t="str">
        <f>'R5a - Financing input'!C103</f>
        <v>Costs of early redemption on long term debt</v>
      </c>
      <c r="C15" s="30" t="s">
        <v>425</v>
      </c>
      <c r="D15" s="710">
        <f>'R5a - Financing input'!M103</f>
        <v>0</v>
      </c>
      <c r="E15" s="710">
        <f>'R5a - Financing input'!N103</f>
        <v>0</v>
      </c>
      <c r="F15" s="710">
        <f>'R5a - Financing input'!O103</f>
        <v>0</v>
      </c>
      <c r="G15" s="710">
        <f>'R5a - Financing input'!P103</f>
        <v>0</v>
      </c>
      <c r="H15" s="710">
        <f>'R5a - Financing input'!Q103</f>
        <v>0</v>
      </c>
      <c r="I15" s="464"/>
      <c r="J15" s="464"/>
    </row>
    <row r="16" spans="1:27">
      <c r="B16" s="685" t="str">
        <f>'R5a - Financing input'!C104</f>
        <v>Swap Termination Costs paid</v>
      </c>
      <c r="C16" s="30" t="s">
        <v>425</v>
      </c>
      <c r="D16" s="710">
        <f>'R5a - Financing input'!M104</f>
        <v>0</v>
      </c>
      <c r="E16" s="710">
        <f>'R5a - Financing input'!N104</f>
        <v>0</v>
      </c>
      <c r="F16" s="710">
        <f>'R5a - Financing input'!O104</f>
        <v>0</v>
      </c>
      <c r="G16" s="710">
        <f>'R5a - Financing input'!P104</f>
        <v>0</v>
      </c>
      <c r="H16" s="710">
        <f>'R5a - Financing input'!Q104</f>
        <v>0</v>
      </c>
      <c r="I16" s="464"/>
      <c r="J16" s="464"/>
    </row>
    <row r="17" spans="2:9">
      <c r="B17" s="685" t="str">
        <f>'R5a - Financing input'!C105</f>
        <v>Movements relating to pension fund liabilities reported within net interest</v>
      </c>
      <c r="C17" s="30" t="s">
        <v>425</v>
      </c>
      <c r="D17" s="710">
        <f>'R5a - Financing input'!M105</f>
        <v>9</v>
      </c>
      <c r="E17" s="710">
        <f>'R5a - Financing input'!N105</f>
        <v>29</v>
      </c>
      <c r="F17" s="710">
        <f>'R5a - Financing input'!O105</f>
        <v>29</v>
      </c>
      <c r="G17" s="710">
        <f>'R5a - Financing input'!P105</f>
        <v>29</v>
      </c>
      <c r="H17" s="710">
        <f>'R5a - Financing input'!Q105</f>
        <v>29</v>
      </c>
      <c r="I17" s="464"/>
    </row>
    <row r="18" spans="2:9">
      <c r="B18" s="685" t="str">
        <f>'R5a - Financing input'!C106</f>
        <v>Debt issuance expenses (inc. amortisation to discounts that had previously benefitted from a tax deduction)</v>
      </c>
      <c r="C18" s="30" t="s">
        <v>425</v>
      </c>
      <c r="D18" s="710">
        <f>'R5a - Financing input'!M106</f>
        <v>-4.5332836099999936</v>
      </c>
      <c r="E18" s="710">
        <f>'R5a - Financing input'!N106</f>
        <v>-7.2766104899999995</v>
      </c>
      <c r="F18" s="710">
        <f>'R5a - Financing input'!O106</f>
        <v>-5.8353519323937704</v>
      </c>
      <c r="G18" s="710">
        <f>'R5a - Financing input'!P106</f>
        <v>-5.7132785376540678</v>
      </c>
      <c r="H18" s="710">
        <f>'R5a - Financing input'!Q106</f>
        <v>-5.3565598618900943</v>
      </c>
      <c r="I18" s="464"/>
    </row>
    <row r="19" spans="2:9" ht="12.75" customHeight="1">
      <c r="B19" s="685" t="str">
        <f>'R5a - Financing input'!C107</f>
        <v>Commitment fees for undrawn liquidity backup lines</v>
      </c>
      <c r="C19" s="30" t="s">
        <v>425</v>
      </c>
      <c r="D19" s="710">
        <f>'R5a - Financing input'!M107</f>
        <v>-0.2824158799999999</v>
      </c>
      <c r="E19" s="710">
        <f>'R5a - Financing input'!N107</f>
        <v>-3.0097344699999997</v>
      </c>
      <c r="F19" s="710">
        <f>'R5a - Financing input'!O107</f>
        <v>-0.57600000000000007</v>
      </c>
      <c r="G19" s="710">
        <f>'R5a - Financing input'!P107</f>
        <v>-0.57600000000000007</v>
      </c>
      <c r="H19" s="710">
        <f>'R5a - Financing input'!Q107</f>
        <v>-0.57600000000000007</v>
      </c>
      <c r="I19" s="464"/>
    </row>
    <row r="20" spans="2:9">
      <c r="B20" s="685" t="str">
        <f>'R5a - Financing input'!C108</f>
        <v>Less: Unwind of discount</v>
      </c>
      <c r="C20" s="30" t="s">
        <v>425</v>
      </c>
      <c r="D20" s="710">
        <f>'R5a - Financing input'!M108</f>
        <v>-0.28329284999999998</v>
      </c>
      <c r="E20" s="710">
        <f>'R5a - Financing input'!N108</f>
        <v>-0.30700746999999995</v>
      </c>
      <c r="F20" s="710">
        <f>'R5a - Financing input'!O108</f>
        <v>-0.12367397933369759</v>
      </c>
      <c r="G20" s="710">
        <f>'R5a - Financing input'!P108</f>
        <v>-0.1</v>
      </c>
      <c r="H20" s="710">
        <f>'R5a - Financing input'!Q108</f>
        <v>-0.1</v>
      </c>
      <c r="I20" s="464"/>
    </row>
    <row r="21" spans="2:9">
      <c r="B21" s="685" t="str">
        <f>'R5a - Financing input'!C109</f>
        <v>Less: Term Debt / Letter of Credit / RCF Fees</v>
      </c>
      <c r="C21" s="30" t="s">
        <v>425</v>
      </c>
      <c r="D21" s="710">
        <f>'R5a - Financing input'!M109</f>
        <v>-2.0715935500000002</v>
      </c>
      <c r="E21" s="710">
        <f>'R5a - Financing input'!N109</f>
        <v>-0.47992902999999987</v>
      </c>
      <c r="F21" s="710">
        <f>'R5a - Financing input'!O109</f>
        <v>-1.2374999999999998</v>
      </c>
      <c r="G21" s="710">
        <f>'R5a - Financing input'!P109</f>
        <v>-1.2374999999999998</v>
      </c>
      <c r="H21" s="710">
        <f>'R5a - Financing input'!Q109</f>
        <v>-1.2374999999999998</v>
      </c>
      <c r="I21" s="464"/>
    </row>
    <row r="22" spans="2:9">
      <c r="B22" s="685" t="str">
        <f>'R5a - Financing input'!C110</f>
        <v xml:space="preserve">losses/(gains) on derivative financial instruments </v>
      </c>
      <c r="C22" s="30" t="s">
        <v>425</v>
      </c>
      <c r="D22" s="710">
        <f>'R5a - Financing input'!M110</f>
        <v>-77.819520879999999</v>
      </c>
      <c r="E22" s="710">
        <f>'R5a - Financing input'!N110</f>
        <v>158</v>
      </c>
      <c r="F22" s="710">
        <f>'R5a - Financing input'!O110</f>
        <v>0</v>
      </c>
      <c r="G22" s="710">
        <f>'R5a - Financing input'!P110</f>
        <v>0</v>
      </c>
      <c r="H22" s="710">
        <f>'R5a - Financing input'!Q110</f>
        <v>0</v>
      </c>
      <c r="I22" s="464"/>
    </row>
    <row r="23" spans="2:9">
      <c r="B23" s="685" t="str">
        <f>'R5a - Financing input'!C111</f>
        <v>Economic cost of changing capital structure in FY16/17</v>
      </c>
      <c r="C23" s="30" t="s">
        <v>425</v>
      </c>
      <c r="D23" s="710">
        <f>'R5a - Financing input'!M111</f>
        <v>0</v>
      </c>
      <c r="E23" s="710">
        <f>'R5a - Financing input'!N111</f>
        <v>0</v>
      </c>
      <c r="F23" s="710">
        <f>'R5a - Financing input'!O111</f>
        <v>0</v>
      </c>
      <c r="G23" s="710">
        <f>'R5a - Financing input'!P111</f>
        <v>0</v>
      </c>
      <c r="H23" s="710">
        <f>'R5a - Financing input'!Q111</f>
        <v>0</v>
      </c>
      <c r="I23" s="464"/>
    </row>
    <row r="24" spans="2:9">
      <c r="B24" s="685" t="str">
        <f>'R5a - Financing input'!C112</f>
        <v>Less finance costs relating to other three networks</v>
      </c>
      <c r="C24" s="30" t="s">
        <v>425</v>
      </c>
      <c r="D24" s="710">
        <f>'R5a - Financing input'!M112</f>
        <v>-208.18783467055476</v>
      </c>
      <c r="E24" s="710">
        <f>'R5a - Financing input'!N112</f>
        <v>-324.35510910853026</v>
      </c>
      <c r="F24" s="710">
        <f>'R5a - Financing input'!O112</f>
        <v>-215.96963408208555</v>
      </c>
      <c r="G24" s="710">
        <f>'R5a - Financing input'!P112</f>
        <v>-131.0224417582393</v>
      </c>
      <c r="H24" s="710">
        <f>'R5a - Financing input'!Q112</f>
        <v>-129.07275913323664</v>
      </c>
      <c r="I24" s="464"/>
    </row>
    <row r="25" spans="2:9">
      <c r="B25" s="685" t="str">
        <f>'R5a - Financing input'!C113</f>
        <v>Other Adjustments [please specify]</v>
      </c>
      <c r="C25" s="30" t="s">
        <v>425</v>
      </c>
      <c r="D25" s="710">
        <f>'R5a - Financing input'!M113</f>
        <v>0</v>
      </c>
      <c r="E25" s="710">
        <f>'R5a - Financing input'!N113</f>
        <v>0</v>
      </c>
      <c r="F25" s="710">
        <f>'R5a - Financing input'!O113</f>
        <v>0</v>
      </c>
      <c r="G25" s="710">
        <f>'R5a - Financing input'!P113</f>
        <v>0</v>
      </c>
      <c r="H25" s="710">
        <f>'R5a - Financing input'!Q113</f>
        <v>0</v>
      </c>
      <c r="I25" s="464"/>
    </row>
    <row r="26" spans="2:9">
      <c r="B26" s="685" t="str">
        <f>'R5a - Financing input'!C114</f>
        <v>Other Adjustments [please specify]</v>
      </c>
      <c r="C26" s="30" t="s">
        <v>425</v>
      </c>
      <c r="D26" s="710">
        <f>'R5a - Financing input'!M114</f>
        <v>0</v>
      </c>
      <c r="E26" s="710">
        <f>'R5a - Financing input'!N114</f>
        <v>0</v>
      </c>
      <c r="F26" s="710">
        <f>'R5a - Financing input'!O114</f>
        <v>0</v>
      </c>
      <c r="G26" s="710">
        <f>'R5a - Financing input'!P114</f>
        <v>0</v>
      </c>
      <c r="H26" s="710">
        <f>'R5a - Financing input'!Q114</f>
        <v>0</v>
      </c>
      <c r="I26" s="464"/>
    </row>
    <row r="27" spans="2:9">
      <c r="B27" s="685" t="str">
        <f>'R5a - Financing input'!C115</f>
        <v>Other Adjustments [please specify]</v>
      </c>
      <c r="C27" s="30" t="s">
        <v>425</v>
      </c>
      <c r="D27" s="710">
        <f>'R5a - Financing input'!M115</f>
        <v>0</v>
      </c>
      <c r="E27" s="710">
        <f>'R5a - Financing input'!N115</f>
        <v>0</v>
      </c>
      <c r="F27" s="710">
        <f>'R5a - Financing input'!O115</f>
        <v>0</v>
      </c>
      <c r="G27" s="710">
        <f>'R5a - Financing input'!P115</f>
        <v>0</v>
      </c>
      <c r="H27" s="710">
        <f>'R5a - Financing input'!Q115</f>
        <v>0</v>
      </c>
      <c r="I27" s="464"/>
    </row>
    <row r="28" spans="2:9">
      <c r="B28" s="685" t="str">
        <f>'R5a - Financing input'!C116</f>
        <v>Other Adjustments [please specify]</v>
      </c>
      <c r="C28" s="30" t="s">
        <v>425</v>
      </c>
      <c r="D28" s="710">
        <f>'R5a - Financing input'!M116</f>
        <v>0</v>
      </c>
      <c r="E28" s="710">
        <f>'R5a - Financing input'!N116</f>
        <v>0</v>
      </c>
      <c r="F28" s="710">
        <f>'R5a - Financing input'!O116</f>
        <v>0</v>
      </c>
      <c r="G28" s="710">
        <f>'R5a - Financing input'!P116</f>
        <v>0</v>
      </c>
      <c r="H28" s="710">
        <f>'R5a - Financing input'!Q116</f>
        <v>0</v>
      </c>
      <c r="I28" s="464"/>
    </row>
    <row r="29" spans="2:9">
      <c r="B29" s="686" t="s">
        <v>473</v>
      </c>
      <c r="C29" s="30" t="s">
        <v>425</v>
      </c>
      <c r="D29" s="27">
        <f>SUM(D9,D12:D28)</f>
        <v>45.99522512944506</v>
      </c>
      <c r="E29" s="28">
        <f t="shared" ref="E29:H29" si="2">SUM(E9,E12:E28)</f>
        <v>71.509833391469613</v>
      </c>
      <c r="F29" s="28">
        <f t="shared" si="2"/>
        <v>47.456277784715638</v>
      </c>
      <c r="G29" s="28">
        <f t="shared" si="2"/>
        <v>28.732860139116639</v>
      </c>
      <c r="H29" s="28">
        <f t="shared" si="2"/>
        <v>28.190679358884665</v>
      </c>
      <c r="I29" s="464"/>
    </row>
    <row r="30" spans="2:9" ht="13.7">
      <c r="B30" s="687" t="s">
        <v>573</v>
      </c>
      <c r="C30" s="30" t="s">
        <v>425</v>
      </c>
      <c r="D30" s="666"/>
      <c r="E30" s="666"/>
      <c r="F30" s="688">
        <v>0.86321467522300754</v>
      </c>
      <c r="G30" s="688">
        <v>5.0534684814752096</v>
      </c>
      <c r="H30" s="688">
        <v>6.7561961122058971</v>
      </c>
      <c r="I30" s="464"/>
    </row>
    <row r="31" spans="2:9">
      <c r="B31" s="686" t="s">
        <v>574</v>
      </c>
      <c r="C31" s="30" t="s">
        <v>425</v>
      </c>
      <c r="D31" s="27">
        <f>SUM(D29:D30)</f>
        <v>45.99522512944506</v>
      </c>
      <c r="E31" s="28">
        <f t="shared" ref="E31:H31" si="3">SUM(E29:E30)</f>
        <v>71.509833391469613</v>
      </c>
      <c r="F31" s="28">
        <f t="shared" si="3"/>
        <v>48.319492459938644</v>
      </c>
      <c r="G31" s="28">
        <f t="shared" si="3"/>
        <v>33.786328620591846</v>
      </c>
      <c r="H31" s="28">
        <f t="shared" si="3"/>
        <v>34.946875471090564</v>
      </c>
      <c r="I31" s="464"/>
    </row>
    <row r="32" spans="2:9">
      <c r="B32" s="123" t="s">
        <v>575</v>
      </c>
      <c r="C32" s="30" t="s">
        <v>425</v>
      </c>
      <c r="D32" s="688">
        <f>D31</f>
        <v>45.99522512944506</v>
      </c>
      <c r="E32" s="688">
        <f t="shared" ref="E32:H32" si="4">E31</f>
        <v>71.509833391469613</v>
      </c>
      <c r="F32" s="688">
        <f t="shared" si="4"/>
        <v>48.319492459938644</v>
      </c>
      <c r="G32" s="688">
        <f t="shared" si="4"/>
        <v>33.786328620591846</v>
      </c>
      <c r="H32" s="688">
        <f t="shared" si="4"/>
        <v>34.946875471090564</v>
      </c>
      <c r="I32" s="464"/>
    </row>
    <row r="33" spans="2:11">
      <c r="B33" s="123" t="s">
        <v>576</v>
      </c>
      <c r="C33" s="30" t="s">
        <v>425</v>
      </c>
      <c r="D33" s="688">
        <f>D31-D32</f>
        <v>0</v>
      </c>
      <c r="E33" s="688">
        <f t="shared" ref="E33:H33" si="5">E31-E32</f>
        <v>0</v>
      </c>
      <c r="F33" s="688">
        <f t="shared" si="5"/>
        <v>0</v>
      </c>
      <c r="G33" s="688">
        <f t="shared" si="5"/>
        <v>0</v>
      </c>
      <c r="H33" s="688">
        <f t="shared" si="5"/>
        <v>0</v>
      </c>
      <c r="I33" s="464"/>
    </row>
    <row r="34" spans="2:11">
      <c r="B34" s="123"/>
      <c r="D34" s="711" t="str">
        <f>IF(ABS(D31-SUM(D32:D33))&lt;Data!$F$7,"OK","ERROR")</f>
        <v>OK</v>
      </c>
      <c r="E34" s="712" t="str">
        <f>IF(ABS(E31-SUM(E32:E33))&lt;Data!$F$7,"OK","ERROR")</f>
        <v>OK</v>
      </c>
      <c r="F34" s="712" t="str">
        <f>IF(ABS(F31-SUM(F32:F33))&lt;Data!$F$7,"OK","ERROR")</f>
        <v>OK</v>
      </c>
      <c r="G34" s="712" t="str">
        <f>IF(ABS(G31-SUM(G32:G33))&lt;Data!$F$7,"OK","ERROR")</f>
        <v>OK</v>
      </c>
      <c r="H34" s="712" t="str">
        <f>IF(ABS(H31-SUM(H32:H33))&lt;Data!$F$7,"OK","ERROR")</f>
        <v>OK</v>
      </c>
      <c r="I34" s="464"/>
    </row>
    <row r="35" spans="2:11">
      <c r="D35" s="689"/>
      <c r="E35" s="689"/>
      <c r="F35" s="689"/>
      <c r="G35" s="689"/>
      <c r="H35" s="689"/>
      <c r="I35" s="464"/>
    </row>
    <row r="36" spans="2:11">
      <c r="B36" s="123" t="s">
        <v>577</v>
      </c>
      <c r="C36" s="30" t="s">
        <v>425</v>
      </c>
      <c r="D36" s="688">
        <v>25.756058282516697</v>
      </c>
      <c r="E36" s="688">
        <v>53.041061670017214</v>
      </c>
      <c r="F36" s="688">
        <v>28.578117085567822</v>
      </c>
      <c r="G36" s="688">
        <v>14.22537503050045</v>
      </c>
      <c r="H36" s="688">
        <v>11.508128910085473</v>
      </c>
      <c r="I36" s="464"/>
    </row>
    <row r="37" spans="2:11">
      <c r="D37" s="689"/>
      <c r="E37" s="689"/>
      <c r="F37" s="689"/>
      <c r="G37" s="689"/>
      <c r="H37" s="689"/>
      <c r="I37" s="464"/>
    </row>
    <row r="38" spans="2:11">
      <c r="B38" s="123" t="s">
        <v>578</v>
      </c>
      <c r="C38" s="30" t="s">
        <v>425</v>
      </c>
      <c r="D38" s="710">
        <f>('R6 - Net Debt'!D$65-(18.1%*AVERAGE('R6 - Net Debt'!D$9,('R6 - Net Debt'!D$11-'R6a - Net Debt input'!T$19))))*(INDEX(YEFactor_change,MATCH(D$6,calendar_year,0))-1)</f>
        <v>56.880120761581381</v>
      </c>
      <c r="E38" s="710">
        <f>('R6 - Net Debt'!E$65-(18.1%*AVERAGE('R6 - Net Debt'!E$9,('R6 - Net Debt'!E$11-'R6a - Net Debt input'!U$19))))*(INDEX(YEFactor_change,MATCH(E$6,calendar_year,0))-1)</f>
        <v>114.08538092270325</v>
      </c>
      <c r="F38" s="710">
        <f>('R6 - Net Debt'!F$65-(18%*AVERAGE('R6 - Net Debt'!F$9,('R6 - Net Debt'!F$11-'R6a - Net Debt input'!V$19))))*(INDEX(YEFactor_change,MATCH(F$6,calendar_year,0))-1)</f>
        <v>67.233779616422993</v>
      </c>
      <c r="G38" s="710">
        <f>('R6 - Net Debt'!G$65-(17.9%*AVERAGE('R6 - Net Debt'!G$9,('R6 - Net Debt'!G$11-'R6a - Net Debt input'!W$19))))*(INDEX(YEFactor_change,MATCH(G$6,calendar_year,0))-1)</f>
        <v>10.517012653576273</v>
      </c>
      <c r="H38" s="710">
        <f>('R6 - Net Debt'!H$65-(17.9%*AVERAGE('R6 - Net Debt'!H$9,('R6 - Net Debt'!H$11-'R6a - Net Debt input'!X$19))))*(INDEX(YEFactor_change,MATCH(H$6,calendar_year,0))-1)</f>
        <v>3.5820211088475711</v>
      </c>
      <c r="I38" s="464"/>
      <c r="K38" s="471"/>
    </row>
    <row r="39" spans="2:11">
      <c r="B39" s="123"/>
      <c r="C39" s="30"/>
      <c r="D39" s="690"/>
      <c r="E39" s="690"/>
      <c r="F39" s="690"/>
      <c r="G39" s="690"/>
      <c r="H39" s="690"/>
      <c r="I39" s="464"/>
      <c r="K39" s="471"/>
    </row>
    <row r="40" spans="2:11">
      <c r="B40" s="123" t="s">
        <v>579</v>
      </c>
      <c r="C40" s="30" t="s">
        <v>425</v>
      </c>
      <c r="D40" s="22">
        <f>D31-D38</f>
        <v>-10.88489563213632</v>
      </c>
      <c r="E40" s="22">
        <f t="shared" ref="E40:H40" si="6">E31-E38</f>
        <v>-42.575547531233639</v>
      </c>
      <c r="F40" s="22">
        <f t="shared" si="6"/>
        <v>-18.914287156484349</v>
      </c>
      <c r="G40" s="22">
        <f t="shared" si="6"/>
        <v>23.269315967015572</v>
      </c>
      <c r="H40" s="22">
        <f t="shared" si="6"/>
        <v>31.364854362242994</v>
      </c>
    </row>
    <row r="41" spans="2:11">
      <c r="B41" s="123"/>
      <c r="C41" s="30"/>
      <c r="D41" s="30"/>
      <c r="E41" s="30"/>
      <c r="F41" s="30"/>
      <c r="G41" s="30"/>
      <c r="H41" s="30"/>
      <c r="I41" s="30"/>
      <c r="K41" s="471"/>
    </row>
    <row r="42" spans="2:11">
      <c r="B42" s="691" t="s">
        <v>580</v>
      </c>
      <c r="C42" s="30" t="s">
        <v>581</v>
      </c>
      <c r="D42" s="713">
        <f t="shared" ref="D42:H42" si="7">INDEX(real_to_nominal_CF,MATCH(D$6,calendar_year,0))</f>
        <v>1.0847835302284383</v>
      </c>
      <c r="E42" s="713">
        <f t="shared" si="7"/>
        <v>1.1799638149272795</v>
      </c>
      <c r="F42" s="713">
        <f t="shared" si="7"/>
        <v>1.2360034766257399</v>
      </c>
      <c r="G42" s="713">
        <f t="shared" si="7"/>
        <v>1.2450319245860968</v>
      </c>
      <c r="H42" s="713">
        <f t="shared" si="7"/>
        <v>1.248156029182222</v>
      </c>
      <c r="I42" s="30"/>
      <c r="K42" s="471"/>
    </row>
    <row r="43" spans="2:11">
      <c r="I43" s="586"/>
      <c r="J43" s="586"/>
      <c r="K43" s="586"/>
    </row>
    <row r="44" spans="2:11">
      <c r="B44" s="122" t="s">
        <v>579</v>
      </c>
      <c r="C44" s="594" t="str">
        <f>Data!$C$9</f>
        <v>£m 18/19</v>
      </c>
      <c r="D44" s="27">
        <f>D40/D42</f>
        <v>-10.034163802103571</v>
      </c>
      <c r="E44" s="28">
        <f t="shared" ref="E44:H44" si="8">E40/E42</f>
        <v>-36.082078952444441</v>
      </c>
      <c r="F44" s="28">
        <f t="shared" si="8"/>
        <v>-15.302778280300556</v>
      </c>
      <c r="G44" s="28">
        <f t="shared" si="8"/>
        <v>18.689734381510991</v>
      </c>
      <c r="H44" s="28">
        <f t="shared" si="8"/>
        <v>25.128953134803908</v>
      </c>
      <c r="I44" s="714">
        <f>SUM(D44:INDEX(D44:H44,0,MATCH('RFPR cover'!$C$9,$D$6:$H$6,0)))</f>
        <v>-46.116242754548011</v>
      </c>
      <c r="J44" s="715">
        <f>SUM(D44:H44)</f>
        <v>-17.600333518533674</v>
      </c>
    </row>
    <row r="45" spans="2:11">
      <c r="B45" s="123"/>
      <c r="C45" s="586"/>
      <c r="D45" s="692"/>
      <c r="E45" s="692"/>
      <c r="F45" s="692"/>
      <c r="G45" s="692"/>
      <c r="H45" s="692"/>
      <c r="I45" s="693"/>
      <c r="J45" s="693"/>
    </row>
    <row r="46" spans="2:11">
      <c r="B46" s="122" t="s">
        <v>582</v>
      </c>
      <c r="C46" s="30"/>
      <c r="D46" s="692"/>
      <c r="E46" s="692"/>
      <c r="F46" s="692"/>
      <c r="G46" s="692"/>
      <c r="H46" s="692"/>
      <c r="I46" s="693"/>
      <c r="J46" s="693"/>
    </row>
    <row r="47" spans="2:11">
      <c r="B47" s="685" t="str">
        <f>'R5a - Financing input'!C119</f>
        <v>Add back Debt Issuance expenses</v>
      </c>
      <c r="C47" s="30" t="s">
        <v>425</v>
      </c>
      <c r="D47" s="152">
        <f>'R5a - Financing input'!M119</f>
        <v>4.5332836099999936</v>
      </c>
      <c r="E47" s="152">
        <f>'R5a - Financing input'!N119</f>
        <v>7.2766104899999995</v>
      </c>
      <c r="F47" s="152">
        <f>'R5a - Financing input'!O119</f>
        <v>5.8353519323937704</v>
      </c>
      <c r="G47" s="152">
        <f>'R5a - Financing input'!P119</f>
        <v>5.7132785376540678</v>
      </c>
      <c r="H47" s="152">
        <f>'R5a - Financing input'!Q119</f>
        <v>5.3565598618900943</v>
      </c>
      <c r="I47" s="714">
        <f>SUM(D47:INDEX(D47:H47,0,MATCH('RFPR cover'!$C$9,$D$6:$H$6,0)))</f>
        <v>11.809894099999994</v>
      </c>
      <c r="J47" s="714">
        <f t="shared" ref="J47:J54" si="9">SUM(D47:H47)</f>
        <v>28.715084431937928</v>
      </c>
    </row>
    <row r="48" spans="2:11" ht="13.7">
      <c r="B48" s="685" t="s">
        <v>583</v>
      </c>
      <c r="C48" s="30" t="s">
        <v>425</v>
      </c>
      <c r="D48" s="666"/>
      <c r="E48" s="688">
        <v>0.35712922625103505</v>
      </c>
      <c r="F48" s="688">
        <v>0.1350224741703584</v>
      </c>
      <c r="G48" s="688">
        <v>0.1346086828456087</v>
      </c>
      <c r="H48" s="688">
        <v>5.3662267883336022E-2</v>
      </c>
      <c r="I48" s="714">
        <f>SUM(D48:INDEX(D48:H48,0,MATCH('RFPR cover'!$C$9,$D$6:$H$6,0)))</f>
        <v>0.35712922625103505</v>
      </c>
      <c r="J48" s="714">
        <f t="shared" si="9"/>
        <v>0.68042265115033818</v>
      </c>
    </row>
    <row r="49" spans="1:11">
      <c r="B49" s="685" t="str">
        <f>'R5a - Financing input'!C120</f>
        <v>Costs of early redemption on long term debt (excluding exceptional costs of buy backs associated with M&amp;A activity)</v>
      </c>
      <c r="C49" s="30" t="s">
        <v>425</v>
      </c>
      <c r="D49" s="152">
        <f>'R5a - Financing input'!M120</f>
        <v>0</v>
      </c>
      <c r="E49" s="152">
        <f>'R5a - Financing input'!N120</f>
        <v>0</v>
      </c>
      <c r="F49" s="152">
        <f>'R5a - Financing input'!O120</f>
        <v>0</v>
      </c>
      <c r="G49" s="152">
        <f>'R5a - Financing input'!P120</f>
        <v>0</v>
      </c>
      <c r="H49" s="152">
        <f>'R5a - Financing input'!Q120</f>
        <v>0</v>
      </c>
      <c r="I49" s="714">
        <f>SUM(D49:INDEX(D49:H49,0,MATCH('RFPR cover'!$C$9,$D$6:$H$6,0)))</f>
        <v>0</v>
      </c>
      <c r="J49" s="714">
        <f t="shared" si="9"/>
        <v>0</v>
      </c>
    </row>
    <row r="50" spans="1:11">
      <c r="B50" s="685" t="str">
        <f>'R5a - Financing input'!C121</f>
        <v>Add accrual for inflation accretion on index-linked swaps (if applicable)</v>
      </c>
      <c r="C50" s="30" t="s">
        <v>425</v>
      </c>
      <c r="D50" s="152">
        <f>'R5a - Financing input'!M121</f>
        <v>0</v>
      </c>
      <c r="E50" s="152">
        <f>'R5a - Financing input'!N121</f>
        <v>0</v>
      </c>
      <c r="F50" s="152">
        <f>'R5a - Financing input'!O121</f>
        <v>0</v>
      </c>
      <c r="G50" s="152">
        <f>'R5a - Financing input'!P121</f>
        <v>0</v>
      </c>
      <c r="H50" s="152">
        <f>'R5a - Financing input'!Q121</f>
        <v>0</v>
      </c>
      <c r="I50" s="714">
        <f>SUM(D50:INDEX(D50:H50,0,MATCH('RFPR cover'!$C$9,$D$6:$H$6,0)))</f>
        <v>0</v>
      </c>
      <c r="J50" s="714">
        <f t="shared" si="9"/>
        <v>0</v>
      </c>
    </row>
    <row r="51" spans="1:11">
      <c r="B51" s="685" t="str">
        <f>'R5a - Financing input'!C122</f>
        <v>Less debt issuance costs relating to other three networks</v>
      </c>
      <c r="C51" s="30" t="s">
        <v>425</v>
      </c>
      <c r="D51" s="152">
        <f>'R5a - Financing input'!M122</f>
        <v>-3.7129716648151505</v>
      </c>
      <c r="E51" s="152">
        <f>'R5a - Financing input'!N122</f>
        <v>-5.9621490463865117</v>
      </c>
      <c r="F51" s="152">
        <f>'R5a - Financing input'!O122</f>
        <v>-4.7848137249716522</v>
      </c>
      <c r="G51" s="152">
        <f>'R5a - Financing input'!P122</f>
        <v>-4.6878693394091355</v>
      </c>
      <c r="H51" s="152">
        <f>'R5a - Financing input'!Q122</f>
        <v>-4.3984093610838553</v>
      </c>
      <c r="I51" s="714">
        <f>SUM(D51:INDEX(D51:H51,0,MATCH('RFPR cover'!$C$9,$D$6:$H$6,0)))</f>
        <v>-9.6751207112016626</v>
      </c>
      <c r="J51" s="714">
        <f t="shared" si="9"/>
        <v>-23.546213136666303</v>
      </c>
    </row>
    <row r="52" spans="1:11">
      <c r="B52" s="685" t="str">
        <f>'R5a - Financing input'!C123</f>
        <v>Other Adjustments [please specify]</v>
      </c>
      <c r="C52" s="30" t="s">
        <v>425</v>
      </c>
      <c r="D52" s="152">
        <f>'R5a - Financing input'!M123</f>
        <v>0</v>
      </c>
      <c r="E52" s="152">
        <f>'R5a - Financing input'!N123</f>
        <v>0</v>
      </c>
      <c r="F52" s="152">
        <f>'R5a - Financing input'!O123</f>
        <v>0</v>
      </c>
      <c r="G52" s="152">
        <f>'R5a - Financing input'!P123</f>
        <v>0</v>
      </c>
      <c r="H52" s="152">
        <f>'R5a - Financing input'!Q123</f>
        <v>0</v>
      </c>
      <c r="I52" s="714">
        <f>SUM(D52:INDEX(D52:H52,0,MATCH('RFPR cover'!$C$9,$D$6:$H$6,0)))</f>
        <v>0</v>
      </c>
      <c r="J52" s="714">
        <f t="shared" si="9"/>
        <v>0</v>
      </c>
    </row>
    <row r="53" spans="1:11">
      <c r="B53" s="685" t="str">
        <f>'R5a - Financing input'!C124</f>
        <v>Other Adjustments [please specify]</v>
      </c>
      <c r="C53" s="30" t="s">
        <v>425</v>
      </c>
      <c r="D53" s="152">
        <f>'R5a - Financing input'!M124</f>
        <v>0</v>
      </c>
      <c r="E53" s="152">
        <f>'R5a - Financing input'!N124</f>
        <v>0</v>
      </c>
      <c r="F53" s="152">
        <f>'R5a - Financing input'!O124</f>
        <v>0</v>
      </c>
      <c r="G53" s="152">
        <f>'R5a - Financing input'!P124</f>
        <v>0</v>
      </c>
      <c r="H53" s="152">
        <f>'R5a - Financing input'!Q124</f>
        <v>0</v>
      </c>
      <c r="I53" s="714">
        <f>SUM(D53:INDEX(D53:H53,0,MATCH('RFPR cover'!$C$9,$D$6:$H$6,0)))</f>
        <v>0</v>
      </c>
      <c r="J53" s="714">
        <f t="shared" si="9"/>
        <v>0</v>
      </c>
    </row>
    <row r="54" spans="1:11">
      <c r="B54" s="685" t="str">
        <f>'R5a - Financing input'!C125</f>
        <v>Other Adjustments [please specify]</v>
      </c>
      <c r="C54" s="30" t="s">
        <v>425</v>
      </c>
      <c r="D54" s="152">
        <f>'R5a - Financing input'!M125</f>
        <v>0</v>
      </c>
      <c r="E54" s="152">
        <f>'R5a - Financing input'!N125</f>
        <v>0</v>
      </c>
      <c r="F54" s="152">
        <f>'R5a - Financing input'!O125</f>
        <v>0</v>
      </c>
      <c r="G54" s="152">
        <f>'R5a - Financing input'!P125</f>
        <v>0</v>
      </c>
      <c r="H54" s="152">
        <f>'R5a - Financing input'!Q125</f>
        <v>0</v>
      </c>
      <c r="I54" s="714">
        <f>SUM(D54:INDEX(D54:H54,0,MATCH('RFPR cover'!$C$9,$D$6:$H$6,0)))</f>
        <v>0</v>
      </c>
      <c r="J54" s="714">
        <f t="shared" si="9"/>
        <v>0</v>
      </c>
    </row>
    <row r="55" spans="1:11">
      <c r="A55" s="694"/>
      <c r="B55" s="695"/>
      <c r="C55" s="151"/>
      <c r="D55" s="696"/>
      <c r="E55" s="696"/>
      <c r="F55" s="696"/>
      <c r="G55" s="696"/>
      <c r="H55" s="696"/>
      <c r="I55" s="697"/>
      <c r="J55" s="697"/>
      <c r="K55" s="694"/>
    </row>
    <row r="56" spans="1:11">
      <c r="B56" s="698" t="s">
        <v>584</v>
      </c>
      <c r="C56" s="42" t="s">
        <v>425</v>
      </c>
      <c r="D56" s="27">
        <f>SUM(D47:D54)</f>
        <v>0.82031194518484307</v>
      </c>
      <c r="E56" s="27">
        <f t="shared" ref="E56:H56" si="10">SUM(E47:E54)</f>
        <v>1.6715906698645231</v>
      </c>
      <c r="F56" s="27">
        <f t="shared" si="10"/>
        <v>1.1855606815924764</v>
      </c>
      <c r="G56" s="27">
        <f t="shared" si="10"/>
        <v>1.1600178810905408</v>
      </c>
      <c r="H56" s="27">
        <f t="shared" si="10"/>
        <v>1.011812768689575</v>
      </c>
      <c r="I56" s="714">
        <f>SUM(D56:INDEX(D56:H56,0,MATCH('RFPR cover'!$C$9,$D$6:$H$6,0)))</f>
        <v>2.4919026150493662</v>
      </c>
      <c r="J56" s="715">
        <f>SUM(D56:H56)</f>
        <v>5.8492939464219589</v>
      </c>
    </row>
    <row r="57" spans="1:11">
      <c r="B57" s="698" t="s">
        <v>584</v>
      </c>
      <c r="C57" s="594" t="str">
        <f>Data!$C$9</f>
        <v>£m 18/19</v>
      </c>
      <c r="D57" s="27">
        <f>D56/D42</f>
        <v>0.7561987459489713</v>
      </c>
      <c r="E57" s="27">
        <f t="shared" ref="E57:H57" si="11">E56/E42</f>
        <v>1.41664570448505</v>
      </c>
      <c r="F57" s="27">
        <f t="shared" si="11"/>
        <v>0.95918879195148288</v>
      </c>
      <c r="G57" s="27">
        <f t="shared" si="11"/>
        <v>0.93171737863362958</v>
      </c>
      <c r="H57" s="27">
        <f t="shared" si="11"/>
        <v>0.81064606109582593</v>
      </c>
      <c r="I57" s="714">
        <f>SUM(D57:INDEX(D57:H57,0,MATCH('RFPR cover'!$C$9,$D$6:$H$6,0)))</f>
        <v>2.1728444504340212</v>
      </c>
      <c r="J57" s="715">
        <f>SUM(D57:H57)</f>
        <v>4.8743966821149591</v>
      </c>
    </row>
    <row r="58" spans="1:11">
      <c r="B58" s="123"/>
      <c r="C58" s="586"/>
      <c r="D58" s="692"/>
      <c r="E58" s="692"/>
      <c r="F58" s="692"/>
      <c r="G58" s="692"/>
      <c r="H58" s="692"/>
      <c r="I58" s="693"/>
      <c r="J58" s="693"/>
    </row>
    <row r="59" spans="1:11">
      <c r="A59" s="585"/>
      <c r="B59" s="464"/>
      <c r="C59" s="464"/>
      <c r="D59" s="464"/>
      <c r="E59" s="464"/>
      <c r="F59" s="464"/>
      <c r="G59" s="464"/>
      <c r="H59" s="464"/>
      <c r="I59" s="464"/>
      <c r="J59" s="464"/>
      <c r="K59" s="464"/>
    </row>
    <row r="60" spans="1:11">
      <c r="A60" s="585"/>
      <c r="B60" s="699" t="s">
        <v>585</v>
      </c>
      <c r="C60" s="511"/>
      <c r="D60" s="511"/>
      <c r="E60" s="511"/>
      <c r="F60" s="511"/>
      <c r="G60" s="511"/>
      <c r="H60" s="511"/>
      <c r="I60" s="511"/>
      <c r="J60" s="511"/>
      <c r="K60" s="511"/>
    </row>
    <row r="61" spans="1:11">
      <c r="A61" s="585"/>
      <c r="B61" s="700" t="s">
        <v>586</v>
      </c>
      <c r="C61" s="701"/>
      <c r="D61" s="701"/>
      <c r="E61" s="701"/>
      <c r="F61" s="701"/>
      <c r="G61" s="701"/>
      <c r="H61" s="701"/>
      <c r="I61" s="701"/>
      <c r="J61" s="701"/>
      <c r="K61" s="701"/>
    </row>
    <row r="62" spans="1:11">
      <c r="A62" s="585"/>
      <c r="B62" s="464"/>
      <c r="C62" s="464"/>
      <c r="D62" s="464"/>
      <c r="E62" s="464"/>
      <c r="F62" s="464"/>
      <c r="G62" s="464"/>
      <c r="H62" s="464"/>
      <c r="I62" s="464"/>
      <c r="J62" s="464"/>
      <c r="K62" s="464"/>
    </row>
    <row r="63" spans="1:11">
      <c r="B63" s="123" t="s">
        <v>24</v>
      </c>
      <c r="C63" s="586" t="s">
        <v>389</v>
      </c>
      <c r="D63" s="153">
        <f>Data!$C$8</f>
        <v>0.6</v>
      </c>
      <c r="E63" s="154">
        <f>Data!$C$8</f>
        <v>0.6</v>
      </c>
      <c r="F63" s="154">
        <f>Data!$C$8</f>
        <v>0.6</v>
      </c>
      <c r="G63" s="154">
        <f>Data!$C$8</f>
        <v>0.6</v>
      </c>
      <c r="H63" s="154">
        <f>Data!$C$8</f>
        <v>0.6</v>
      </c>
      <c r="I63" s="464"/>
      <c r="K63" s="471"/>
    </row>
    <row r="64" spans="1:11">
      <c r="B64" s="123" t="s">
        <v>587</v>
      </c>
      <c r="C64" s="586" t="s">
        <v>389</v>
      </c>
      <c r="D64" s="154">
        <f>'R6 - Net Debt'!D75</f>
        <v>0.62004564014516783</v>
      </c>
      <c r="E64" s="154">
        <f>'R6 - Net Debt'!E75</f>
        <v>0.59777957947785321</v>
      </c>
      <c r="F64" s="154">
        <f>'R6 - Net Debt'!F75</f>
        <v>0.61006233363050233</v>
      </c>
      <c r="G64" s="154">
        <f>'R6 - Net Debt'!G75</f>
        <v>0.61098654052034584</v>
      </c>
      <c r="H64" s="154">
        <f>'R6 - Net Debt'!H75</f>
        <v>0.61129570974657677</v>
      </c>
      <c r="I64" s="464"/>
      <c r="K64" s="471"/>
    </row>
    <row r="65" spans="2:12">
      <c r="B65" s="123"/>
      <c r="C65" s="586"/>
      <c r="D65" s="586"/>
      <c r="E65" s="586"/>
      <c r="F65" s="586"/>
      <c r="G65" s="586"/>
      <c r="H65" s="586"/>
      <c r="I65" s="464"/>
      <c r="K65" s="471"/>
    </row>
    <row r="66" spans="2:12">
      <c r="B66" s="123" t="s">
        <v>588</v>
      </c>
      <c r="C66" s="30" t="s">
        <v>425</v>
      </c>
      <c r="D66" s="19">
        <f t="shared" ref="D66:H66" si="12">D40</f>
        <v>-10.88489563213632</v>
      </c>
      <c r="E66" s="20">
        <f t="shared" si="12"/>
        <v>-42.575547531233639</v>
      </c>
      <c r="F66" s="20">
        <f t="shared" si="12"/>
        <v>-18.914287156484349</v>
      </c>
      <c r="G66" s="20">
        <f t="shared" si="12"/>
        <v>23.269315967015572</v>
      </c>
      <c r="H66" s="20">
        <f t="shared" si="12"/>
        <v>31.364854362242994</v>
      </c>
    </row>
    <row r="67" spans="2:12">
      <c r="B67" s="123" t="s">
        <v>589</v>
      </c>
      <c r="C67" s="30" t="s">
        <v>425</v>
      </c>
      <c r="D67" s="19">
        <f>((D63-D64)/D64)*D66</f>
        <v>0.35190103233115122</v>
      </c>
      <c r="E67" s="19">
        <f t="shared" ref="E67:H67" si="13">((E63-E64)/E64)*E66</f>
        <v>-0.15814461170212801</v>
      </c>
      <c r="F67" s="19">
        <f t="shared" si="13"/>
        <v>0.31197118271350904</v>
      </c>
      <c r="G67" s="19">
        <f t="shared" si="13"/>
        <v>-0.41842048195468312</v>
      </c>
      <c r="H67" s="19">
        <f t="shared" si="13"/>
        <v>-0.57956940556056902</v>
      </c>
      <c r="K67" s="471"/>
    </row>
    <row r="68" spans="2:12">
      <c r="B68" s="123" t="s">
        <v>590</v>
      </c>
      <c r="C68" s="30" t="s">
        <v>425</v>
      </c>
      <c r="D68" s="22">
        <f>SUM(D66:D67)</f>
        <v>-10.532994599805169</v>
      </c>
      <c r="E68" s="23">
        <f t="shared" ref="E68:H68" si="14">SUM(E66:E67)</f>
        <v>-42.733692142935766</v>
      </c>
      <c r="F68" s="23">
        <f t="shared" si="14"/>
        <v>-18.602315973770839</v>
      </c>
      <c r="G68" s="23">
        <f t="shared" si="14"/>
        <v>22.850895485060889</v>
      </c>
      <c r="H68" s="23">
        <f t="shared" si="14"/>
        <v>30.785284956682425</v>
      </c>
    </row>
    <row r="69" spans="2:12">
      <c r="B69" s="123"/>
      <c r="C69" s="30"/>
      <c r="D69" s="30"/>
      <c r="E69" s="30"/>
      <c r="F69" s="30"/>
      <c r="G69" s="30"/>
      <c r="H69" s="30"/>
      <c r="I69" s="30"/>
      <c r="J69" s="30"/>
      <c r="K69" s="30"/>
      <c r="L69" s="30"/>
    </row>
    <row r="70" spans="2:12">
      <c r="B70" s="122" t="s">
        <v>590</v>
      </c>
      <c r="C70" s="594" t="str">
        <f>Data!$C$9</f>
        <v>£m 18/19</v>
      </c>
      <c r="D70" s="27">
        <f t="shared" ref="D70:H70" si="15">D68/D42</f>
        <v>-9.7097663324470709</v>
      </c>
      <c r="E70" s="28">
        <f t="shared" si="15"/>
        <v>-36.21610391973708</v>
      </c>
      <c r="F70" s="28">
        <f t="shared" si="15"/>
        <v>-15.050375120751859</v>
      </c>
      <c r="G70" s="28">
        <f t="shared" si="15"/>
        <v>18.353662290754134</v>
      </c>
      <c r="H70" s="28">
        <f t="shared" si="15"/>
        <v>24.664612626077368</v>
      </c>
      <c r="I70" s="714">
        <f>SUM(D70:INDEX(D70:H70,0,MATCH('RFPR cover'!$C$9,$D$6:$H$6,0)))</f>
        <v>-45.925870252184154</v>
      </c>
      <c r="J70" s="715">
        <f>SUM(D70:H70)</f>
        <v>-17.957970456104508</v>
      </c>
    </row>
    <row r="71" spans="2:12">
      <c r="B71" s="123" t="s">
        <v>591</v>
      </c>
      <c r="C71" s="586" t="str">
        <f>Data!$C$9</f>
        <v>£m 18/19</v>
      </c>
      <c r="D71" s="19">
        <f>D57*((D63-D64)/D64)+D57</f>
        <v>0.7317513715009043</v>
      </c>
      <c r="E71" s="19">
        <f t="shared" ref="E71:H71" si="16">E57*((E63-E64)/E64)+E57</f>
        <v>1.4219077597690348</v>
      </c>
      <c r="F71" s="19">
        <f t="shared" si="16"/>
        <v>0.9433679862613219</v>
      </c>
      <c r="G71" s="19">
        <f t="shared" si="16"/>
        <v>0.91496357138093454</v>
      </c>
      <c r="H71" s="19">
        <f t="shared" si="16"/>
        <v>0.79566669437142945</v>
      </c>
      <c r="I71" s="716">
        <f>SUM(D71:INDEX(D71:H71,0,MATCH('RFPR cover'!$C$9,$D$6:$H$6,0)))</f>
        <v>2.1536591312699391</v>
      </c>
      <c r="J71" s="717">
        <f>SUM(D71:H71)</f>
        <v>4.8076573832836251</v>
      </c>
      <c r="K71" s="586"/>
    </row>
    <row r="72" spans="2:12"/>
    <row r="73" spans="2:12">
      <c r="B73" s="702" t="s">
        <v>592</v>
      </c>
      <c r="C73" s="703"/>
      <c r="D73" s="703"/>
      <c r="E73" s="703"/>
      <c r="F73" s="703"/>
      <c r="G73" s="703"/>
      <c r="H73" s="703"/>
      <c r="I73" s="703"/>
      <c r="J73" s="703"/>
      <c r="K73" s="703"/>
      <c r="L73" s="586"/>
    </row>
    <row r="74" spans="2:12">
      <c r="B74" s="611"/>
      <c r="C74" s="586"/>
      <c r="D74" s="586"/>
      <c r="E74" s="586"/>
      <c r="F74" s="586"/>
      <c r="G74" s="586"/>
      <c r="H74" s="586"/>
      <c r="I74" s="586"/>
      <c r="J74" s="586"/>
      <c r="K74" s="586"/>
      <c r="L74" s="586"/>
    </row>
    <row r="75" spans="2:12">
      <c r="B75" s="700" t="s">
        <v>593</v>
      </c>
      <c r="C75" s="704"/>
      <c r="D75" s="704"/>
      <c r="E75" s="704"/>
      <c r="F75" s="704"/>
      <c r="G75" s="704"/>
      <c r="H75" s="704"/>
      <c r="I75" s="704"/>
      <c r="J75" s="704"/>
      <c r="K75" s="704"/>
      <c r="L75" s="586"/>
    </row>
    <row r="76" spans="2:12">
      <c r="B76" s="705"/>
      <c r="C76" s="705"/>
      <c r="D76" s="705"/>
      <c r="E76" s="705"/>
      <c r="F76" s="705"/>
      <c r="G76" s="705"/>
      <c r="H76" s="705"/>
      <c r="I76" s="705"/>
      <c r="J76" s="705"/>
      <c r="K76" s="705"/>
      <c r="L76" s="586"/>
    </row>
    <row r="77" spans="2:12">
      <c r="B77" s="123" t="s">
        <v>594</v>
      </c>
      <c r="C77" s="586" t="str">
        <f>Data!$C$9</f>
        <v>£m 18/19</v>
      </c>
      <c r="D77" s="640">
        <f>'R7 - RAV'!F43</f>
        <v>21.274843552037183</v>
      </c>
      <c r="E77" s="640">
        <f>'R7 - RAV'!G43</f>
        <v>19.890954287381135</v>
      </c>
      <c r="F77" s="640">
        <f>'R7 - RAV'!H43</f>
        <v>20.17454372150652</v>
      </c>
      <c r="G77" s="640">
        <f>'R7 - RAV'!I43</f>
        <v>21.710319643302345</v>
      </c>
      <c r="H77" s="640">
        <f>'R7 - RAV'!J43</f>
        <v>23.190526672423353</v>
      </c>
      <c r="I77" s="705"/>
      <c r="J77" s="706"/>
      <c r="L77" s="586"/>
    </row>
    <row r="78" spans="2:12">
      <c r="B78" s="123"/>
      <c r="C78" s="586"/>
      <c r="D78" s="707"/>
      <c r="E78" s="707"/>
      <c r="F78" s="707"/>
      <c r="G78" s="707"/>
      <c r="H78" s="707"/>
      <c r="I78" s="705"/>
      <c r="J78" s="693"/>
      <c r="L78" s="586"/>
    </row>
    <row r="79" spans="2:12">
      <c r="B79" s="123"/>
      <c r="C79" s="586"/>
      <c r="D79" s="707"/>
      <c r="E79" s="708"/>
      <c r="F79" s="708"/>
      <c r="G79" s="708"/>
      <c r="H79" s="708"/>
      <c r="I79" s="693"/>
      <c r="J79" s="693"/>
      <c r="L79" s="586"/>
    </row>
    <row r="80" spans="2:12">
      <c r="B80" s="709" t="s">
        <v>595</v>
      </c>
      <c r="C80" s="703"/>
      <c r="D80" s="703"/>
      <c r="E80" s="703"/>
      <c r="F80" s="703"/>
      <c r="G80" s="703"/>
      <c r="H80" s="703"/>
      <c r="I80" s="703"/>
      <c r="J80" s="703"/>
      <c r="K80" s="703"/>
    </row>
    <row r="81" spans="2:11">
      <c r="B81" s="700" t="s">
        <v>596</v>
      </c>
      <c r="C81" s="701"/>
      <c r="D81" s="701"/>
      <c r="E81" s="701"/>
      <c r="F81" s="701"/>
      <c r="G81" s="701"/>
      <c r="H81" s="701"/>
      <c r="I81" s="701"/>
      <c r="J81" s="701"/>
      <c r="K81" s="701"/>
    </row>
    <row r="82" spans="2:11" ht="24.6" customHeight="1">
      <c r="B82" s="683" t="s">
        <v>597</v>
      </c>
      <c r="C82" s="586"/>
      <c r="D82" s="586"/>
      <c r="E82" s="586"/>
      <c r="F82" s="586"/>
      <c r="G82" s="586"/>
      <c r="H82" s="586"/>
      <c r="I82" s="586"/>
      <c r="J82" s="586"/>
      <c r="K82" s="586"/>
    </row>
    <row r="83" spans="2:11">
      <c r="B83" s="123" t="s">
        <v>598</v>
      </c>
      <c r="C83" s="586" t="str">
        <f>Data!$C$9</f>
        <v>£m 18/19</v>
      </c>
      <c r="D83" s="27">
        <f>D77-D44-D57</f>
        <v>30.552808608191782</v>
      </c>
      <c r="E83" s="27">
        <f>E77-E44-E57</f>
        <v>54.556387535340527</v>
      </c>
      <c r="F83" s="27">
        <f>F77-F44-F57</f>
        <v>34.518133209855591</v>
      </c>
      <c r="G83" s="27">
        <f>G77-G44-G57</f>
        <v>2.0888678831577239</v>
      </c>
      <c r="H83" s="27">
        <f>H77-H44-H57</f>
        <v>-2.7490725234763809</v>
      </c>
      <c r="I83" s="714">
        <f>SUM(D83:INDEX(D83:H83,0,MATCH('RFPR cover'!$C$9,$D$6:$H$6,0)))</f>
        <v>85.109196143532301</v>
      </c>
      <c r="J83" s="715">
        <f>SUM(D83:H83)</f>
        <v>118.96712471306923</v>
      </c>
      <c r="K83" s="586"/>
    </row>
    <row r="84" spans="2:11">
      <c r="B84" s="123"/>
      <c r="K84" s="586"/>
    </row>
    <row r="85" spans="2:11">
      <c r="B85" s="123" t="s">
        <v>599</v>
      </c>
      <c r="C85" s="586" t="str">
        <f>Data!$C$9</f>
        <v>£m 18/19</v>
      </c>
      <c r="D85" s="27">
        <f>D77-D70-D71</f>
        <v>30.252858512983348</v>
      </c>
      <c r="E85" s="27">
        <f>E77-E70-E71</f>
        <v>54.68515044734918</v>
      </c>
      <c r="F85" s="27">
        <f>F77-F70-F71</f>
        <v>34.281550855997054</v>
      </c>
      <c r="G85" s="27">
        <f>G77-G70-G71</f>
        <v>2.4416937811672765</v>
      </c>
      <c r="H85" s="27">
        <f>H77-H70-H71</f>
        <v>-2.2697526480254444</v>
      </c>
      <c r="I85" s="714">
        <f>SUM(D85:INDEX(D85:H85,0,MATCH('RFPR cover'!$C$9,$D$6:$H$6,0)))</f>
        <v>84.938008960332525</v>
      </c>
      <c r="J85" s="715">
        <f>SUM(D85:H85)</f>
        <v>119.39150094947141</v>
      </c>
      <c r="K85" s="586"/>
    </row>
    <row r="86" spans="2:11">
      <c r="B86" s="123"/>
      <c r="K86" s="586"/>
    </row>
    <row r="87" spans="2:11">
      <c r="B87" s="123" t="s">
        <v>600</v>
      </c>
      <c r="C87" s="586" t="str">
        <f>Data!$C$9</f>
        <v>£m 18/19</v>
      </c>
      <c r="D87" s="27">
        <f>D83-D85</f>
        <v>0.29995009520843396</v>
      </c>
      <c r="E87" s="27">
        <f t="shared" ref="E87:H87" si="17">E83-E85</f>
        <v>-0.12876291200865353</v>
      </c>
      <c r="F87" s="27">
        <f t="shared" si="17"/>
        <v>0.23658235385853743</v>
      </c>
      <c r="G87" s="27">
        <f t="shared" si="17"/>
        <v>-0.35282589800955266</v>
      </c>
      <c r="H87" s="27">
        <f t="shared" si="17"/>
        <v>-0.47931987545093646</v>
      </c>
      <c r="I87" s="714">
        <f>SUM(D87:INDEX(D87:H87,0,MATCH('RFPR cover'!$C$9,$D$6:$H$6,0)))</f>
        <v>0.17118718319978043</v>
      </c>
      <c r="J87" s="715">
        <f>SUM(D87:H87)</f>
        <v>-0.42437623640217126</v>
      </c>
      <c r="K87" s="586"/>
    </row>
    <row r="88" spans="2:11">
      <c r="K88" s="586"/>
    </row>
    <row r="89" spans="2:11">
      <c r="K89" s="586"/>
    </row>
    <row r="90" spans="2:11">
      <c r="K90" s="586"/>
    </row>
    <row r="91" spans="2:11">
      <c r="K91" s="586"/>
    </row>
    <row r="92" spans="2:11"/>
    <row r="93" spans="2:11"/>
    <row r="94" spans="2:11"/>
    <row r="95" spans="2:11"/>
    <row r="96" spans="2:11"/>
    <row r="97"/>
    <row r="98"/>
    <row r="99"/>
    <row r="100"/>
  </sheetData>
  <sheetProtection insertRows="0" sort="0" autoFilter="0" pivotTables="0"/>
  <conditionalFormatting sqref="D48">
    <cfRule type="expression" dxfId="37" priority="4">
      <formula>D$5="Forecast"</formula>
    </cfRule>
    <cfRule type="expression" dxfId="36" priority="5">
      <formula>C$12="N/A"</formula>
    </cfRule>
  </conditionalFormatting>
  <conditionalFormatting sqref="D30:E30">
    <cfRule type="expression" dxfId="35" priority="3">
      <formula>C$12="N/A"</formula>
    </cfRule>
  </conditionalFormatting>
  <conditionalFormatting sqref="D30:H30">
    <cfRule type="expression" dxfId="34"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2.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7" ma:contentTypeDescription="Create a new document." ma:contentTypeScope="" ma:versionID="4879ae0a4a3bf78971245e0ea9807185">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f2dfcd325b58c687b7547d187639f9ee"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Props1.xml><?xml version="1.0" encoding="utf-8"?>
<ds:datastoreItem xmlns:ds="http://schemas.openxmlformats.org/officeDocument/2006/customXml" ds:itemID="{ED8114B6-BDD8-4CB5-AA20-4A909702B5CF}">
  <ds:schemaRefs>
    <ds:schemaRef ds:uri="http://schemas.microsoft.com/DataMashup"/>
  </ds:schemaRefs>
</ds:datastoreItem>
</file>

<file path=customXml/itemProps2.xml><?xml version="1.0" encoding="utf-8"?>
<ds:datastoreItem xmlns:ds="http://schemas.openxmlformats.org/officeDocument/2006/customXml" ds:itemID="{CC285FE4-1466-4BF7-8FA9-67F63A3D57B8}">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47fb15b9-fcbf-48f2-8000-3febecb0ac87"/>
    <ds:schemaRef ds:uri="77030300-7095-45eb-b01e-00dcc83af8c6"/>
    <ds:schemaRef ds:uri="http://www.w3.org/XML/1998/namespace"/>
    <ds:schemaRef ds:uri="http://purl.org/dc/dcmitype/"/>
  </ds:schemaRefs>
</ds:datastoreItem>
</file>

<file path=customXml/itemProps3.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4.xml><?xml version="1.0" encoding="utf-8"?>
<ds:datastoreItem xmlns:ds="http://schemas.openxmlformats.org/officeDocument/2006/customXml" ds:itemID="{1559A0C0-FB88-4AE6-AE3C-584FA6E02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4BE9F8A6-8FC3-4C72-AA23-49843F2C7E09}">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68</vt:i4>
      </vt:variant>
    </vt:vector>
  </HeadingPairs>
  <TitlesOfParts>
    <vt:vector size="87"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R5a - Financing input</vt:lpstr>
      <vt:lpstr>R6 - Net Debt</vt:lpstr>
      <vt:lpstr>R6a - Net Debt input</vt:lpstr>
      <vt:lpstr>R7 - RAV</vt:lpstr>
      <vt:lpstr>R8 - Tax</vt:lpstr>
      <vt:lpstr>R8a - Tax Reconciliation</vt:lpstr>
      <vt:lpstr>R9 - Corporate Governance</vt:lpstr>
      <vt:lpstr>R10 - Pensions &amp; Oth Activities</vt:lpstr>
      <vt:lpstr>Input sheets for R5a and R6a&gt;&gt;&gt;</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Virk, Gurpreet</cp:lastModifiedBy>
  <cp:revision/>
  <dcterms:created xsi:type="dcterms:W3CDTF">2018-06-13T08:32:09Z</dcterms:created>
  <dcterms:modified xsi:type="dcterms:W3CDTF">2023-09-28T09:31:40Z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71b7edfb-c37d-4036-94b6-6753b1a87eed</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CustomUiType">
    <vt:lpwstr>2</vt:lpwstr>
  </property>
</Properties>
</file>