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drawings/drawing2.xml" ContentType="application/vnd.openxmlformats-officedocument.drawing+xml"/>
  <Override PartName="/xl/customProperty6.bin" ContentType="application/vnd.openxmlformats-officedocument.spreadsheetml.customProperty"/>
  <Override PartName="/xl/drawings/drawing3.xml" ContentType="application/vnd.openxmlformats-officedocument.drawing+xml"/>
  <Override PartName="/xl/customProperty7.bin" ContentType="application/vnd.openxmlformats-officedocument.spreadsheetml.customProperty"/>
  <Override PartName="/xl/drawings/drawing4.xml" ContentType="application/vnd.openxmlformats-officedocument.drawing+xml"/>
  <Override PartName="/xl/customProperty8.bin" ContentType="application/vnd.openxmlformats-officedocument.spreadsheetml.customProperty"/>
  <Override PartName="/xl/drawings/drawing5.xml" ContentType="application/vnd.openxmlformats-officedocument.drawing+xml"/>
  <Override PartName="/xl/customProperty9.bin" ContentType="application/vnd.openxmlformats-officedocument.spreadsheetml.customProperty"/>
  <Override PartName="/xl/drawings/drawing6.xml" ContentType="application/vnd.openxmlformats-officedocument.drawing+xml"/>
  <Override PartName="/xl/customProperty10.bin" ContentType="application/vnd.openxmlformats-officedocument.spreadsheetml.customProperty"/>
  <Override PartName="/xl/drawings/drawing7.xml" ContentType="application/vnd.openxmlformats-officedocument.drawing+xml"/>
  <Override PartName="/xl/customProperty11.bin" ContentType="application/vnd.openxmlformats-officedocument.spreadsheetml.customProperty"/>
  <Override PartName="/xl/drawings/drawing8.xml" ContentType="application/vnd.openxmlformats-officedocument.drawing+xml"/>
  <Override PartName="/xl/customProperty12.bin" ContentType="application/vnd.openxmlformats-officedocument.spreadsheetml.customProperty"/>
  <Override PartName="/xl/drawings/drawing9.xml" ContentType="application/vnd.openxmlformats-officedocument.drawing+xml"/>
  <Override PartName="/xl/customProperty13.bin" ContentType="application/vnd.openxmlformats-officedocument.spreadsheetml.customProperty"/>
  <Override PartName="/xl/drawings/drawing10.xml" ContentType="application/vnd.openxmlformats-officedocument.drawing+xml"/>
  <Override PartName="/xl/customProperty14.bin" ContentType="application/vnd.openxmlformats-officedocument.spreadsheetml.customProperty"/>
  <Override PartName="/xl/drawings/drawing11.xml" ContentType="application/vnd.openxmlformats-officedocument.drawing+xml"/>
  <Override PartName="/xl/customProperty15.bin" ContentType="application/vnd.openxmlformats-officedocument.spreadsheetml.customProperty"/>
  <Override PartName="/xl/drawings/drawing12.xml" ContentType="application/vnd.openxmlformats-officedocument.drawing+xml"/>
  <Override PartName="/xl/customProperty16.bin" ContentType="application/vnd.openxmlformats-officedocument.spreadsheetml.customProperty"/>
  <Override PartName="/xl/drawings/drawing13.xml" ContentType="application/vnd.openxmlformats-officedocument.drawing+xml"/>
  <Override PartName="/xl/customProperty17.bin" ContentType="application/vnd.openxmlformats-officedocument.spreadsheetml.customProperty"/>
  <Override PartName="/xl/drawings/drawing14.xml" ContentType="application/vnd.openxmlformats-officedocument.drawing+xml"/>
  <Override PartName="/xl/customProperty18.bin" ContentType="application/vnd.openxmlformats-officedocument.spreadsheetml.customProperty"/>
  <Override PartName="/xl/customProperty19.bin" ContentType="application/vnd.openxmlformats-officedocument.spreadsheetml.customProperty"/>
  <Override PartName="/xl/drawings/drawing15.xml" ContentType="application/vnd.openxmlformats-officedocument.drawing+xml"/>
  <Override PartName="/xl/customProperty20.bin" ContentType="application/vnd.openxmlformats-officedocument.spreadsheetml.customProperty"/>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mc:AlternateContent xmlns:mc="http://schemas.openxmlformats.org/markup-compatibility/2006">
    <mc:Choice Requires="x15">
      <x15ac:absPath xmlns:x15ac="http://schemas.microsoft.com/office/spreadsheetml/2010/11/ac" url="https://cadentgasltd.sharepoint.com/sites/RIIO-GD2/RFPR/FY 2324/Final Submission to Ofgem/Tables/Version 2 with late Debt Adj/Without Economic Debt/Links Removed/Website Version/"/>
    </mc:Choice>
  </mc:AlternateContent>
  <xr:revisionPtr revIDLastSave="1149" documentId="121_{711FA9BD-15E4-41E1-856E-A61D1ADDAED0}" xr6:coauthVersionLast="47" xr6:coauthVersionMax="47" xr10:uidLastSave="{738D4C48-6DB3-46F8-BCFC-44B9D2D832D8}"/>
  <bookViews>
    <workbookView xWindow="-110" yWindow="-110" windowWidth="19420" windowHeight="10420" tabRatio="842" xr2:uid="{37A5C833-B79A-4C85-B2C6-63A9D5B4A359}"/>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5 - Financing" sheetId="17" r:id="rId9"/>
    <sheet name="R5a - Financing input" sheetId="36" r:id="rId10"/>
    <sheet name="R6 - Net Debt" sheetId="27" r:id="rId11"/>
    <sheet name="R6a - Net Debt input" sheetId="37" r:id="rId12"/>
    <sheet name="R7 - RAV" sheetId="10" r:id="rId13"/>
    <sheet name="R9 - Corporate Governance" sheetId="11" r:id="rId14"/>
    <sheet name="R8 - Tax" sheetId="29" r:id="rId15"/>
    <sheet name="R8a - Tax Reconciliation" sheetId="35" r:id="rId16"/>
    <sheet name="R10 - Pensions &amp; Oth Activities" sheetId="19" r:id="rId17"/>
    <sheet name="Input sheets for R5a and R6a&gt;&gt;&gt;" sheetId="45" r:id="rId18"/>
    <sheet name="I1 - Universal Data" sheetId="43" r:id="rId19"/>
    <sheet name="I2 - Monthly Inflation" sheetId="44" r:id="rId20"/>
  </sheets>
  <definedNames>
    <definedName name="________hom1" localSheetId="18" hidden="1">{#N/A,#N/A,FALSE,"Assessment";#N/A,#N/A,FALSE,"Staffing";#N/A,#N/A,FALSE,"Hires";#N/A,#N/A,FALSE,"Assumptions"}</definedName>
    <definedName name="________hom1" hidden="1">{#N/A,#N/A,FALSE,"Assessment";#N/A,#N/A,FALSE,"Staffing";#N/A,#N/A,FALSE,"Hires";#N/A,#N/A,FALSE,"Assumptions"}</definedName>
    <definedName name="________k1" localSheetId="18" hidden="1">{#N/A,#N/A,FALSE,"Assessment";#N/A,#N/A,FALSE,"Staffing";#N/A,#N/A,FALSE,"Hires";#N/A,#N/A,FALSE,"Assumptions"}</definedName>
    <definedName name="________k1" hidden="1">{#N/A,#N/A,FALSE,"Assessment";#N/A,#N/A,FALSE,"Staffing";#N/A,#N/A,FALSE,"Hires";#N/A,#N/A,FALSE,"Assumptions"}</definedName>
    <definedName name="________kk1" localSheetId="18" hidden="1">{#N/A,#N/A,FALSE,"Assessment";#N/A,#N/A,FALSE,"Staffing";#N/A,#N/A,FALSE,"Hires";#N/A,#N/A,FALSE,"Assumptions"}</definedName>
    <definedName name="________kk1" hidden="1">{#N/A,#N/A,FALSE,"Assessment";#N/A,#N/A,FALSE,"Staffing";#N/A,#N/A,FALSE,"Hires";#N/A,#N/A,FALSE,"Assumptions"}</definedName>
    <definedName name="________KKK1" localSheetId="18" hidden="1">{#N/A,#N/A,FALSE,"Assessment";#N/A,#N/A,FALSE,"Staffing";#N/A,#N/A,FALSE,"Hires";#N/A,#N/A,FALSE,"Assumptions"}</definedName>
    <definedName name="________KKK1" hidden="1">{#N/A,#N/A,FALSE,"Assessment";#N/A,#N/A,FALSE,"Staffing";#N/A,#N/A,FALSE,"Hires";#N/A,#N/A,FALSE,"Assumptions"}</definedName>
    <definedName name="________w2" localSheetId="18" hidden="1">{"Model Summary",#N/A,FALSE,"Print Chart";"Holdco",#N/A,FALSE,"Print Chart";"Genco",#N/A,FALSE,"Print Chart";"Servco",#N/A,FALSE,"Print Chart";"Genco_Detail",#N/A,FALSE,"Summary Financials";"Servco_Detail",#N/A,FALSE,"Summary Financials"}</definedName>
    <definedName name="________w2" hidden="1">{"Model Summary",#N/A,FALSE,"Print Chart";"Holdco",#N/A,FALSE,"Print Chart";"Genco",#N/A,FALSE,"Print Chart";"Servco",#N/A,FALSE,"Print Chart";"Genco_Detail",#N/A,FALSE,"Summary Financials";"Servco_Detail",#N/A,FALSE,"Summary Financials"}</definedName>
    <definedName name="________wr6" localSheetId="18"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localSheetId="18" hidden="1">{"holdco",#N/A,FALSE,"Summary Financials";"holdco",#N/A,FALSE,"Summary Financials"}</definedName>
    <definedName name="________wr9" hidden="1">{"holdco",#N/A,FALSE,"Summary Financials";"holdco",#N/A,FALSE,"Summary Financials"}</definedName>
    <definedName name="________wrn1" localSheetId="18" hidden="1">{"holdco",#N/A,FALSE,"Summary Financials";"holdco",#N/A,FALSE,"Summary Financials"}</definedName>
    <definedName name="________wrn1" hidden="1">{"holdco",#N/A,FALSE,"Summary Financials";"holdco",#N/A,FALSE,"Summary Financials"}</definedName>
    <definedName name="________wrn2" localSheetId="18" hidden="1">{"holdco",#N/A,FALSE,"Summary Financials";"holdco",#N/A,FALSE,"Summary Financials"}</definedName>
    <definedName name="________wrn2" hidden="1">{"holdco",#N/A,FALSE,"Summary Financials";"holdco",#N/A,FALSE,"Summary Financials"}</definedName>
    <definedName name="________wrn3" localSheetId="18" hidden="1">{"holdco",#N/A,FALSE,"Summary Financials";"holdco",#N/A,FALSE,"Summary Financials"}</definedName>
    <definedName name="________wrn3" hidden="1">{"holdco",#N/A,FALSE,"Summary Financials";"holdco",#N/A,FALSE,"Summary Financials"}</definedName>
    <definedName name="________wrn7" localSheetId="18" hidden="1">{"Model Summary",#N/A,FALSE,"Print Chart";"Holdco",#N/A,FALSE,"Print Chart";"Genco",#N/A,FALSE,"Print Chart";"Servco",#N/A,FALSE,"Print Chart";"Genco_Detail",#N/A,FALSE,"Summary Financials";"Servco_Detail",#N/A,FALSE,"Summary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localSheetId="18" hidden="1">{"holdco",#N/A,FALSE,"Summary Financials";"holdco",#N/A,FALSE,"Summary Financials"}</definedName>
    <definedName name="________wrn8" hidden="1">{"holdco",#N/A,FALSE,"Summary Financials";"holdco",#N/A,FALSE,"Summary Financials"}</definedName>
    <definedName name="_______bb2" localSheetId="18" hidden="1">{#N/A,#N/A,FALSE,"PRJCTED MNTHLY QTY's"}</definedName>
    <definedName name="_______bb2" hidden="1">{#N/A,#N/A,FALSE,"PRJCTED MNTHLY QTY's"}</definedName>
    <definedName name="_______Lee5" localSheetId="18" hidden="1">{#VALUE!,#N/A,FALSE,0}</definedName>
    <definedName name="_______Lee5" hidden="1">{#VALUE!,#N/A,FALSE,0}</definedName>
    <definedName name="______hom1" localSheetId="18" hidden="1">{#N/A,#N/A,FALSE,"Assessment";#N/A,#N/A,FALSE,"Staffing";#N/A,#N/A,FALSE,"Hires";#N/A,#N/A,FALSE,"Assumptions"}</definedName>
    <definedName name="______hom1" hidden="1">{#N/A,#N/A,FALSE,"Assessment";#N/A,#N/A,FALSE,"Staffing";#N/A,#N/A,FALSE,"Hires";#N/A,#N/A,FALSE,"Assumptions"}</definedName>
    <definedName name="______k1" localSheetId="18" hidden="1">{#N/A,#N/A,FALSE,"Assessment";#N/A,#N/A,FALSE,"Staffing";#N/A,#N/A,FALSE,"Hires";#N/A,#N/A,FALSE,"Assumptions"}</definedName>
    <definedName name="______k1" hidden="1">{#N/A,#N/A,FALSE,"Assessment";#N/A,#N/A,FALSE,"Staffing";#N/A,#N/A,FALSE,"Hires";#N/A,#N/A,FALSE,"Assumptions"}</definedName>
    <definedName name="______kk1" localSheetId="18" hidden="1">{#N/A,#N/A,FALSE,"Assessment";#N/A,#N/A,FALSE,"Staffing";#N/A,#N/A,FALSE,"Hires";#N/A,#N/A,FALSE,"Assumptions"}</definedName>
    <definedName name="______kk1" hidden="1">{#N/A,#N/A,FALSE,"Assessment";#N/A,#N/A,FALSE,"Staffing";#N/A,#N/A,FALSE,"Hires";#N/A,#N/A,FALSE,"Assumptions"}</definedName>
    <definedName name="______KKK1" localSheetId="18" hidden="1">{#N/A,#N/A,FALSE,"Assessment";#N/A,#N/A,FALSE,"Staffing";#N/A,#N/A,FALSE,"Hires";#N/A,#N/A,FALSE,"Assumptions"}</definedName>
    <definedName name="______KKK1" hidden="1">{#N/A,#N/A,FALSE,"Assessment";#N/A,#N/A,FALSE,"Staffing";#N/A,#N/A,FALSE,"Hires";#N/A,#N/A,FALSE,"Assumptions"}</definedName>
    <definedName name="______w2" localSheetId="18" hidden="1">{"Model Summary",#N/A,FALSE,"Print Chart";"Holdco",#N/A,FALSE,"Print Chart";"Genco",#N/A,FALSE,"Print Chart";"Servco",#N/A,FALSE,"Print Chart";"Genco_Detail",#N/A,FALSE,"Summary Financials";"Servco_Detail",#N/A,FALSE,"Summary Financials"}</definedName>
    <definedName name="______w2" hidden="1">{"Model Summary",#N/A,FALSE,"Print Chart";"Holdco",#N/A,FALSE,"Print Chart";"Genco",#N/A,FALSE,"Print Chart";"Servco",#N/A,FALSE,"Print Chart";"Genco_Detail",#N/A,FALSE,"Summary Financials";"Servco_Detail",#N/A,FALSE,"Summary Financials"}</definedName>
    <definedName name="______wr6" localSheetId="18"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localSheetId="18" hidden="1">{"holdco",#N/A,FALSE,"Summary Financials";"holdco",#N/A,FALSE,"Summary Financials"}</definedName>
    <definedName name="______wr9" hidden="1">{"holdco",#N/A,FALSE,"Summary Financials";"holdco",#N/A,FALSE,"Summary Financials"}</definedName>
    <definedName name="______wrn1" localSheetId="18" hidden="1">{"holdco",#N/A,FALSE,"Summary Financials";"holdco",#N/A,FALSE,"Summary Financials"}</definedName>
    <definedName name="______wrn1" hidden="1">{"holdco",#N/A,FALSE,"Summary Financials";"holdco",#N/A,FALSE,"Summary Financials"}</definedName>
    <definedName name="______wrn2" localSheetId="18" hidden="1">{"holdco",#N/A,FALSE,"Summary Financials";"holdco",#N/A,FALSE,"Summary Financials"}</definedName>
    <definedName name="______wrn2" hidden="1">{"holdco",#N/A,FALSE,"Summary Financials";"holdco",#N/A,FALSE,"Summary Financials"}</definedName>
    <definedName name="______wrn3" localSheetId="18" hidden="1">{"holdco",#N/A,FALSE,"Summary Financials";"holdco",#N/A,FALSE,"Summary Financials"}</definedName>
    <definedName name="______wrn3" hidden="1">{"holdco",#N/A,FALSE,"Summary Financials";"holdco",#N/A,FALSE,"Summary Financials"}</definedName>
    <definedName name="______wrn7" localSheetId="18" hidden="1">{"Model Summary",#N/A,FALSE,"Print Chart";"Holdco",#N/A,FALSE,"Print Chart";"Genco",#N/A,FALSE,"Print Chart";"Servco",#N/A,FALSE,"Print Chart";"Genco_Detail",#N/A,FALSE,"Summary Financials";"Servco_Detail",#N/A,FALSE,"Summary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localSheetId="18" hidden="1">{"holdco",#N/A,FALSE,"Summary Financials";"holdco",#N/A,FALSE,"Summary Financials"}</definedName>
    <definedName name="______wrn8" hidden="1">{"holdco",#N/A,FALSE,"Summary Financials";"holdco",#N/A,FALSE,"Summary Financials"}</definedName>
    <definedName name="_____KKK1" localSheetId="18" hidden="1">{#N/A,#N/A,FALSE,"Assessment";#N/A,#N/A,FALSE,"Staffing";#N/A,#N/A,FALSE,"Hires";#N/A,#N/A,FALSE,"Assumptions"}</definedName>
    <definedName name="_____KKK1" hidden="1">{#N/A,#N/A,FALSE,"Assessment";#N/A,#N/A,FALSE,"Staffing";#N/A,#N/A,FALSE,"Hires";#N/A,#N/A,FALSE,"Assumptions"}</definedName>
    <definedName name="_____wrn1" localSheetId="18" hidden="1">{"holdco",#N/A,FALSE,"Summary Financials";"holdco",#N/A,FALSE,"Summary Financials"}</definedName>
    <definedName name="_____wrn1" hidden="1">{"holdco",#N/A,FALSE,"Summary Financials";"holdco",#N/A,FALSE,"Summary Financials"}</definedName>
    <definedName name="_____wrn2" localSheetId="18" hidden="1">{"holdco",#N/A,FALSE,"Summary Financials";"holdco",#N/A,FALSE,"Summary Financials"}</definedName>
    <definedName name="_____wrn2" hidden="1">{"holdco",#N/A,FALSE,"Summary Financials";"holdco",#N/A,FALSE,"Summary Financials"}</definedName>
    <definedName name="_____wrn3" localSheetId="18" hidden="1">{"holdco",#N/A,FALSE,"Summary Financials";"holdco",#N/A,FALSE,"Summary Financials"}</definedName>
    <definedName name="_____wrn3" hidden="1">{"holdco",#N/A,FALSE,"Summary Financials";"holdco",#N/A,FALSE,"Summary Financials"}</definedName>
    <definedName name="_____wrn7" localSheetId="18" hidden="1">{"Model Summary",#N/A,FALSE,"Print Chart";"Holdco",#N/A,FALSE,"Print Chart";"Genco",#N/A,FALSE,"Print Chart";"Servco",#N/A,FALSE,"Print Chart";"Genco_Detail",#N/A,FALSE,"Summary Financials";"Servco_Detail",#N/A,FALSE,"Summary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localSheetId="18" hidden="1">{"holdco",#N/A,FALSE,"Summary Financials";"holdco",#N/A,FALSE,"Summary Financials"}</definedName>
    <definedName name="_____wrn8" hidden="1">{"holdco",#N/A,FALSE,"Summary Financials";"holdco",#N/A,FALSE,"Summary Financials"}</definedName>
    <definedName name="__123Graph_B" hidden="1">#REF!</definedName>
    <definedName name="__123Graph_C" hidden="1">#REF!</definedName>
    <definedName name="__123Graph_D" hidden="1">#REF!</definedName>
    <definedName name="__123Graph_X" hidden="1">#REF!</definedName>
    <definedName name="__FDS_HYPERLINK_TOGGLE_STATE__" hidden="1">"ON"</definedName>
    <definedName name="__hom1" localSheetId="18" hidden="1">{#N/A,#N/A,FALSE,"Assessment";#N/A,#N/A,FALSE,"Staffing";#N/A,#N/A,FALSE,"Hires";#N/A,#N/A,FALSE,"Assumptions"}</definedName>
    <definedName name="__hom1" hidden="1">{#N/A,#N/A,FALSE,"Assessment";#N/A,#N/A,FALSE,"Staffing";#N/A,#N/A,FALSE,"Hires";#N/A,#N/A,FALSE,"Assumptions"}</definedName>
    <definedName name="__IntlFixup" hidden="1">TRUE</definedName>
    <definedName name="__kk1" localSheetId="18" hidden="1">{#N/A,#N/A,FALSE,"Assessment";#N/A,#N/A,FALSE,"Staffing";#N/A,#N/A,FALSE,"Hires";#N/A,#N/A,FALSE,"Assumptions"}</definedName>
    <definedName name="__kk1" hidden="1">{#N/A,#N/A,FALSE,"Assessment";#N/A,#N/A,FALSE,"Staffing";#N/A,#N/A,FALSE,"Hires";#N/A,#N/A,FALSE,"Assumptions"}</definedName>
    <definedName name="__KKK1" localSheetId="18" hidden="1">{#N/A,#N/A,FALSE,"Assessment";#N/A,#N/A,FALSE,"Staffing";#N/A,#N/A,FALSE,"Hires";#N/A,#N/A,FALSE,"Assumptions"}</definedName>
    <definedName name="__KKK1" hidden="1">{#N/A,#N/A,FALSE,"Assessment";#N/A,#N/A,FALSE,"Staffing";#N/A,#N/A,FALSE,"Hires";#N/A,#N/A,FALSE,"Assumptions"}</definedName>
    <definedName name="__wrn1" localSheetId="18" hidden="1">{"holdco",#N/A,FALSE,"Summary Financials";"holdco",#N/A,FALSE,"Summary Financials"}</definedName>
    <definedName name="__wrn1" hidden="1">{"holdco",#N/A,FALSE,"Summary Financials";"holdco",#N/A,FALSE,"Summary Financials"}</definedName>
    <definedName name="__wrn2" localSheetId="18" hidden="1">{"holdco",#N/A,FALSE,"Summary Financials";"holdco",#N/A,FALSE,"Summary Financials"}</definedName>
    <definedName name="__wrn2" hidden="1">{"holdco",#N/A,FALSE,"Summary Financials";"holdco",#N/A,FALSE,"Summary Financials"}</definedName>
    <definedName name="__wrn3" localSheetId="18" hidden="1">{"holdco",#N/A,FALSE,"Summary Financials";"holdco",#N/A,FALSE,"Summary Financials"}</definedName>
    <definedName name="__wrn3" hidden="1">{"holdco",#N/A,FALSE,"Summary Financials";"holdco",#N/A,FALSE,"Summary Financials"}</definedName>
    <definedName name="__wrn7" localSheetId="18" hidden="1">{"Model Summary",#N/A,FALSE,"Print Chart";"Holdco",#N/A,FALSE,"Print Chart";"Genco",#N/A,FALSE,"Print Chart";"Servco",#N/A,FALSE,"Print Chart";"Genco_Detail",#N/A,FALSE,"Summary Financials";"Servco_Detail",#N/A,FALSE,"Summary Financials"}</definedName>
    <definedName name="__wrn7" hidden="1">{"Model Summary",#N/A,FALSE,"Print Chart";"Holdco",#N/A,FALSE,"Print Chart";"Genco",#N/A,FALSE,"Print Chart";"Servco",#N/A,FALSE,"Print Chart";"Genco_Detail",#N/A,FALSE,"Summary Financials";"Servco_Detail",#N/A,FALSE,"Summary Financials"}</definedName>
    <definedName name="__wrn8" localSheetId="18" hidden="1">{"holdco",#N/A,FALSE,"Summary Financials";"holdco",#N/A,FALSE,"Summary Financials"}</definedName>
    <definedName name="__wrn8" hidden="1">{"holdco",#N/A,FALSE,"Summary Financials";"holdco",#N/A,FALSE,"Summary Financials"}</definedName>
    <definedName name="_139__123Graph_LBL_DCHART_3" hidden="1">#REF!</definedName>
    <definedName name="_142__123Graph_LBL_FCHART_1" hidden="1">#REF!</definedName>
    <definedName name="_143__123Graph_LBL_FCHART_3" hidden="1">#REF!</definedName>
    <definedName name="_33__123Graph_LBL_ECHART_3" hidden="1">#REF!</definedName>
    <definedName name="_34__123Graph_LBL_FCHART_1" hidden="1">#REF!</definedName>
    <definedName name="_35__123Graph_LBL_FCHART_3" hidden="1">#REF!</definedName>
    <definedName name="_49__123Graph_LBL_FCHART_1" hidden="1">#REF!</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localSheetId="18" hidden="1">#REF!</definedName>
    <definedName name="_example" hidden="1">#REF!</definedName>
    <definedName name="_Fill" localSheetId="18" hidden="1">#REF!</definedName>
    <definedName name="_Fill" hidden="1">#REF!</definedName>
    <definedName name="_xlnm._FilterDatabase" localSheetId="15" hidden="1">'R8a - Tax Reconciliation'!$A$9:$M$109</definedName>
    <definedName name="_Key1" localSheetId="18" hidden="1">#REF!</definedName>
    <definedName name="_Key1" hidden="1">#REF!</definedName>
    <definedName name="_Key2" localSheetId="18" hidden="1">#REF!</definedName>
    <definedName name="_Key2" hidden="1">#REF!</definedName>
    <definedName name="_Order1" hidden="1">255</definedName>
    <definedName name="_Order2" hidden="1">0</definedName>
    <definedName name="_Sort" localSheetId="18" hidden="1">#REF!</definedName>
    <definedName name="_Sort" hidden="1">#REF!</definedName>
    <definedName name="a" localSheetId="18" hidden="1">{"staff",#N/A,FALSE,"Current Month"}</definedName>
    <definedName name="a" hidden="1">{"staff",#N/A,FALSE,"Current Month"}</definedName>
    <definedName name="AAA_duser" hidden="1">"OFF"</definedName>
    <definedName name="AAB_GSPPG" hidden="1">"AAB_Goldman Sachs PPG Chart Utilities 1.0g"</definedName>
    <definedName name="AccessDatabase" hidden="1">"C:\DATA\KEVIN\MODELS\Model 0218.mdb"</definedName>
    <definedName name="ACwvu.CapersView." localSheetId="18" hidden="1">#REF!</definedName>
    <definedName name="ACwvu.CapersView." hidden="1">#REF!</definedName>
    <definedName name="ACwvu.Japan_Capers_Ed_Pub." localSheetId="18" hidden="1">#REF!</definedName>
    <definedName name="ACwvu.Japan_Capers_Ed_Pub." hidden="1">#REF!</definedName>
    <definedName name="ACwvu.KJP_CC." localSheetId="18" hidden="1">#REF!</definedName>
    <definedName name="ACwvu.KJP_CC." hidden="1">#REF!</definedName>
    <definedName name="Adjusted_regulated_tax_liability">'R8 - Tax'!$E$48:$I$48</definedName>
    <definedName name="Adjusted_regulated_tax_liability__Reporting_Year">'R8 - Tax'!$E$48:$I$48</definedName>
    <definedName name="ARCMt">#REF!</definedName>
    <definedName name="ARtDR5" comment="Allowed distribution netwrok reveue in 2014/15">#REF!</definedName>
    <definedName name="asdas" hidden="1">{#N/A,#N/A,FALSE,"TMCOMP96";#N/A,#N/A,FALSE,"MAT96";#N/A,#N/A,FALSE,"FANDA96";#N/A,#N/A,FALSE,"INTRAN96";#N/A,#N/A,FALSE,"NAA9697";#N/A,#N/A,FALSE,"ECWEBB";#N/A,#N/A,FALSE,"MFT96";#N/A,#N/A,FALSE,"CTrecon"}</definedName>
    <definedName name="AUM">#REF!</definedName>
    <definedName name="b" localSheetId="18" hidden="1">{"staff",#N/A,FALSE,"Current Month"}</definedName>
    <definedName name="b" hidden="1">{"staff",#N/A,FALSE,"Current Month"}</definedName>
    <definedName name="bb" localSheetId="18" hidden="1">{#N/A,#N/A,FALSE,"PRJCTED MNTHLY QTY's"}</definedName>
    <definedName name="bb" hidden="1">{#N/A,#N/A,FALSE,"PRJCTED MNTHLY QTY's"}</definedName>
    <definedName name="bbbb" localSheetId="18" hidden="1">{#N/A,#N/A,FALSE,"PRJCTED QTRLY QTY's"}</definedName>
    <definedName name="bbbb" hidden="1">{#N/A,#N/A,FALSE,"PRJCTED QTRLY QTY's"}</definedName>
    <definedName name="bbbbbb" localSheetId="18" hidden="1">{#N/A,#N/A,FALSE,"PRJCTED QTRLY QTY's"}</definedName>
    <definedName name="bbbbbb" hidden="1">{#N/A,#N/A,FALSE,"PRJCTED QTRLY QTY's"}</definedName>
    <definedName name="BExEZ4HBCC06708765M8A06KCR7P" hidden="1">#N/A</definedName>
    <definedName name="BLPH1" hidden="1">#REF!</definedName>
    <definedName name="BLPH10" localSheetId="18" hidden="1">#REF!</definedName>
    <definedName name="BLPH10" hidden="1">#REF!</definedName>
    <definedName name="BLPH100" localSheetId="18" hidden="1">#REF!</definedName>
    <definedName name="BLPH100" hidden="1">#REF!</definedName>
    <definedName name="BLPH101" localSheetId="18"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localSheetId="18" hidden="1">#REF!</definedName>
    <definedName name="BLPH2" hidden="1">#REF!</definedName>
    <definedName name="BLPH20" localSheetId="18" hidden="1">#REF!</definedName>
    <definedName name="BLPH20" hidden="1">#REF!</definedName>
    <definedName name="BLPH200" localSheetId="18" hidden="1">#REF!</definedName>
    <definedName name="BLPH200" hidden="1">#REF!</definedName>
    <definedName name="BLPH201" localSheetId="18"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#REF!</definedName>
    <definedName name="BLPH210" localSheetId="18" hidden="1">#REF!</definedName>
    <definedName name="BLPH210" hidden="1">#REF!</definedName>
    <definedName name="BLPH211" localSheetId="18" hidden="1">#REF!</definedName>
    <definedName name="BLPH211" hidden="1">#REF!</definedName>
    <definedName name="BLPH212" localSheetId="18"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#REF!</definedName>
    <definedName name="BLPH220" localSheetId="18" hidden="1">#REF!</definedName>
    <definedName name="BLPH220" hidden="1">#REF!</definedName>
    <definedName name="BLPH221" localSheetId="18" hidden="1">#REF!</definedName>
    <definedName name="BLPH221" hidden="1">#REF!</definedName>
    <definedName name="BLPH222" localSheetId="18"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#REF!</definedName>
    <definedName name="BLPH230" localSheetId="18" hidden="1">#REF!</definedName>
    <definedName name="BLPH230" hidden="1">#REF!</definedName>
    <definedName name="BLPH231" localSheetId="18" hidden="1">#REF!</definedName>
    <definedName name="BLPH231" hidden="1">#REF!</definedName>
    <definedName name="BLPH232" localSheetId="18"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#REF!</definedName>
    <definedName name="BLPH240" localSheetId="18" hidden="1">#REF!</definedName>
    <definedName name="BLPH240" hidden="1">#REF!</definedName>
    <definedName name="BLPH241" localSheetId="18" hidden="1">#REF!</definedName>
    <definedName name="BLPH241" hidden="1">#REF!</definedName>
    <definedName name="BLPH242" localSheetId="18"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#REF!</definedName>
    <definedName name="BLPH250" localSheetId="18" hidden="1">#REF!</definedName>
    <definedName name="BLPH250" hidden="1">#REF!</definedName>
    <definedName name="BLPH251" localSheetId="18" hidden="1">#REF!</definedName>
    <definedName name="BLPH251" hidden="1">#REF!</definedName>
    <definedName name="BLPH252" localSheetId="18"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#REF!</definedName>
    <definedName name="BLPH260" localSheetId="18" hidden="1">#REF!</definedName>
    <definedName name="BLPH260" hidden="1">#REF!</definedName>
    <definedName name="BLPH261" localSheetId="18" hidden="1">#REF!</definedName>
    <definedName name="BLPH261" hidden="1">#REF!</definedName>
    <definedName name="BLPH262" localSheetId="18"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#REF!</definedName>
    <definedName name="BLPH270" localSheetId="18" hidden="1">#REF!</definedName>
    <definedName name="BLPH270" hidden="1">#REF!</definedName>
    <definedName name="BLPH271" localSheetId="18" hidden="1">#REF!</definedName>
    <definedName name="BLPH271" hidden="1">#REF!</definedName>
    <definedName name="BLPH272" localSheetId="18"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#REF!</definedName>
    <definedName name="BLPH280" localSheetId="18" hidden="1">#REF!</definedName>
    <definedName name="BLPH280" hidden="1">#REF!</definedName>
    <definedName name="BLPH281" localSheetId="18" hidden="1">#REF!</definedName>
    <definedName name="BLPH281" hidden="1">#REF!</definedName>
    <definedName name="BLPH282" localSheetId="18"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#REF!</definedName>
    <definedName name="BLPH290" localSheetId="18" hidden="1">#REF!</definedName>
    <definedName name="BLPH290" hidden="1">#REF!</definedName>
    <definedName name="BLPH291" localSheetId="18" hidden="1">#REF!</definedName>
    <definedName name="BLPH291" hidden="1">#REF!</definedName>
    <definedName name="BLPH292" localSheetId="18"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localSheetId="18" hidden="1">#REF!</definedName>
    <definedName name="BLPH3" hidden="1">#REF!</definedName>
    <definedName name="BLPH30" hidden="1">#REF!</definedName>
    <definedName name="BLPH300" localSheetId="18" hidden="1">#REF!</definedName>
    <definedName name="BLPH300" hidden="1">#REF!</definedName>
    <definedName name="BLPH301" localSheetId="18" hidden="1">#REF!</definedName>
    <definedName name="BLPH301" hidden="1">#REF!</definedName>
    <definedName name="BLPH302" localSheetId="18"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#REF!</definedName>
    <definedName name="BLPH310" localSheetId="18" hidden="1">#REF!</definedName>
    <definedName name="BLPH310" hidden="1">#REF!</definedName>
    <definedName name="BLPH311" localSheetId="18" hidden="1">#REF!</definedName>
    <definedName name="BLPH311" hidden="1">#REF!</definedName>
    <definedName name="BLPH312" localSheetId="18"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#REF!</definedName>
    <definedName name="BLPH320" localSheetId="18" hidden="1">#REF!</definedName>
    <definedName name="BLPH320" hidden="1">#REF!</definedName>
    <definedName name="BLPH321" localSheetId="18" hidden="1">#REF!</definedName>
    <definedName name="BLPH321" hidden="1">#REF!</definedName>
    <definedName name="BLPH322" localSheetId="18"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#REF!</definedName>
    <definedName name="BLPH330" localSheetId="18" hidden="1">#REF!</definedName>
    <definedName name="BLPH330" hidden="1">#REF!</definedName>
    <definedName name="BLPH331" localSheetId="18" hidden="1">#REF!</definedName>
    <definedName name="BLPH331" hidden="1">#REF!</definedName>
    <definedName name="BLPH332" localSheetId="18"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#REF!</definedName>
    <definedName name="BLPH340" localSheetId="18" hidden="1">#REF!</definedName>
    <definedName name="BLPH340" hidden="1">#REF!</definedName>
    <definedName name="BLPH341" localSheetId="18" hidden="1">#REF!</definedName>
    <definedName name="BLPH341" hidden="1">#REF!</definedName>
    <definedName name="BLPH342" localSheetId="18"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#REF!</definedName>
    <definedName name="BLPH350" localSheetId="18" hidden="1">#REF!</definedName>
    <definedName name="BLPH350" hidden="1">#REF!</definedName>
    <definedName name="BLPH351" localSheetId="18" hidden="1">#REF!</definedName>
    <definedName name="BLPH351" hidden="1">#REF!</definedName>
    <definedName name="BLPH352" localSheetId="18"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localSheetId="18" hidden="1">#REF!</definedName>
    <definedName name="BLPH4" hidden="1">#REF!</definedName>
    <definedName name="BLPH40" localSheetId="18" hidden="1">#REF!</definedName>
    <definedName name="BLPH40" hidden="1">#REF!</definedName>
    <definedName name="BLPH41" localSheetId="18"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localSheetId="18" hidden="1">#REF!</definedName>
    <definedName name="BLPH5" hidden="1">#REF!</definedName>
    <definedName name="BLPH50" localSheetId="18" hidden="1">#REF!</definedName>
    <definedName name="BLPH50" hidden="1">#REF!</definedName>
    <definedName name="BLPH51" localSheetId="18" hidden="1">#REF!</definedName>
    <definedName name="BLPH51" hidden="1">#REF!</definedName>
    <definedName name="BLPH52" localSheetId="18"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R1020040129204514642" hidden="1">#REF!</definedName>
    <definedName name="BLPR1020040129204514642_1_5" hidden="1">#REF!</definedName>
    <definedName name="BLPR1020040129204514642_2_5" hidden="1">#REF!</definedName>
    <definedName name="BLPR1020040129204514642_3_5" hidden="1">#REF!</definedName>
    <definedName name="BLPR1020040129204514642_4_5" hidden="1">#REF!</definedName>
    <definedName name="BLPR1020040129204514642_5_5" hidden="1">#REF!</definedName>
    <definedName name="BLPR1120040129204514642" hidden="1">#REF!</definedName>
    <definedName name="BLPR1120040129204514642_1_5" hidden="1">#REF!</definedName>
    <definedName name="BLPR1120040129204514642_2_5" hidden="1">#REF!</definedName>
    <definedName name="BLPR1120040129204514642_3_5" hidden="1">#REF!</definedName>
    <definedName name="BLPR1120040129204514642_4_5" hidden="1">#REF!</definedName>
    <definedName name="BLPR1120040129204514642_5_5" hidden="1">#REF!</definedName>
    <definedName name="BLPR120040129203645421" hidden="1">#REF!</definedName>
    <definedName name="BLPR120040129203645421_1_4" hidden="1">#REF!</definedName>
    <definedName name="BLPR120040129203645421_2_4" hidden="1">#REF!</definedName>
    <definedName name="BLPR120040129203645421_3_4" hidden="1">#REF!</definedName>
    <definedName name="BLPR120040129203645421_4_4" hidden="1">#REF!</definedName>
    <definedName name="BLPR1220040129204514642" hidden="1">#REF!</definedName>
    <definedName name="BLPR1220040129204514642_1_5" hidden="1">#REF!</definedName>
    <definedName name="BLPR1220040129204514642_2_5" hidden="1">#REF!</definedName>
    <definedName name="BLPR1220040129204514642_3_5" hidden="1">#REF!</definedName>
    <definedName name="BLPR1220040129204514642_4_5" hidden="1">#REF!</definedName>
    <definedName name="BLPR1220040129204514642_5_5" hidden="1">#REF!</definedName>
    <definedName name="BLPR1320040129204514642" hidden="1">#REF!</definedName>
    <definedName name="BLPR1320040129204514642_1_5" hidden="1">#REF!</definedName>
    <definedName name="BLPR1320040129204514642_2_5" hidden="1">#REF!</definedName>
    <definedName name="BLPR1320040129204514642_3_5" hidden="1">#REF!</definedName>
    <definedName name="BLPR1320040129204514642_4_5" hidden="1">#REF!</definedName>
    <definedName name="BLPR1320040129204514642_5_5" hidden="1">#REF!</definedName>
    <definedName name="BLPR1420040129204514642" hidden="1">#REF!</definedName>
    <definedName name="BLPR1420040129204514642_1_5" hidden="1">#REF!</definedName>
    <definedName name="BLPR1420040129204514642_2_5" hidden="1">#REF!</definedName>
    <definedName name="BLPR1420040129204514642_3_5" hidden="1">#REF!</definedName>
    <definedName name="BLPR1420040129204514642_4_5" hidden="1">#REF!</definedName>
    <definedName name="BLPR1420040129204514642_5_5" hidden="1">#REF!</definedName>
    <definedName name="BLPR1520040129204514652" hidden="1">#REF!</definedName>
    <definedName name="BLPR1520040129204514652_1_5" hidden="1">#REF!</definedName>
    <definedName name="BLPR1520040129204514652_2_5" hidden="1">#REF!</definedName>
    <definedName name="BLPR1520040129204514652_3_5" hidden="1">#REF!</definedName>
    <definedName name="BLPR1520040129204514652_4_5" hidden="1">#REF!</definedName>
    <definedName name="BLPR1520040129204514652_5_5" hidden="1">#REF!</definedName>
    <definedName name="BLPR1620040129204514652" hidden="1">#REF!</definedName>
    <definedName name="BLPR1620040129204514652_1_5" hidden="1">#REF!</definedName>
    <definedName name="BLPR1620040129204514652_2_5" hidden="1">#REF!</definedName>
    <definedName name="BLPR1620040129204514652_3_5" hidden="1">#REF!</definedName>
    <definedName name="BLPR1620040129204514652_4_5" hidden="1">#REF!</definedName>
    <definedName name="BLPR1620040129204514652_5_5" hidden="1">#REF!</definedName>
    <definedName name="BLPR1720040129204514652" hidden="1">#REF!</definedName>
    <definedName name="BLPR1720040129204514652_1_5" hidden="1">#REF!</definedName>
    <definedName name="BLPR1720040129204514652_2_5" hidden="1">#REF!</definedName>
    <definedName name="BLPR1720040129204514652_3_5" hidden="1">#REF!</definedName>
    <definedName name="BLPR1720040129204514652_4_5" hidden="1">#REF!</definedName>
    <definedName name="BLPR1720040129204514652_5_5" hidden="1">#REF!</definedName>
    <definedName name="BLPR1820040129204514652" hidden="1">#REF!</definedName>
    <definedName name="BLPR1820040129204514652_1_5" hidden="1">#REF!</definedName>
    <definedName name="BLPR1820040129204514652_2_5" hidden="1">#REF!</definedName>
    <definedName name="BLPR1820040129204514652_3_5" hidden="1">#REF!</definedName>
    <definedName name="BLPR1820040129204514652_4_5" hidden="1">#REF!</definedName>
    <definedName name="BLPR1820040129204514652_5_5" hidden="1">#REF!</definedName>
    <definedName name="BLPR1920040129204514652" hidden="1">#REF!</definedName>
    <definedName name="BLPR1920040129204514652_1_5" hidden="1">#REF!</definedName>
    <definedName name="BLPR1920040129204514652_2_5" hidden="1">#REF!</definedName>
    <definedName name="BLPR1920040129204514652_3_5" hidden="1">#REF!</definedName>
    <definedName name="BLPR1920040129204514652_4_5" hidden="1">#REF!</definedName>
    <definedName name="BLPR1920040129204514652_5_5" hidden="1">#REF!</definedName>
    <definedName name="BLPR2020040129204514652" hidden="1">#REF!</definedName>
    <definedName name="BLPR2020040129204514652_1_5" hidden="1">#REF!</definedName>
    <definedName name="BLPR2020040129204514652_2_5" hidden="1">#REF!</definedName>
    <definedName name="BLPR2020040129204514652_3_5" hidden="1">#REF!</definedName>
    <definedName name="BLPR2020040129204514652_4_5" hidden="1">#REF!</definedName>
    <definedName name="BLPR2020040129204514652_5_5" hidden="1">#REF!</definedName>
    <definedName name="BLPR2120040129204514652" hidden="1">#REF!</definedName>
    <definedName name="BLPR2120040129204514652_1_5" hidden="1">#REF!</definedName>
    <definedName name="BLPR2120040129204514652_2_5" hidden="1">#REF!</definedName>
    <definedName name="BLPR2120040129204514652_3_5" hidden="1">#REF!</definedName>
    <definedName name="BLPR2120040129204514652_4_5" hidden="1">#REF!</definedName>
    <definedName name="BLPR2120040129204514652_5_5" hidden="1">#REF!</definedName>
    <definedName name="BLPR220040129203645421" hidden="1">#REF!</definedName>
    <definedName name="BLPR220040129203645421_1_4" hidden="1">#REF!</definedName>
    <definedName name="BLPR220040129203645421_2_4" hidden="1">#REF!</definedName>
    <definedName name="BLPR220040129203645421_3_4" hidden="1">#REF!</definedName>
    <definedName name="BLPR220040129203645421_4_4" hidden="1">#REF!</definedName>
    <definedName name="BLPR2220040129204514652" hidden="1">#REF!</definedName>
    <definedName name="BLPR2220040129204514652_1_5" hidden="1">#REF!</definedName>
    <definedName name="BLPR2220040129204514652_2_5" hidden="1">#REF!</definedName>
    <definedName name="BLPR2220040129204514652_3_5" hidden="1">#REF!</definedName>
    <definedName name="BLPR2220040129204514652_4_5" hidden="1">#REF!</definedName>
    <definedName name="BLPR2220040129204514652_5_5" hidden="1">#REF!</definedName>
    <definedName name="BLPR2320040129204514662" hidden="1">#REF!</definedName>
    <definedName name="BLPR2320040129204514662_1_5" hidden="1">#REF!</definedName>
    <definedName name="BLPR2320040129204514662_2_5" hidden="1">#REF!</definedName>
    <definedName name="BLPR2320040129204514662_3_5" hidden="1">#REF!</definedName>
    <definedName name="BLPR2320040129204514662_4_5" hidden="1">#REF!</definedName>
    <definedName name="BLPR2320040129204514662_5_5" hidden="1">#REF!</definedName>
    <definedName name="BLPR2420040129204514662" hidden="1">#REF!</definedName>
    <definedName name="BLPR2420040129204514662_1_5" hidden="1">#REF!</definedName>
    <definedName name="BLPR2420040129204514662_2_5" hidden="1">#REF!</definedName>
    <definedName name="BLPR2420040129204514662_3_5" hidden="1">#REF!</definedName>
    <definedName name="BLPR2420040129204514662_4_5" hidden="1">#REF!</definedName>
    <definedName name="BLPR2420040129204514662_5_5" hidden="1">#REF!</definedName>
    <definedName name="BLPR2520040129204514662" hidden="1">#REF!</definedName>
    <definedName name="BLPR2520040129204514662_1_5" hidden="1">#REF!</definedName>
    <definedName name="BLPR2520040129204514662_2_5" hidden="1">#REF!</definedName>
    <definedName name="BLPR2520040129204514662_3_5" hidden="1">#REF!</definedName>
    <definedName name="BLPR2520040129204514662_4_5" hidden="1">#REF!</definedName>
    <definedName name="BLPR2520040129204514662_5_5" hidden="1">#REF!</definedName>
    <definedName name="BLPR2620040129204514662" hidden="1">#REF!</definedName>
    <definedName name="BLPR2620040129204514662_1_5" hidden="1">#REF!</definedName>
    <definedName name="BLPR2620040129204514662_2_5" hidden="1">#REF!</definedName>
    <definedName name="BLPR2620040129204514662_3_5" hidden="1">#REF!</definedName>
    <definedName name="BLPR2620040129204514662_4_5" hidden="1">#REF!</definedName>
    <definedName name="BLPR2620040129204514662_5_5" hidden="1">#REF!</definedName>
    <definedName name="BLPR2720040129204514662" hidden="1">#REF!</definedName>
    <definedName name="BLPR2720040129204514662_1_5" hidden="1">#REF!</definedName>
    <definedName name="BLPR2720040129204514662_2_5" hidden="1">#REF!</definedName>
    <definedName name="BLPR2720040129204514662_3_5" hidden="1">#REF!</definedName>
    <definedName name="BLPR2720040129204514662_4_5" hidden="1">#REF!</definedName>
    <definedName name="BLPR2720040129204514662_5_5" hidden="1">#REF!</definedName>
    <definedName name="BLPR2820040129204514662" hidden="1">#REF!</definedName>
    <definedName name="BLPR2820040129204514662_1_5" hidden="1">#REF!</definedName>
    <definedName name="BLPR2820040129204514662_2_5" hidden="1">#REF!</definedName>
    <definedName name="BLPR2820040129204514662_3_5" hidden="1">#REF!</definedName>
    <definedName name="BLPR2820040129204514662_4_5" hidden="1">#REF!</definedName>
    <definedName name="BLPR2820040129204514662_5_5" hidden="1">#REF!</definedName>
    <definedName name="BLPR2920040129204514662" hidden="1">#REF!</definedName>
    <definedName name="BLPR2920040129204514662_1_5" hidden="1">#REF!</definedName>
    <definedName name="BLPR2920040129204514662_2_5" hidden="1">#REF!</definedName>
    <definedName name="BLPR2920040129204514662_3_5" hidden="1">#REF!</definedName>
    <definedName name="BLPR2920040129204514662_4_5" hidden="1">#REF!</definedName>
    <definedName name="BLPR2920040129204514662_5_5" hidden="1">#REF!</definedName>
    <definedName name="BLPR3020040129204514672" hidden="1">#REF!</definedName>
    <definedName name="BLPR3020040129204514672_1_5" hidden="1">#REF!</definedName>
    <definedName name="BLPR3020040129204514672_2_5" hidden="1">#REF!</definedName>
    <definedName name="BLPR3020040129204514672_3_5" hidden="1">#REF!</definedName>
    <definedName name="BLPR3020040129204514672_4_5" hidden="1">#REF!</definedName>
    <definedName name="BLPR3020040129204514672_5_5" hidden="1">#REF!</definedName>
    <definedName name="BLPR3120040129204514692" hidden="1">#REF!</definedName>
    <definedName name="BLPR3120040129204514692_1_1" hidden="1">#REF!</definedName>
    <definedName name="BLPR320040129203645431" hidden="1">#REF!</definedName>
    <definedName name="BLPR320040129203645431_1_4" hidden="1">#REF!</definedName>
    <definedName name="BLPR320040129203645431_2_4" hidden="1">#REF!</definedName>
    <definedName name="BLPR320040129203645431_3_4" hidden="1">#REF!</definedName>
    <definedName name="BLPR320040129203645431_4_4" hidden="1">#REF!</definedName>
    <definedName name="BLPR3220040129204514692" hidden="1">#REF!</definedName>
    <definedName name="BLPR3220040129204514692_1_1" hidden="1">#REF!</definedName>
    <definedName name="BLPR3320040129204514702" hidden="1">#REF!</definedName>
    <definedName name="BLPR3320040129204514702_1_1" hidden="1">#REF!</definedName>
    <definedName name="BLPR3420040129204514702" hidden="1">#REF!</definedName>
    <definedName name="BLPR3420040129204514702_1_1" hidden="1">#REF!</definedName>
    <definedName name="BLPR3520040129204514702" hidden="1">#REF!</definedName>
    <definedName name="BLPR3520040129204514702_1_1" hidden="1">#REF!</definedName>
    <definedName name="BLPR420040129203645431" hidden="1">#REF!</definedName>
    <definedName name="BLPR420040129203645431_1_4" hidden="1">#REF!</definedName>
    <definedName name="BLPR420040129203645431_2_4" hidden="1">#REF!</definedName>
    <definedName name="BLPR420040129203645431_3_4" hidden="1">#REF!</definedName>
    <definedName name="BLPR420040129203645431_4_4" hidden="1">#REF!</definedName>
    <definedName name="BLPR520040129203645441" hidden="1">#REF!</definedName>
    <definedName name="BLPR520040129203645441_1_4" hidden="1">#REF!</definedName>
    <definedName name="BLPR520040129203645441_2_4" hidden="1">#REF!</definedName>
    <definedName name="BLPR520040129203645441_3_4" hidden="1">#REF!</definedName>
    <definedName name="BLPR520040129203645441_4_4" hidden="1">#REF!</definedName>
    <definedName name="BLPR620040129204149993" hidden="1">#REF!</definedName>
    <definedName name="BLPR620040129204149993_1_5" hidden="1">#REF!</definedName>
    <definedName name="BLPR620040129204149993_2_5" hidden="1">#REF!</definedName>
    <definedName name="BLPR620040129204149993_3_5" hidden="1">#REF!</definedName>
    <definedName name="BLPR620040129204149993_4_5" hidden="1">#REF!</definedName>
    <definedName name="BLPR620040129204149993_5_5" hidden="1">#REF!</definedName>
    <definedName name="BLPR720040129204514631" hidden="1">#REF!</definedName>
    <definedName name="BLPR720040129204514631_1_5" hidden="1">#REF!</definedName>
    <definedName name="BLPR720040129204514631_2_5" hidden="1">#REF!</definedName>
    <definedName name="BLPR720040129204514631_3_5" hidden="1">#REF!</definedName>
    <definedName name="BLPR720040129204514631_4_5" hidden="1">#REF!</definedName>
    <definedName name="BLPR720040129204514631_5_5" hidden="1">#REF!</definedName>
    <definedName name="BLPR820040129204514642" hidden="1">#REF!</definedName>
    <definedName name="BLPR820040129204514642_1_5" hidden="1">#REF!</definedName>
    <definedName name="BLPR820040129204514642_2_5" hidden="1">#REF!</definedName>
    <definedName name="BLPR820040129204514642_3_5" hidden="1">#REF!</definedName>
    <definedName name="BLPR820040129204514642_4_5" hidden="1">#REF!</definedName>
    <definedName name="BLPR820040129204514642_5_5" hidden="1">#REF!</definedName>
    <definedName name="BLPR920040129204514642" hidden="1">#REF!</definedName>
    <definedName name="BLPR920040129204514642_1_5" hidden="1">#REF!</definedName>
    <definedName name="BLPR920040129204514642_2_5" hidden="1">#REF!</definedName>
    <definedName name="BLPR920040129204514642_3_5" hidden="1">#REF!</definedName>
    <definedName name="BLPR920040129204514642_4_5" hidden="1">#REF!</definedName>
    <definedName name="BLPR920040129204514642_5_5" hidden="1">#REF!</definedName>
    <definedName name="BMt_2">#REF!</definedName>
    <definedName name="BPC">#REF!</definedName>
    <definedName name="Business_Plan_Incentive" localSheetId="15">#REF!</definedName>
    <definedName name="Business_Plan_Incentive">'R1 - RoRE'!$D$67:$H$67</definedName>
    <definedName name="calendar_year" localSheetId="15">#REF!</definedName>
    <definedName name="calendar_year">Data!$F$33:$L$33</definedName>
    <definedName name="CAS">#REF!</definedName>
    <definedName name="CGSPM">#REF!</definedName>
    <definedName name="CGSRA">#REF!</definedName>
    <definedName name="CIA">#REF!</definedName>
    <definedName name="CIB">#REF!</definedName>
    <definedName name="CIBt_2">#REF!</definedName>
    <definedName name="CIBt_3">#REF!</definedName>
    <definedName name="CIBt_4">#REF!</definedName>
    <definedName name="CIC">#REF!</definedName>
    <definedName name="CID">#REF!</definedName>
    <definedName name="CIE">#REF!</definedName>
    <definedName name="CIM">#REF!</definedName>
    <definedName name="CMLA">#REF!</definedName>
    <definedName name="CMLB">#REF!</definedName>
    <definedName name="CMLBt_2">#REF!</definedName>
    <definedName name="CMLBt_3">#REF!</definedName>
    <definedName name="CMLBt_4">#REF!</definedName>
    <definedName name="CMLC">#REF!</definedName>
    <definedName name="CMLD">#REF!</definedName>
    <definedName name="CMLE">#REF!</definedName>
    <definedName name="Combined_real_to_nominal_prices_conversion_factor__financial_year_end">Data!$F$36:$L$36</definedName>
    <definedName name="Corporate_Tax" localSheetId="15">#REF!</definedName>
    <definedName name="Corporate_Tax">Data!$C$13:$N$13</definedName>
    <definedName name="Cost_of_Equity" localSheetId="15">#REF!</definedName>
    <definedName name="Cost_of_Equity">Data!$C$6</definedName>
    <definedName name="CPIRt">#REF!</definedName>
    <definedName name="CRC5B">#REF!</definedName>
    <definedName name="CRC5C">#REF!</definedName>
    <definedName name="CRC5E">#REF!</definedName>
    <definedName name="CRIRt">#REF!</definedName>
    <definedName name="CSADt">#REF!</definedName>
    <definedName name="CSAUt">#REF!</definedName>
    <definedName name="CSBDt">#REF!</definedName>
    <definedName name="CSBUt">#REF!</definedName>
    <definedName name="CSCDt">#REF!</definedName>
    <definedName name="CSCUt">#REF!</definedName>
    <definedName name="CT">#REF!</definedName>
    <definedName name="Cwvu.CapersView." localSheetId="18" hidden="1">#REF!</definedName>
    <definedName name="Cwvu.CapersView." hidden="1">#REF!</definedName>
    <definedName name="Cwvu.Japan_Capers_Ed_Pub." localSheetId="18" hidden="1">#REF!</definedName>
    <definedName name="Cwvu.Japan_Capers_Ed_Pub." hidden="1">#REF!</definedName>
    <definedName name="Debt_performance___at_notional_gearing">'R1 - RoRE'!$D$84:$H$84</definedName>
    <definedName name="Debt_performance___impact_of_actual_gearing" localSheetId="15">#REF!</definedName>
    <definedName name="Debt_performance___impact_of_actual_gearing">'R1 - RoRE'!$D$85:$H$85</definedName>
    <definedName name="DecimalPlaces">#REF!</definedName>
    <definedName name="dgsgf" hidden="1">{#N/A,#N/A,FALSE,"TMCOMP96";#N/A,#N/A,FALSE,"MAT96";#N/A,#N/A,FALSE,"FANDA96";#N/A,#N/A,FALSE,"INTRAN96";#N/A,#N/A,FALSE,"NAA9697";#N/A,#N/A,FALSE,"ECWEBB";#N/A,#N/A,FALSE,"MFT96";#N/A,#N/A,FALSE,"CTrecon"}</definedName>
    <definedName name="Distribution" hidden="1">#REF!</definedName>
    <definedName name="DLGT">#REF!</definedName>
    <definedName name="DNOName">#REF!</definedName>
    <definedName name="DR5Q">#REF!</definedName>
    <definedName name="ENIA">#REF!</definedName>
    <definedName name="Equity_RAV_based_on_actual_gearing" localSheetId="15">#REF!</definedName>
    <definedName name="Equity_RAV_based_on_actual_gearing">'R1 - RoRE'!$D$91:$H$91</definedName>
    <definedName name="Equity_Return_on_the_RAV" localSheetId="15">#REF!</definedName>
    <definedName name="Equity_Return_on_the_RAV">'R1 - RoRE'!$D$65:$H$65</definedName>
    <definedName name="ESTR">#REF!</definedName>
    <definedName name="ExtraProfiles" hidden="1">#REF!</definedName>
    <definedName name="f" localSheetId="18" hidden="1">{"'PRODUCTIONCOST SHEET'!$B$3:$G$48"}</definedName>
    <definedName name="f" hidden="1">{"'PRODUCTIONCOST SHEET'!$B$3:$G$48"}</definedName>
    <definedName name="ff" localSheetId="18" hidden="1">{#N/A,#N/A,FALSE,"PRJCTED MNTHLY QTY's"}</definedName>
    <definedName name="ff" hidden="1">{#N/A,#N/A,FALSE,"PRJCTED MNTHLY QTY's"}</definedName>
    <definedName name="fffff" localSheetId="18" hidden="1">{#N/A,#N/A,FALSE,"PRJCTED QTRLY QTY's"}</definedName>
    <definedName name="fffff" hidden="1">{#N/A,#N/A,FALSE,"PRJCTED QTRLY QTY's"}</definedName>
    <definedName name="fg"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PPR">#REF!</definedName>
    <definedName name="GAS">#REF!</definedName>
    <definedName name="ghj" hidden="1">{#N/A,#N/A,FALSE,"TMCOMP96";#N/A,#N/A,FALSE,"MAT96";#N/A,#N/A,FALSE,"FANDA96";#N/A,#N/A,FALSE,"INTRAN96";#N/A,#N/A,FALSE,"NAA9697";#N/A,#N/A,FALSE,"ECWEBB";#N/A,#N/A,FALSE,"MFT96";#N/A,#N/A,FALSE,"CTrecon"}</definedName>
    <definedName name="GIM">#REF!</definedName>
    <definedName name="gjk" localSheetId="18" hidden="1">{#N/A,#N/A,FALSE,"DI 2 YEAR MASTER SCHEDULE"}</definedName>
    <definedName name="gjk" hidden="1">{#N/A,#N/A,FALSE,"DI 2 YEAR MASTER SCHEDULE"}</definedName>
    <definedName name="GPIRt">#REF!</definedName>
    <definedName name="GRIRt">#REF!</definedName>
    <definedName name="GTA">#REF!</definedName>
    <definedName name="GTAA">#REF!</definedName>
    <definedName name="gwge" localSheetId="18" hidden="1">#REF!</definedName>
    <definedName name="gwge" hidden="1">#REF!</definedName>
    <definedName name="HB">#REF!</definedName>
    <definedName name="hh" localSheetId="18"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localSheetId="18" hidden="1">{"'PRODUCTIONCOST SHEET'!$B$3:$G$48"}</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CEO">#REF!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#REF!</definedName>
    <definedName name="IRAt">#REF!</definedName>
    <definedName name="IRBt">#REF!</definedName>
    <definedName name="IRCMt">#REF!</definedName>
    <definedName name="It">#REF!</definedName>
    <definedName name="jhkgh"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K">#REF!</definedName>
    <definedName name="khkjk" localSheetId="18" hidden="1">{"staff",#N/A,FALSE,"Current Month"}</definedName>
    <definedName name="khkjk" hidden="1">{"staff",#N/A,FALSE,"Current Month"}</definedName>
    <definedName name="l" localSheetId="18" hidden="1">{#N/A,#N/A,FALSE,"DI 2 YEAR MASTER SCHEDULE"}</definedName>
    <definedName name="l" hidden="1">{#N/A,#N/A,FALSE,"DI 2 YEAR MASTER SCHEDULE"}</definedName>
    <definedName name="LCN1t">#REF!</definedName>
    <definedName name="LCN2t">#REF!</definedName>
    <definedName name="LDRO">#REF!</definedName>
    <definedName name="LF">#REF!</definedName>
    <definedName name="LFA">#REF!</definedName>
    <definedName name="LFE">#REF!</definedName>
    <definedName name="Licensee">'RFPR cover'!$C$7</definedName>
    <definedName name="ListOffset" hidden="1">1</definedName>
    <definedName name="lkl" localSheetId="18" hidden="1">{#N/A,#N/A,FALSE,"DI 2 YEAR MASTER SCHEDULE"}</definedName>
    <definedName name="lkl" hidden="1">{#N/A,#N/A,FALSE,"DI 2 YEAR MASTER SCHEDULE"}</definedName>
    <definedName name="LookupK">#REF!</definedName>
    <definedName name="LookupPPLD">#REF!</definedName>
    <definedName name="materiality_threshold" localSheetId="15">#REF!</definedName>
    <definedName name="materiality_threshold">Data!$F$7</definedName>
    <definedName name="mm" localSheetId="18"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localSheetId="1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OD">#REF!</definedName>
    <definedName name="N_A">'R8 - Tax'!$E$11:$H$11</definedName>
    <definedName name="Navigate">'RFPR cover'!$D$2</definedName>
    <definedName name="NCPD">#REF!</definedName>
    <definedName name="NCPM">#REF!</definedName>
    <definedName name="NIAR">#REF!</definedName>
    <definedName name="NIAV">#REF!</definedName>
    <definedName name="nn" localSheetId="18" hidden="1">{#N/A,#N/A,FALSE,"PRJCTED QTRLY $'s"}</definedName>
    <definedName name="nn" hidden="1">{#N/A,#N/A,FALSE,"PRJCTED QTRLY $'s"}</definedName>
    <definedName name="Notional_Gearing" localSheetId="15">#REF!</definedName>
    <definedName name="Notional_Gearing">Data!$C$8</definedName>
    <definedName name="NPV_neutral_equity_element_of_RAV">'R1 - RoRE'!$D$90:$H$90</definedName>
    <definedName name="odd" localSheetId="18" hidden="1">{"staff",#N/A,FALSE,"Current Month"}</definedName>
    <definedName name="odd" hidden="1">{"staff",#N/A,FALSE,"Current Month"}</definedName>
    <definedName name="ODI_1" localSheetId="15">#REF!</definedName>
    <definedName name="ODI_1">'R1 - RoRE'!$D$68:$H$68</definedName>
    <definedName name="ODI_2" localSheetId="15">#REF!</definedName>
    <definedName name="ODI_2">'R1 - RoRE'!$D$69:$H$69</definedName>
    <definedName name="ODI_3" localSheetId="15">#REF!</definedName>
    <definedName name="ODI_3">'R1 - RoRE'!$D$70:$H$70</definedName>
    <definedName name="ODI_4" localSheetId="15">#REF!</definedName>
    <definedName name="ODI_4">'R1 - RoRE'!$D$71:$H$71</definedName>
    <definedName name="ODI_5" localSheetId="15">#REF!</definedName>
    <definedName name="ODI_5">'R1 - RoRE'!$D$72:$H$72</definedName>
    <definedName name="ODI_6" localSheetId="15">#REF!</definedName>
    <definedName name="ODI_6">'R1 - RoRE'!$D$73:$H$73</definedName>
    <definedName name="OOEE">#REF!</definedName>
    <definedName name="Option2" hidden="1">{#N/A,#N/A,FALSE,"TMCOMP96";#N/A,#N/A,FALSE,"MAT96";#N/A,#N/A,FALSE,"FANDA96";#N/A,#N/A,FALSE,"INTRAN96";#N/A,#N/A,FALSE,"NAA9697";#N/A,#N/A,FALSE,"ECWEBB";#N/A,#N/A,FALSE,"MFT96";#N/A,#N/A,FALSE,"CTrecon"}</definedName>
    <definedName name="ORA_1" localSheetId="15">#REF!</definedName>
    <definedName name="ORA_1">'R1 - RoRE'!$D$74:$H$74</definedName>
    <definedName name="ORA_2" localSheetId="15">#REF!</definedName>
    <definedName name="ORA_2">'R1 - RoRE'!$D$75:$H$75</definedName>
    <definedName name="ORA_3" localSheetId="15">#REF!</definedName>
    <definedName name="ORA_3">'R1 - RoRE'!$D$76:$H$76</definedName>
    <definedName name="ORA_4" localSheetId="15">#REF!</definedName>
    <definedName name="ORA_4">'R1 - RoRE'!$D$77:$H$77</definedName>
    <definedName name="ORA_5" localSheetId="15">#REF!</definedName>
    <definedName name="ORA_5">'R1 - RoRE'!$D$78:$H$78</definedName>
    <definedName name="ORA_6">'R1 - RoRE'!$D$79:$H$79</definedName>
    <definedName name="ORA_7">'R1 - RoRE'!$D$80:$H$80</definedName>
    <definedName name="ORA_8">'R1 - RoRE'!$D$81:$H$81</definedName>
    <definedName name="Pal_Workbook_GUID" hidden="1">"LJ9YVKRJVQ1A1KNUG7XIT5A9"</definedName>
    <definedName name="PCUDPO">#REF!</definedName>
    <definedName name="PCUDPT">#REF!</definedName>
    <definedName name="Penalties_and_fines" localSheetId="15">#REF!</definedName>
    <definedName name="Penalties_and_fines">'R1 - RoRE'!$D$82:$H$82</definedName>
    <definedName name="POF">#REF!</definedName>
    <definedName name="Pop" hidden="1">#REF!</definedName>
    <definedName name="Population" hidden="1">#REF!</definedName>
    <definedName name="PPL">#REF!</definedName>
    <definedName name="PRC">#REF!</definedName>
    <definedName name="Price_basis">Data!$C$9</definedName>
    <definedName name="_xlnm.Print_Area" localSheetId="3">'Change log'!$A$1:$E$31</definedName>
    <definedName name="_xlnm.Print_Area" localSheetId="2">'Content &amp; Version Control'!$A$1:$H$19</definedName>
    <definedName name="_xlnm.Print_Area" localSheetId="4">'R1 - RoRE'!$A$1:$L$64</definedName>
    <definedName name="_xlnm.Print_Area" localSheetId="16">'R10 - Pensions &amp; Oth Activities'!$A$1:$H$44</definedName>
    <definedName name="_xlnm.Print_Area" localSheetId="5">'R2 - Rec to Revenue and Profit'!$A$1:$J$63</definedName>
    <definedName name="_xlnm.Print_Area" localSheetId="6">'R3 - Totex - Reconciliation'!$A$1:$J$106</definedName>
    <definedName name="_xlnm.Print_Area" localSheetId="7">'R4 - Incentives and Other Rev'!$A$1:$I$36</definedName>
    <definedName name="_xlnm.Print_Area" localSheetId="8">'R5 - Financing'!$A$1:$I$83</definedName>
    <definedName name="_xlnm.Print_Area" localSheetId="9">'R5a - Financing input'!$A$4:$AK$229</definedName>
    <definedName name="_xlnm.Print_Area" localSheetId="10">'R6 - Net Debt'!$A$1:$I$63</definedName>
    <definedName name="_xlnm.Print_Area" localSheetId="11">'R6a - Net Debt input'!$A$4:$AI$143</definedName>
    <definedName name="_xlnm.Print_Area" localSheetId="12">'R7 - RAV'!$A$1:$K$38</definedName>
    <definedName name="_xlnm.Print_Area" localSheetId="14">'R8 - Tax'!$A$1:$J$56</definedName>
    <definedName name="_xlnm.Print_Area" localSheetId="15">'R8a - Tax Reconciliation'!$A$1:$L$109</definedName>
    <definedName name="_xlnm.Print_Area" localSheetId="13">'R9 - Corporate Governance'!$A$1:$I$18</definedName>
    <definedName name="_xlnm.Print_Area" localSheetId="0">'RFPR cover'!$A$2:$I$82</definedName>
    <definedName name="_xlnm.Print_Titles" localSheetId="9">'R5a - Financing input'!$4:$9</definedName>
    <definedName name="_xlnm.Print_Titles" localSheetId="11">'R6a - Net Debt input'!$4:$9</definedName>
    <definedName name="_xlnm.Print_Titles" localSheetId="15">'R8a - Tax Reconciliation'!$8:$9</definedName>
    <definedName name="Profiles" hidden="1">#REF!</definedName>
    <definedName name="Projections" hidden="1">#REF!</definedName>
    <definedName name="PRtDir">#REF!</definedName>
    <definedName name="PT">#REF!</definedName>
    <definedName name="PTPA">#REF!</definedName>
    <definedName name="PTPE">#REF!</definedName>
    <definedName name="PTRA">#REF!</definedName>
    <definedName name="PU">#REF!</definedName>
    <definedName name="PUC">#REF!</definedName>
    <definedName name="PVF">#REF!</definedName>
    <definedName name="qs" localSheetId="18" hidden="1">{#N/A,#N/A,FALSE,"PRJCTED MNTHLY QTY's"}</definedName>
    <definedName name="qs" hidden="1">{#N/A,#N/A,FALSE,"PRJCTED MNTHLY QTY's"}</definedName>
    <definedName name="RB">#REF!</definedName>
    <definedName name="RBA">#REF!</definedName>
    <definedName name="RBE">#REF!</definedName>
    <definedName name="RD">#REF!</definedName>
    <definedName name="real_to_nominal_CF" localSheetId="15">#REF!</definedName>
    <definedName name="real_to_nominal_CF">Data!$F$34:$L$34</definedName>
    <definedName name="Reporting_Year">'RFPR cover'!$C$9</definedName>
    <definedName name="Results" hidden="1">#REF!</definedName>
    <definedName name="RF">#REF!</definedName>
    <definedName name="RFA">#REF!</definedName>
    <definedName name="RFE">#REF!</definedName>
    <definedName name="RIIO_2_start_date" localSheetId="15">#REF!</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#REF!</definedName>
    <definedName name="RLGt">#REF!</definedName>
    <definedName name="RoRE___including_financing_and_tax">'R1 - RoRE'!$D$88:$H$88</definedName>
    <definedName name="RoRE___Operational_performance">'R1 - RoRE'!$D$83:$H$83</definedName>
    <definedName name="RPI">#REF!</definedName>
    <definedName name="RPIA">#REF!</definedName>
    <definedName name="RPIF">#REF!</definedName>
    <definedName name="Rwvu.CapersView." localSheetId="18" hidden="1">#REF!</definedName>
    <definedName name="Rwvu.CapersView." hidden="1">#REF!</definedName>
    <definedName name="Rwvu.Japan_Capers_Ed_Pub." localSheetId="18" hidden="1">#REF!</definedName>
    <definedName name="Rwvu.Japan_Capers_Ed_Pub." hidden="1">#REF!</definedName>
    <definedName name="Rwvu.KJP_CC." localSheetId="18"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df"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#REF!</definedName>
    <definedName name="SEC">#REF!</definedName>
    <definedName name="SECA">#REF!</definedName>
    <definedName name="SECE">#REF!</definedName>
    <definedName name="Sector">'RFPR cover'!$C$8</definedName>
    <definedName name="SectorCov" localSheetId="15">#REF!</definedName>
    <definedName name="SectorCov">'RFPR cover'!$C$8</definedName>
    <definedName name="sfad" hidden="1">{#N/A,#N/A,FALSE,"TMCOMP96";#N/A,#N/A,FALSE,"MAT96";#N/A,#N/A,FALSE,"FANDA96";#N/A,#N/A,FALSE,"INTRAN96";#N/A,#N/A,FALSE,"NAA9697";#N/A,#N/A,FALSE,"ECWEBB";#N/A,#N/A,FALSE,"MFT96";#N/A,#N/A,FALSE,"CTrecon"}</definedName>
    <definedName name="Sharing_Factor">Data!$C$7</definedName>
    <definedName name="SIAS">#REF!</definedName>
    <definedName name="SIIM">#REF!</definedName>
    <definedName name="SIPIRt">#REF!</definedName>
    <definedName name="SIRIRt">#REF!</definedName>
    <definedName name="SLC29_4">#REF!</definedName>
    <definedName name="SLC29_6">#REF!</definedName>
    <definedName name="SMC">#REF!</definedName>
    <definedName name="SMCA">#REF!</definedName>
    <definedName name="SMCE">#REF!</definedName>
    <definedName name="SMIA">#REF!</definedName>
    <definedName name="SMIE">#REF!</definedName>
    <definedName name="SMIT">#REF!</definedName>
    <definedName name="SMITR">#REF!</definedName>
    <definedName name="Submitted_Date">'RFPR cover'!$C$11</definedName>
    <definedName name="SWPD">#REF!</definedName>
    <definedName name="SWPM">#REF!</definedName>
    <definedName name="Swvu.CapersView." localSheetId="18" hidden="1">#REF!</definedName>
    <definedName name="Swvu.CapersView." hidden="1">#REF!</definedName>
    <definedName name="Swvu.Japan_Capers_Ed_Pub." localSheetId="18" hidden="1">#REF!</definedName>
    <definedName name="Swvu.Japan_Capers_Ed_Pub." hidden="1">#REF!</definedName>
    <definedName name="Swvu.KJP_CC." localSheetId="18" hidden="1">#REF!</definedName>
    <definedName name="Swvu.KJP_CC." hidden="1">#REF!</definedName>
    <definedName name="TAUt">#REF!</definedName>
    <definedName name="Tax_liability_per_latest_submitted_CT600____Reporting_Year">'R8 - Tax'!$E$11:$I$11</definedName>
    <definedName name="Tax_performance___at_notional_gearing" localSheetId="15">#REF!</definedName>
    <definedName name="Tax_performance___at_notional_gearing">'R1 - RoRE'!$D$86:$H$86</definedName>
    <definedName name="Tax_performance___impact_of_actual_gearing" localSheetId="15">#REF!</definedName>
    <definedName name="Tax_performance___impact_of_actual_gearing">'R1 - RoRE'!$D$87:$H$87</definedName>
    <definedName name="TB">#REF!</definedName>
    <definedName name="TBUt">#REF!</definedName>
    <definedName name="TCAIt">#REF!</definedName>
    <definedName name="TCAP">#REF!</definedName>
    <definedName name="TCAREt">#REF!</definedName>
    <definedName name="TCAT">#REF!</definedName>
    <definedName name="TCBIt">#REF!</definedName>
    <definedName name="TCBP">#REF!</definedName>
    <definedName name="TCBREt">#REF!</definedName>
    <definedName name="TCBTt">#REF!</definedName>
    <definedName name="TCGSR">#REF!</definedName>
    <definedName name="TCM">#REF!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ex_outperformance" localSheetId="15">#REF!</definedName>
    <definedName name="Totex_outperformance">'R1 - RoRE'!$D$66:$H$66</definedName>
    <definedName name="TQAIt">#REF!</definedName>
    <definedName name="TQAP">#REF!</definedName>
    <definedName name="TQAREt">#REF!</definedName>
    <definedName name="TQAT">#REF!</definedName>
    <definedName name="TQBIt">#REF!</definedName>
    <definedName name="TQBP">#REF!</definedName>
    <definedName name="TQBREt">#REF!</definedName>
    <definedName name="TQBT">#REF!</definedName>
    <definedName name="trggh" hidden="1">{#N/A,#N/A,FALSE,"TMCOMP96";#N/A,#N/A,FALSE,"MAT96";#N/A,#N/A,FALSE,"FANDA96";#N/A,#N/A,FALSE,"INTRAN96";#N/A,#N/A,FALSE,"NAA9697";#N/A,#N/A,FALSE,"ECWEBB";#N/A,#N/A,FALSE,"MFT96";#N/A,#N/A,FALSE,"CTrecon"}</definedName>
    <definedName name="TRIISt">#REF!</definedName>
    <definedName name="TRIMt">#REF!</definedName>
    <definedName name="u" localSheetId="18" hidden="1">{#VALUE!,#N/A,FALSE,0}</definedName>
    <definedName name="u" hidden="1">{#VALUE!,#N/A,FALSE,0}</definedName>
    <definedName name="UAG" localSheetId="18" hidden="1">{#N/A,#N/A,FALSE,"DI 2 YEAR MASTER SCHEDULE"}</definedName>
    <definedName name="UAG" hidden="1">{#N/A,#N/A,FALSE,"DI 2 YEAR MASTER SCHEDULE"}</definedName>
    <definedName name="UCPIR">#REF!</definedName>
    <definedName name="UNC">#REF!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localSheetId="18" hidden="1">{"Japan_Capers_Ed_Pub",#N/A,FALSE,"DI 2 YEAR MASTER SCHEDULE"}</definedName>
    <definedName name="v" hidden="1">{"Japan_Capers_Ed_Pub",#N/A,FALSE,"DI 2 YEAR MASTER SCHEDULE"}</definedName>
    <definedName name="Version__Number">'RFPR cover'!$C$10</definedName>
    <definedName name="wrn.CapersPlotter." localSheetId="18" hidden="1">{#N/A,#N/A,FALSE,"DI 2 YEAR MASTER SCHEDULE"}</definedName>
    <definedName name="wrn.CapersPlotter." hidden="1">{#N/A,#N/A,FALSE,"DI 2 YEAR MASTER SCHEDULE"}</definedName>
    <definedName name="wrn.Edutainment._.Priority._.List." localSheetId="18" hidden="1">{#N/A,#N/A,FALSE,"DI 2 YEAR MASTER SCHEDULE"}</definedName>
    <definedName name="wrn.Edutainment._.Priority._.List." hidden="1">{#N/A,#N/A,FALSE,"DI 2 YEAR MASTER SCHEDULE"}</definedName>
    <definedName name="wrn.Japan_Capers_Ed._.Pub." localSheetId="18" hidden="1">{"Japan_Capers_Ed_Pub",#N/A,FALSE,"DI 2 YEAR MASTER SCHEDULE"}</definedName>
    <definedName name="wrn.Japan_Capers_Ed._.Pub." hidden="1">{"Japan_Capers_Ed_Pub",#N/A,FALSE,"DI 2 YEAR MASTER SCHEDULE"}</definedName>
    <definedName name="wrn.Mat." localSheetId="18" hidden="1">{"staff",#N/A,FALSE,"Current Month"}</definedName>
    <definedName name="wrn.Mat." hidden="1">{"staff",#N/A,FALSE,"Current Month"}</definedName>
    <definedName name="wrn.Priority._.list." localSheetId="18" hidden="1">{#N/A,#N/A,FALSE,"DI 2 YEAR MASTER SCHEDULE"}</definedName>
    <definedName name="wrn.Priority._.list." hidden="1">{#N/A,#N/A,FALSE,"DI 2 YEAR MASTER SCHEDULE"}</definedName>
    <definedName name="wrn.Prjcted._.Mnthly._.Qtys." localSheetId="18" hidden="1">{#N/A,#N/A,FALSE,"PRJCTED MNTHLY QTY's"}</definedName>
    <definedName name="wrn.Prjcted._.Mnthly._.Qtys." hidden="1">{#N/A,#N/A,FALSE,"PRJCTED MNTHLY QTY's"}</definedName>
    <definedName name="wrn.Prjcted._.Qtrly._.Dollars." localSheetId="18" hidden="1">{#N/A,#N/A,FALSE,"PRJCTED QTRLY $'s"}</definedName>
    <definedName name="wrn.Prjcted._.Qtrly._.Dollars." hidden="1">{#N/A,#N/A,FALSE,"PRJCTED QTRLY $'s"}</definedName>
    <definedName name="wrn.Prjcted._.Qtrly._.Qtys." localSheetId="18" hidden="1">{#N/A,#N/A,FALSE,"PRJCTED QTRLY QTY's"}</definedName>
    <definedName name="wrn.Prjcted._.Qtrly._.Qtys." hidden="1">{#N/A,#N/A,FALSE,"PRJCTED QTRLY QTY's"}</definedName>
    <definedName name="wrn.TMCOMP." hidden="1">{#N/A,#N/A,FALSE,"TMCOMP96";#N/A,#N/A,FALSE,"MAT96";#N/A,#N/A,FALSE,"FANDA96";#N/A,#N/A,FALSE,"INTRAN96";#N/A,#N/A,FALSE,"NAA9697";#N/A,#N/A,FALSE,"ECWEBB";#N/A,#N/A,FALSE,"MFT96";#N/A,#N/A,FALSE,"CTrecon"}</definedName>
    <definedName name="wvu.CapersView." localSheetId="18"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localSheetId="1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localSheetId="18"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localSheetId="18" hidden="1">{#N/A,#N/A,FALSE,"DI 2 YEAR MASTER SCHEDULE"}</definedName>
    <definedName name="x" hidden="1">{#N/A,#N/A,FALSE,"DI 2 YEAR MASTER SCHEDULE"}</definedName>
    <definedName name="y" localSheetId="1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ear">#REF!</definedName>
    <definedName name="YEFactor">Data!$F$36:$L$36</definedName>
    <definedName name="YEFactor_change" localSheetId="15">#REF!</definedName>
    <definedName name="YEFactor_change">Data!$F$35:$L$35</definedName>
    <definedName name="z" localSheetId="18" hidden="1">{#N/A,#N/A,FALSE,"DI 2 YEAR MASTER SCHEDULE"}</definedName>
    <definedName name="z" hidden="1">{#N/A,#N/A,FALSE,"DI 2 YEAR MASTER SCHEDULE"}</definedName>
    <definedName name="Z_9A428CE1_B4D9_11D0_A8AA_0000C071AEE7_.wvu.Cols" hidden="1">#REF!,#REF!</definedName>
    <definedName name="Z_9A428CE1_B4D9_11D0_A8AA_0000C071AEE7_.wvu.PrintArea" localSheetId="18" hidden="1">#REF!</definedName>
    <definedName name="Z_9A428CE1_B4D9_11D0_A8AA_0000C071AEE7_.wvu.PrintArea"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4" i="2" l="1"/>
  <c r="D169" i="2"/>
  <c r="E169" i="2"/>
  <c r="F169" i="2"/>
  <c r="D157" i="2"/>
  <c r="E157" i="2"/>
  <c r="F157" i="2"/>
  <c r="G15" i="4" l="1"/>
  <c r="G19" i="4" s="1"/>
  <c r="F15" i="4" l="1"/>
  <c r="F19" i="4" s="1"/>
  <c r="F21" i="4" s="1"/>
  <c r="E15" i="4"/>
  <c r="E19" i="4" s="1"/>
  <c r="E21" i="4" s="1"/>
  <c r="G21" i="4"/>
  <c r="F122" i="2" l="1"/>
  <c r="E122" i="2"/>
  <c r="F12" i="19" l="1"/>
  <c r="H66" i="19" l="1"/>
  <c r="G66" i="19"/>
  <c r="F66" i="19"/>
  <c r="G73" i="1" l="1"/>
  <c r="F73" i="1"/>
  <c r="E73" i="1"/>
  <c r="D73" i="1"/>
  <c r="H73" i="1"/>
  <c r="H19" i="4"/>
  <c r="I19" i="4"/>
  <c r="C9" i="28" l="1"/>
  <c r="G134" i="28"/>
  <c r="G136" i="28"/>
  <c r="M29" i="28" l="1"/>
  <c r="N29" i="28" s="1"/>
  <c r="M28" i="28"/>
  <c r="N28" i="28" s="1"/>
  <c r="N25" i="28"/>
  <c r="M25" i="28"/>
  <c r="L25" i="28"/>
  <c r="K25" i="28"/>
  <c r="J25" i="28"/>
  <c r="I25" i="28"/>
  <c r="H25" i="28"/>
  <c r="G25" i="28"/>
  <c r="F25" i="28"/>
  <c r="E25" i="28"/>
  <c r="D25" i="28"/>
  <c r="C25" i="28"/>
  <c r="J316" i="28"/>
  <c r="J317" i="28"/>
  <c r="J318" i="28"/>
  <c r="J319" i="28"/>
  <c r="J320" i="28"/>
  <c r="J321" i="28"/>
  <c r="J322" i="28"/>
  <c r="J323" i="28"/>
  <c r="J324" i="28"/>
  <c r="J325" i="28"/>
  <c r="J326" i="28"/>
  <c r="J327" i="28"/>
  <c r="J328" i="28"/>
  <c r="J329" i="28"/>
  <c r="J330" i="28"/>
  <c r="J331" i="28"/>
  <c r="J332" i="28"/>
  <c r="J333" i="28"/>
  <c r="J334" i="28"/>
  <c r="J335" i="28"/>
  <c r="J336" i="28"/>
  <c r="J337" i="28"/>
  <c r="J338" i="28"/>
  <c r="J339" i="28"/>
  <c r="J340" i="28"/>
  <c r="J341" i="28"/>
  <c r="J342" i="28"/>
  <c r="J343" i="28"/>
  <c r="J315" i="28"/>
  <c r="B6" i="35"/>
  <c r="C6" i="13" l="1" a="1"/>
  <c r="C6" i="13" s="1"/>
  <c r="J19" i="5"/>
  <c r="J20" i="5"/>
  <c r="H22" i="35" l="1"/>
  <c r="J67" i="5" l="1"/>
  <c r="J68" i="5"/>
  <c r="J69" i="5"/>
  <c r="J70" i="5"/>
  <c r="J66" i="5"/>
  <c r="J56" i="5"/>
  <c r="J57" i="5"/>
  <c r="J55" i="5"/>
  <c r="J42" i="5"/>
  <c r="J43" i="5"/>
  <c r="J41" i="5"/>
  <c r="J21" i="5"/>
  <c r="J18" i="5"/>
  <c r="J17" i="5"/>
  <c r="J16" i="5"/>
  <c r="J15" i="5"/>
  <c r="J14" i="5"/>
  <c r="N349" i="28" l="1"/>
  <c r="O349" i="28" s="1"/>
  <c r="P349" i="28" s="1"/>
  <c r="Q349" i="28" s="1"/>
  <c r="R349" i="28" s="1"/>
  <c r="S349" i="28" s="1"/>
  <c r="D339" i="28" l="1"/>
  <c r="E339" i="28"/>
  <c r="F339" i="28"/>
  <c r="G339" i="28"/>
  <c r="C339" i="28"/>
  <c r="N314" i="28" l="1"/>
  <c r="O314" i="28" s="1"/>
  <c r="P314" i="28" s="1"/>
  <c r="Q314" i="28" s="1"/>
  <c r="R314" i="28" s="1"/>
  <c r="S314" i="28" s="1"/>
  <c r="D314" i="28" l="1"/>
  <c r="E314" i="28" s="1"/>
  <c r="F314" i="28" s="1"/>
  <c r="G314" i="28" s="1"/>
  <c r="H314" i="28" s="1"/>
  <c r="I314" i="28" s="1"/>
  <c r="A3" i="29"/>
  <c r="D23" i="11"/>
  <c r="E80" i="1" l="1"/>
  <c r="F84" i="4"/>
  <c r="G84" i="4"/>
  <c r="H84" i="4"/>
  <c r="I84" i="4"/>
  <c r="E84" i="4"/>
  <c r="E129" i="2" l="1"/>
  <c r="F129" i="2"/>
  <c r="G129" i="2"/>
  <c r="H129" i="2"/>
  <c r="E69" i="4" l="1"/>
  <c r="F69" i="4"/>
  <c r="E68" i="4"/>
  <c r="D129" i="2" l="1"/>
  <c r="G157" i="2"/>
  <c r="H157" i="2"/>
  <c r="H278" i="44" l="1"/>
  <c r="G278" i="44"/>
  <c r="H277" i="44"/>
  <c r="G277" i="44"/>
  <c r="H276" i="44"/>
  <c r="G276" i="44"/>
  <c r="H275" i="44"/>
  <c r="G275" i="44"/>
  <c r="H274" i="44"/>
  <c r="G274" i="44"/>
  <c r="H273" i="44"/>
  <c r="G273" i="44"/>
  <c r="H272" i="44"/>
  <c r="G272" i="44"/>
  <c r="H271" i="44"/>
  <c r="G271" i="44"/>
  <c r="H270" i="44"/>
  <c r="G270" i="44"/>
  <c r="H269" i="44"/>
  <c r="G269" i="44"/>
  <c r="H268" i="44"/>
  <c r="G268" i="44"/>
  <c r="H267" i="44"/>
  <c r="G267" i="44"/>
  <c r="H266" i="44"/>
  <c r="G266" i="44"/>
  <c r="H265" i="44"/>
  <c r="G265" i="44"/>
  <c r="H264" i="44"/>
  <c r="G264" i="44"/>
  <c r="H263" i="44"/>
  <c r="G263" i="44"/>
  <c r="H262" i="44"/>
  <c r="G262" i="44"/>
  <c r="H261" i="44"/>
  <c r="G261" i="44"/>
  <c r="H260" i="44"/>
  <c r="G260" i="44"/>
  <c r="H259" i="44"/>
  <c r="G259" i="44"/>
  <c r="H258" i="44"/>
  <c r="G258" i="44"/>
  <c r="H257" i="44"/>
  <c r="G257" i="44"/>
  <c r="H256" i="44"/>
  <c r="G256" i="44"/>
  <c r="H255" i="44"/>
  <c r="G255" i="44"/>
  <c r="H254" i="44"/>
  <c r="G254" i="44"/>
  <c r="H253" i="44"/>
  <c r="G253" i="44"/>
  <c r="H252" i="44"/>
  <c r="G252" i="44"/>
  <c r="H251" i="44"/>
  <c r="G251" i="44"/>
  <c r="H250" i="44"/>
  <c r="G250" i="44"/>
  <c r="H249" i="44"/>
  <c r="G249" i="44"/>
  <c r="H248" i="44"/>
  <c r="G248" i="44"/>
  <c r="H247" i="44"/>
  <c r="G247" i="44"/>
  <c r="H246" i="44"/>
  <c r="G246" i="44"/>
  <c r="H245" i="44"/>
  <c r="G245" i="44"/>
  <c r="H244" i="44"/>
  <c r="G244" i="44"/>
  <c r="H243" i="44"/>
  <c r="G243" i="44"/>
  <c r="H242" i="44"/>
  <c r="G242" i="44"/>
  <c r="H241" i="44"/>
  <c r="G241" i="44"/>
  <c r="H240" i="44"/>
  <c r="G240" i="44"/>
  <c r="H239" i="44"/>
  <c r="G239" i="44"/>
  <c r="H238" i="44"/>
  <c r="G238" i="44"/>
  <c r="H237" i="44"/>
  <c r="G237" i="44"/>
  <c r="H236" i="44"/>
  <c r="G236" i="44"/>
  <c r="H235" i="44"/>
  <c r="G235" i="44"/>
  <c r="H234" i="44"/>
  <c r="G234" i="44"/>
  <c r="H233" i="44"/>
  <c r="G233" i="44"/>
  <c r="H232" i="44"/>
  <c r="G232" i="44"/>
  <c r="H231" i="44"/>
  <c r="G231" i="44"/>
  <c r="H230" i="44"/>
  <c r="G230" i="44"/>
  <c r="H229" i="44"/>
  <c r="G229" i="44"/>
  <c r="H228" i="44"/>
  <c r="G228" i="44"/>
  <c r="H227" i="44"/>
  <c r="G227" i="44"/>
  <c r="H226" i="44"/>
  <c r="G226" i="44"/>
  <c r="H225" i="44"/>
  <c r="G225" i="44"/>
  <c r="H224" i="44"/>
  <c r="G224" i="44"/>
  <c r="H223" i="44"/>
  <c r="G223" i="44"/>
  <c r="H222" i="44"/>
  <c r="G222" i="44"/>
  <c r="H221" i="44"/>
  <c r="G221" i="44"/>
  <c r="H220" i="44"/>
  <c r="G220" i="44"/>
  <c r="H219" i="44"/>
  <c r="G219" i="44"/>
  <c r="H218" i="44"/>
  <c r="G218" i="44"/>
  <c r="H217" i="44"/>
  <c r="G217" i="44"/>
  <c r="H216" i="44"/>
  <c r="G216" i="44"/>
  <c r="H215" i="44"/>
  <c r="G215" i="44"/>
  <c r="H214" i="44"/>
  <c r="G214" i="44"/>
  <c r="H213" i="44"/>
  <c r="G213" i="44"/>
  <c r="H212" i="44"/>
  <c r="G212" i="44"/>
  <c r="H211" i="44"/>
  <c r="G211" i="44"/>
  <c r="H210" i="44"/>
  <c r="G210" i="44"/>
  <c r="H209" i="44"/>
  <c r="G209" i="44"/>
  <c r="H208" i="44"/>
  <c r="G208" i="44"/>
  <c r="H207" i="44"/>
  <c r="G207" i="44"/>
  <c r="H206" i="44"/>
  <c r="G206" i="44"/>
  <c r="H205" i="44"/>
  <c r="G205" i="44"/>
  <c r="H204" i="44"/>
  <c r="G204" i="44"/>
  <c r="H203" i="44"/>
  <c r="G203" i="44"/>
  <c r="H202" i="44"/>
  <c r="G202" i="44"/>
  <c r="H201" i="44"/>
  <c r="G201" i="44"/>
  <c r="H200" i="44"/>
  <c r="G200" i="44"/>
  <c r="H199" i="44"/>
  <c r="G199" i="44"/>
  <c r="H198" i="44"/>
  <c r="G198" i="44"/>
  <c r="H197" i="44"/>
  <c r="G197" i="44"/>
  <c r="H196" i="44"/>
  <c r="G196" i="44"/>
  <c r="H195" i="44"/>
  <c r="G195" i="44"/>
  <c r="H194" i="44"/>
  <c r="G194" i="44"/>
  <c r="H193" i="44"/>
  <c r="G193" i="44"/>
  <c r="H192" i="44"/>
  <c r="G192" i="44"/>
  <c r="H191" i="44"/>
  <c r="G191" i="44"/>
  <c r="H190" i="44"/>
  <c r="G190" i="44"/>
  <c r="H189" i="44"/>
  <c r="G189" i="44"/>
  <c r="H188" i="44"/>
  <c r="G188" i="44"/>
  <c r="H187" i="44"/>
  <c r="G187" i="44"/>
  <c r="H186" i="44"/>
  <c r="G186" i="44"/>
  <c r="H185" i="44"/>
  <c r="G185" i="44"/>
  <c r="H184" i="44"/>
  <c r="G184" i="44"/>
  <c r="H183" i="44"/>
  <c r="G183" i="44"/>
  <c r="H182" i="44"/>
  <c r="G182" i="44"/>
  <c r="H181" i="44"/>
  <c r="G181" i="44"/>
  <c r="H180" i="44"/>
  <c r="G180" i="44"/>
  <c r="H179" i="44"/>
  <c r="G179" i="44"/>
  <c r="H178" i="44"/>
  <c r="G178" i="44"/>
  <c r="H177" i="44"/>
  <c r="G177" i="44"/>
  <c r="H176" i="44"/>
  <c r="G176" i="44"/>
  <c r="H175" i="44"/>
  <c r="G175" i="44"/>
  <c r="H174" i="44"/>
  <c r="G174" i="44"/>
  <c r="H173" i="44"/>
  <c r="G173" i="44"/>
  <c r="H172" i="44"/>
  <c r="G172" i="44"/>
  <c r="H171" i="44"/>
  <c r="G171" i="44"/>
  <c r="H170" i="44"/>
  <c r="G170" i="44"/>
  <c r="H169" i="44"/>
  <c r="G169" i="44"/>
  <c r="H168" i="44"/>
  <c r="G168" i="44"/>
  <c r="H167" i="44"/>
  <c r="G167" i="44"/>
  <c r="H166" i="44"/>
  <c r="G166" i="44"/>
  <c r="H165" i="44"/>
  <c r="G165" i="44"/>
  <c r="H164" i="44"/>
  <c r="G164" i="44"/>
  <c r="H163" i="44"/>
  <c r="G163" i="44"/>
  <c r="H162" i="44"/>
  <c r="G162" i="44"/>
  <c r="H161" i="44"/>
  <c r="G161" i="44"/>
  <c r="H160" i="44"/>
  <c r="G160" i="44"/>
  <c r="H159" i="44"/>
  <c r="G159" i="44"/>
  <c r="H158" i="44"/>
  <c r="G158" i="44"/>
  <c r="H157" i="44"/>
  <c r="G157" i="44"/>
  <c r="H156" i="44"/>
  <c r="G156" i="44"/>
  <c r="H155" i="44"/>
  <c r="G155" i="44"/>
  <c r="H154" i="44"/>
  <c r="G154" i="44"/>
  <c r="H153" i="44"/>
  <c r="G153" i="44"/>
  <c r="H152" i="44"/>
  <c r="G152" i="44"/>
  <c r="H151" i="44"/>
  <c r="G151" i="44"/>
  <c r="H150" i="44"/>
  <c r="G150" i="44"/>
  <c r="H149" i="44"/>
  <c r="G149" i="44"/>
  <c r="H148" i="44"/>
  <c r="G148" i="44"/>
  <c r="H147" i="44"/>
  <c r="G147" i="44"/>
  <c r="H146" i="44"/>
  <c r="G146" i="44"/>
  <c r="H145" i="44"/>
  <c r="G145" i="44"/>
  <c r="H144" i="44"/>
  <c r="G144" i="44"/>
  <c r="H143" i="44"/>
  <c r="G143" i="44"/>
  <c r="H142" i="44"/>
  <c r="G142" i="44"/>
  <c r="H141" i="44"/>
  <c r="G141" i="44"/>
  <c r="H140" i="44"/>
  <c r="G140" i="44"/>
  <c r="H139" i="44"/>
  <c r="G139" i="44"/>
  <c r="H138" i="44"/>
  <c r="G138" i="44"/>
  <c r="H137" i="44"/>
  <c r="G137" i="44"/>
  <c r="H136" i="44"/>
  <c r="G136" i="44"/>
  <c r="H135" i="44"/>
  <c r="G135" i="44"/>
  <c r="H134" i="44"/>
  <c r="G134" i="44"/>
  <c r="H133" i="44"/>
  <c r="G133" i="44"/>
  <c r="H132" i="44"/>
  <c r="G132" i="44"/>
  <c r="H131" i="44"/>
  <c r="G131" i="44"/>
  <c r="H130" i="44"/>
  <c r="G130" i="44"/>
  <c r="H129" i="44"/>
  <c r="G129" i="44"/>
  <c r="H128" i="44"/>
  <c r="G128" i="44"/>
  <c r="H127" i="44"/>
  <c r="G127" i="44"/>
  <c r="H126" i="44"/>
  <c r="G126" i="44"/>
  <c r="H125" i="44"/>
  <c r="G125" i="44"/>
  <c r="H124" i="44"/>
  <c r="G124" i="44"/>
  <c r="H123" i="44"/>
  <c r="G123" i="44"/>
  <c r="H122" i="44"/>
  <c r="G122" i="44"/>
  <c r="H121" i="44"/>
  <c r="G121" i="44"/>
  <c r="H120" i="44"/>
  <c r="G120" i="44"/>
  <c r="H119" i="44"/>
  <c r="G119" i="44"/>
  <c r="H118" i="44"/>
  <c r="G118" i="44"/>
  <c r="H117" i="44"/>
  <c r="G117" i="44"/>
  <c r="H116" i="44"/>
  <c r="G116" i="44"/>
  <c r="H115" i="44"/>
  <c r="G115" i="44"/>
  <c r="H114" i="44"/>
  <c r="G114" i="44"/>
  <c r="H113" i="44"/>
  <c r="G113" i="44"/>
  <c r="H112" i="44"/>
  <c r="G112" i="44"/>
  <c r="H111" i="44"/>
  <c r="G111" i="44"/>
  <c r="H110" i="44"/>
  <c r="G110" i="44"/>
  <c r="H109" i="44"/>
  <c r="G109" i="44"/>
  <c r="H108" i="44"/>
  <c r="G108" i="44"/>
  <c r="H107" i="44"/>
  <c r="G107" i="44"/>
  <c r="H106" i="44"/>
  <c r="G106" i="44"/>
  <c r="H105" i="44"/>
  <c r="G105" i="44"/>
  <c r="H104" i="44"/>
  <c r="G104" i="44"/>
  <c r="H103" i="44"/>
  <c r="G103" i="44"/>
  <c r="H102" i="44"/>
  <c r="G102" i="44"/>
  <c r="H101" i="44"/>
  <c r="G101" i="44"/>
  <c r="H100" i="44"/>
  <c r="G100" i="44"/>
  <c r="H99" i="44"/>
  <c r="G99" i="44"/>
  <c r="H98" i="44"/>
  <c r="G98" i="44"/>
  <c r="H97" i="44"/>
  <c r="G97" i="44"/>
  <c r="H96" i="44"/>
  <c r="G96" i="44"/>
  <c r="H95" i="44"/>
  <c r="G95" i="44"/>
  <c r="H94" i="44"/>
  <c r="G94" i="44"/>
  <c r="H93" i="44"/>
  <c r="G93" i="44"/>
  <c r="H92" i="44"/>
  <c r="G92" i="44"/>
  <c r="H91" i="44"/>
  <c r="G91" i="44"/>
  <c r="H90" i="44"/>
  <c r="G90" i="44"/>
  <c r="H89" i="44"/>
  <c r="G89" i="44"/>
  <c r="H88" i="44"/>
  <c r="G88" i="44"/>
  <c r="H87" i="44"/>
  <c r="G87" i="44"/>
  <c r="H86" i="44"/>
  <c r="G86" i="44"/>
  <c r="H85" i="44"/>
  <c r="G85" i="44"/>
  <c r="H84" i="44"/>
  <c r="G84" i="44"/>
  <c r="H83" i="44"/>
  <c r="G83" i="44"/>
  <c r="H82" i="44"/>
  <c r="G82" i="44"/>
  <c r="H81" i="44"/>
  <c r="G81" i="44"/>
  <c r="H80" i="44"/>
  <c r="G80" i="44"/>
  <c r="H79" i="44"/>
  <c r="G79" i="44"/>
  <c r="H78" i="44"/>
  <c r="G78" i="44"/>
  <c r="H77" i="44"/>
  <c r="G77" i="44"/>
  <c r="H76" i="44"/>
  <c r="G76" i="44"/>
  <c r="H75" i="44"/>
  <c r="G75" i="44"/>
  <c r="H74" i="44"/>
  <c r="G74" i="44"/>
  <c r="H73" i="44"/>
  <c r="G73" i="44"/>
  <c r="H72" i="44"/>
  <c r="G72" i="44"/>
  <c r="H71" i="44"/>
  <c r="G71" i="44"/>
  <c r="H70" i="44"/>
  <c r="G70" i="44"/>
  <c r="H69" i="44"/>
  <c r="G69" i="44"/>
  <c r="H68" i="44"/>
  <c r="G68" i="44"/>
  <c r="H67" i="44"/>
  <c r="G67" i="44"/>
  <c r="H66" i="44"/>
  <c r="G66" i="44"/>
  <c r="H65" i="44"/>
  <c r="G65" i="44"/>
  <c r="H64" i="44"/>
  <c r="G64" i="44"/>
  <c r="H63" i="44"/>
  <c r="G63" i="44"/>
  <c r="H62" i="44"/>
  <c r="G62" i="44"/>
  <c r="H61" i="44"/>
  <c r="G61" i="44"/>
  <c r="H60" i="44"/>
  <c r="G60" i="44"/>
  <c r="H59" i="44"/>
  <c r="G59" i="44"/>
  <c r="H58" i="44"/>
  <c r="G58" i="44"/>
  <c r="H57" i="44"/>
  <c r="G57" i="44"/>
  <c r="H56" i="44"/>
  <c r="G56" i="44"/>
  <c r="H55" i="44"/>
  <c r="G55" i="44"/>
  <c r="H54" i="44"/>
  <c r="G54" i="44"/>
  <c r="H53" i="44"/>
  <c r="G53" i="44"/>
  <c r="H52" i="44"/>
  <c r="G52" i="44"/>
  <c r="H51" i="44"/>
  <c r="G51" i="44"/>
  <c r="H50" i="44"/>
  <c r="G50" i="44"/>
  <c r="H49" i="44"/>
  <c r="G49" i="44"/>
  <c r="H48" i="44"/>
  <c r="G48" i="44"/>
  <c r="H47" i="44"/>
  <c r="G47" i="44"/>
  <c r="H46" i="44"/>
  <c r="G46" i="44"/>
  <c r="H45" i="44"/>
  <c r="G45" i="44"/>
  <c r="H44" i="44"/>
  <c r="G44" i="44"/>
  <c r="H43" i="44"/>
  <c r="G43" i="44"/>
  <c r="H42" i="44"/>
  <c r="G42" i="44"/>
  <c r="H41" i="44"/>
  <c r="G41" i="44"/>
  <c r="H40" i="44"/>
  <c r="G40" i="44"/>
  <c r="H39" i="44"/>
  <c r="G39" i="44"/>
  <c r="H38" i="44"/>
  <c r="G38" i="44"/>
  <c r="H37" i="44"/>
  <c r="G37" i="44"/>
  <c r="H36" i="44"/>
  <c r="G36" i="44"/>
  <c r="H35" i="44"/>
  <c r="G35" i="44"/>
  <c r="H34" i="44"/>
  <c r="G34" i="44"/>
  <c r="H33" i="44"/>
  <c r="G33" i="44"/>
  <c r="H32" i="44"/>
  <c r="G32" i="44"/>
  <c r="H31" i="44"/>
  <c r="G31" i="44"/>
  <c r="H30" i="44"/>
  <c r="G30" i="44"/>
  <c r="H29" i="44"/>
  <c r="G29" i="44"/>
  <c r="H28" i="44"/>
  <c r="G28" i="44"/>
  <c r="H27" i="44"/>
  <c r="G27" i="44"/>
  <c r="H26" i="44"/>
  <c r="G26" i="44"/>
  <c r="H25" i="44"/>
  <c r="G25" i="44"/>
  <c r="H24" i="44"/>
  <c r="G24" i="44"/>
  <c r="H23" i="44"/>
  <c r="G23" i="44"/>
  <c r="H22" i="44"/>
  <c r="G22" i="44"/>
  <c r="H21" i="44"/>
  <c r="G21" i="44"/>
  <c r="H20" i="44"/>
  <c r="G20" i="44"/>
  <c r="H19" i="44"/>
  <c r="G19" i="44"/>
  <c r="H18" i="44"/>
  <c r="G18" i="44"/>
  <c r="H17" i="44"/>
  <c r="G17" i="44"/>
  <c r="H16" i="44"/>
  <c r="G16" i="44"/>
  <c r="H15" i="44"/>
  <c r="G15" i="44"/>
  <c r="H14" i="44"/>
  <c r="G14" i="44"/>
  <c r="H13" i="44"/>
  <c r="G13" i="44"/>
  <c r="H12" i="44"/>
  <c r="G12" i="44"/>
  <c r="H11" i="44"/>
  <c r="G11" i="44"/>
  <c r="H10" i="44"/>
  <c r="G10" i="44"/>
  <c r="H9" i="44"/>
  <c r="G9" i="44"/>
  <c r="H8" i="44"/>
  <c r="G8" i="44"/>
  <c r="H7" i="44"/>
  <c r="G7" i="44"/>
  <c r="H6" i="44"/>
  <c r="G6" i="44"/>
  <c r="A6" i="44"/>
  <c r="A2" i="44"/>
  <c r="A1" i="44"/>
  <c r="M5" i="43"/>
  <c r="N5" i="43" s="1"/>
  <c r="O5" i="43" s="1"/>
  <c r="P5" i="43" s="1"/>
  <c r="Q5" i="43" s="1"/>
  <c r="R5" i="43" s="1"/>
  <c r="S5" i="43" s="1"/>
  <c r="T5" i="43" s="1"/>
  <c r="U5" i="43" s="1"/>
  <c r="V5" i="43" s="1"/>
  <c r="A2" i="43"/>
  <c r="A1" i="43"/>
  <c r="E6" i="44" l="1"/>
  <c r="B6" i="44"/>
  <c r="F6" i="44"/>
  <c r="A7" i="44"/>
  <c r="E7" i="44" l="1"/>
  <c r="A8" i="44"/>
  <c r="F7" i="44"/>
  <c r="B7" i="44"/>
  <c r="E8" i="44"/>
  <c r="F8" i="44"/>
  <c r="B8" i="44"/>
  <c r="A9" i="44"/>
  <c r="F9" i="44" l="1"/>
  <c r="B9" i="44"/>
  <c r="A10" i="44"/>
  <c r="E9" i="44"/>
  <c r="E10" i="44" l="1"/>
  <c r="F10" i="44"/>
  <c r="B10" i="44"/>
  <c r="A11" i="44"/>
  <c r="F11" i="44" l="1"/>
  <c r="E11" i="44"/>
  <c r="B11" i="44"/>
  <c r="A12" i="44"/>
  <c r="A13" i="44" l="1"/>
  <c r="F12" i="44"/>
  <c r="E12" i="44"/>
  <c r="B12" i="44"/>
  <c r="A14" i="44" l="1"/>
  <c r="F13" i="44"/>
  <c r="E13" i="44"/>
  <c r="B13" i="44"/>
  <c r="E14" i="44" l="1"/>
  <c r="B14" i="44"/>
  <c r="A15" i="44"/>
  <c r="F14" i="44"/>
  <c r="B15" i="44" l="1"/>
  <c r="A16" i="44"/>
  <c r="F15" i="44"/>
  <c r="E15" i="44"/>
  <c r="E16" i="44" l="1"/>
  <c r="A17" i="44"/>
  <c r="F16" i="44"/>
  <c r="B16" i="44"/>
  <c r="F17" i="44" l="1"/>
  <c r="B17" i="44"/>
  <c r="E17" i="44"/>
  <c r="A18" i="44"/>
  <c r="E18" i="44" l="1"/>
  <c r="F18" i="44"/>
  <c r="B18" i="44"/>
  <c r="A19" i="44"/>
  <c r="F19" i="44" l="1"/>
  <c r="A20" i="44"/>
  <c r="E19" i="44"/>
  <c r="B19" i="44"/>
  <c r="A21" i="44" l="1"/>
  <c r="F20" i="44"/>
  <c r="E20" i="44"/>
  <c r="B20" i="44"/>
  <c r="A22" i="44" l="1"/>
  <c r="E21" i="44"/>
  <c r="B21" i="44"/>
  <c r="F21" i="44"/>
  <c r="F22" i="44" l="1"/>
  <c r="E22" i="44"/>
  <c r="B22" i="44"/>
  <c r="A23" i="44"/>
  <c r="B23" i="44" l="1"/>
  <c r="A24" i="44"/>
  <c r="F23" i="44"/>
  <c r="E23" i="44"/>
  <c r="E24" i="44" l="1"/>
  <c r="B24" i="44"/>
  <c r="A25" i="44"/>
  <c r="F24" i="44"/>
  <c r="F25" i="44" l="1"/>
  <c r="B25" i="44"/>
  <c r="E25" i="44"/>
  <c r="A26" i="44"/>
  <c r="E26" i="44" l="1"/>
  <c r="A27" i="44"/>
  <c r="F26" i="44"/>
  <c r="B26" i="44"/>
  <c r="F27" i="44" l="1"/>
  <c r="A28" i="44"/>
  <c r="E27" i="44"/>
  <c r="B27" i="44"/>
  <c r="E28" i="44" l="1"/>
  <c r="B28" i="44"/>
  <c r="A29" i="44"/>
  <c r="F28" i="44"/>
  <c r="A30" i="44" l="1"/>
  <c r="F29" i="44"/>
  <c r="E29" i="44"/>
  <c r="B29" i="44"/>
  <c r="A31" i="44" l="1"/>
  <c r="F30" i="44"/>
  <c r="E30" i="44"/>
  <c r="B30" i="44"/>
  <c r="B31" i="44" l="1"/>
  <c r="A32" i="44"/>
  <c r="F31" i="44"/>
  <c r="E31" i="44"/>
  <c r="E32" i="44" l="1"/>
  <c r="F32" i="44"/>
  <c r="B32" i="44"/>
  <c r="A33" i="44"/>
  <c r="F33" i="44" l="1"/>
  <c r="B33" i="44"/>
  <c r="A34" i="44"/>
  <c r="E33" i="44"/>
  <c r="A35" i="44" l="1"/>
  <c r="E34" i="44"/>
  <c r="F34" i="44"/>
  <c r="B34" i="44"/>
  <c r="A36" i="44" l="1"/>
  <c r="F35" i="44"/>
  <c r="E35" i="44"/>
  <c r="B35" i="44"/>
  <c r="B36" i="44" l="1"/>
  <c r="A37" i="44"/>
  <c r="F36" i="44"/>
  <c r="E36" i="44"/>
  <c r="E37" i="44" l="1"/>
  <c r="B37" i="44"/>
  <c r="F37" i="44"/>
  <c r="A38" i="44"/>
  <c r="F38" i="44" l="1"/>
  <c r="B38" i="44"/>
  <c r="A39" i="44"/>
  <c r="E38" i="44"/>
  <c r="E39" i="44" l="1"/>
  <c r="A40" i="44"/>
  <c r="F39" i="44"/>
  <c r="B39" i="44"/>
  <c r="F40" i="44" l="1"/>
  <c r="E40" i="44"/>
  <c r="B40" i="44"/>
  <c r="A41" i="44"/>
  <c r="E41" i="44" l="1"/>
  <c r="A42" i="44"/>
  <c r="F41" i="44"/>
  <c r="B41" i="44"/>
  <c r="A43" i="44" l="1"/>
  <c r="B42" i="44"/>
  <c r="F42" i="44"/>
  <c r="E42" i="44"/>
  <c r="A44" i="44" l="1"/>
  <c r="F43" i="44"/>
  <c r="E43" i="44"/>
  <c r="B43" i="44"/>
  <c r="B44" i="44" l="1"/>
  <c r="A45" i="44"/>
  <c r="F44" i="44"/>
  <c r="E44" i="44"/>
  <c r="E45" i="44" l="1"/>
  <c r="F45" i="44"/>
  <c r="B45" i="44"/>
  <c r="A46" i="44"/>
  <c r="F46" i="44" l="1"/>
  <c r="B46" i="44"/>
  <c r="A47" i="44"/>
  <c r="E46" i="44"/>
  <c r="E47" i="44" l="1"/>
  <c r="F47" i="44"/>
  <c r="B47" i="44"/>
  <c r="A48" i="44"/>
  <c r="F48" i="44" l="1"/>
  <c r="E48" i="44"/>
  <c r="A49" i="44"/>
  <c r="B48" i="44"/>
  <c r="A50" i="44" l="1"/>
  <c r="F49" i="44"/>
  <c r="E49" i="44"/>
  <c r="B49" i="44"/>
  <c r="A51" i="44" l="1"/>
  <c r="F50" i="44"/>
  <c r="E50" i="44"/>
  <c r="B50" i="44"/>
  <c r="E51" i="44" l="1"/>
  <c r="A52" i="44"/>
  <c r="F51" i="44"/>
  <c r="B51" i="44"/>
  <c r="B52" i="44" l="1"/>
  <c r="A53" i="44"/>
  <c r="F52" i="44"/>
  <c r="E52" i="44"/>
  <c r="E53" i="44" l="1"/>
  <c r="A54" i="44"/>
  <c r="F53" i="44"/>
  <c r="B53" i="44"/>
  <c r="F54" i="44" l="1"/>
  <c r="B54" i="44"/>
  <c r="E54" i="44"/>
  <c r="A55" i="44"/>
  <c r="E55" i="44" l="1"/>
  <c r="F55" i="44"/>
  <c r="B55" i="44"/>
  <c r="A56" i="44"/>
  <c r="F56" i="44" l="1"/>
  <c r="A57" i="44"/>
  <c r="E56" i="44"/>
  <c r="B56" i="44"/>
  <c r="A58" i="44" l="1"/>
  <c r="E57" i="44"/>
  <c r="B57" i="44"/>
  <c r="F57" i="44"/>
  <c r="A59" i="44" l="1"/>
  <c r="E58" i="44"/>
  <c r="F58" i="44"/>
  <c r="B58" i="44"/>
  <c r="E59" i="44" l="1"/>
  <c r="A60" i="44"/>
  <c r="F59" i="44"/>
  <c r="B59" i="44"/>
  <c r="B60" i="44" l="1"/>
  <c r="A61" i="44"/>
  <c r="F60" i="44"/>
  <c r="E60" i="44"/>
  <c r="E61" i="44" l="1"/>
  <c r="B61" i="44"/>
  <c r="A62" i="44"/>
  <c r="F61" i="44"/>
  <c r="F62" i="44" l="1"/>
  <c r="B62" i="44"/>
  <c r="E62" i="44"/>
  <c r="A63" i="44"/>
  <c r="E63" i="44" l="1"/>
  <c r="A64" i="44"/>
  <c r="F63" i="44"/>
  <c r="B63" i="44"/>
  <c r="F64" i="44" l="1"/>
  <c r="A65" i="44"/>
  <c r="E64" i="44"/>
  <c r="B64" i="44"/>
  <c r="E65" i="44" l="1"/>
  <c r="F65" i="44"/>
  <c r="B65" i="44"/>
  <c r="A66" i="44"/>
  <c r="A67" i="44" l="1"/>
  <c r="E66" i="44"/>
  <c r="F66" i="44"/>
  <c r="B66" i="44"/>
  <c r="A68" i="44" l="1"/>
  <c r="B67" i="44"/>
  <c r="F67" i="44"/>
  <c r="E67" i="44"/>
  <c r="B68" i="44" l="1"/>
  <c r="A69" i="44"/>
  <c r="F68" i="44"/>
  <c r="E68" i="44"/>
  <c r="E69" i="44" l="1"/>
  <c r="B69" i="44"/>
  <c r="A70" i="44"/>
  <c r="F69" i="44"/>
  <c r="F70" i="44" l="1"/>
  <c r="B70" i="44"/>
  <c r="A71" i="44"/>
  <c r="E70" i="44"/>
  <c r="E71" i="44" l="1"/>
  <c r="A72" i="44"/>
  <c r="F71" i="44"/>
  <c r="B71" i="44"/>
  <c r="F72" i="44" l="1"/>
  <c r="E72" i="44"/>
  <c r="B72" i="44"/>
  <c r="A73" i="44"/>
  <c r="E73" i="44" l="1"/>
  <c r="F73" i="44"/>
  <c r="B73" i="44"/>
  <c r="A74" i="44"/>
  <c r="A75" i="44" l="1"/>
  <c r="F74" i="44"/>
  <c r="E74" i="44"/>
  <c r="B74" i="44"/>
  <c r="A76" i="44" l="1"/>
  <c r="E75" i="44"/>
  <c r="B75" i="44"/>
  <c r="F75" i="44"/>
  <c r="B76" i="44" l="1"/>
  <c r="A77" i="44"/>
  <c r="F76" i="44"/>
  <c r="E76" i="44"/>
  <c r="E77" i="44" l="1"/>
  <c r="B77" i="44"/>
  <c r="A78" i="44"/>
  <c r="F77" i="44"/>
  <c r="F78" i="44" l="1"/>
  <c r="B78" i="44"/>
  <c r="A79" i="44"/>
  <c r="E78" i="44"/>
  <c r="E79" i="44" l="1"/>
  <c r="F79" i="44"/>
  <c r="A80" i="44"/>
  <c r="B79" i="44"/>
  <c r="F80" i="44" l="1"/>
  <c r="E80" i="44"/>
  <c r="B80" i="44"/>
  <c r="A81" i="44"/>
  <c r="A82" i="44" l="1"/>
  <c r="F81" i="44"/>
  <c r="E81" i="44"/>
  <c r="B81" i="44"/>
  <c r="A83" i="44" l="1"/>
  <c r="B82" i="44"/>
  <c r="F82" i="44"/>
  <c r="E82" i="44"/>
  <c r="E83" i="44" l="1"/>
  <c r="F83" i="44"/>
  <c r="B83" i="44"/>
  <c r="A84" i="44"/>
  <c r="B84" i="44" l="1"/>
  <c r="A85" i="44"/>
  <c r="F84" i="44"/>
  <c r="E84" i="44"/>
  <c r="E85" i="44" l="1"/>
  <c r="F85" i="44"/>
  <c r="B85" i="44"/>
  <c r="A86" i="44"/>
  <c r="F86" i="44" l="1"/>
  <c r="B86" i="44"/>
  <c r="E86" i="44"/>
  <c r="A87" i="44"/>
  <c r="E87" i="44" l="1"/>
  <c r="F87" i="44"/>
  <c r="B87" i="44"/>
  <c r="A88" i="44"/>
  <c r="F88" i="44" l="1"/>
  <c r="A89" i="44"/>
  <c r="E88" i="44"/>
  <c r="B88" i="44"/>
  <c r="A90" i="44" l="1"/>
  <c r="F89" i="44"/>
  <c r="E89" i="44"/>
  <c r="B89" i="44"/>
  <c r="A91" i="44" l="1"/>
  <c r="E90" i="44"/>
  <c r="F90" i="44"/>
  <c r="B90" i="44"/>
  <c r="E91" i="44" l="1"/>
  <c r="A92" i="44"/>
  <c r="F91" i="44"/>
  <c r="B91" i="44"/>
  <c r="B92" i="44" l="1"/>
  <c r="A93" i="44"/>
  <c r="E92" i="44"/>
  <c r="F92" i="44"/>
  <c r="E93" i="44" l="1"/>
  <c r="B93" i="44"/>
  <c r="F93" i="44"/>
  <c r="A94" i="44"/>
  <c r="F94" i="44" l="1"/>
  <c r="B94" i="44"/>
  <c r="E94" i="44"/>
  <c r="A95" i="44"/>
  <c r="E95" i="44" l="1"/>
  <c r="A96" i="44"/>
  <c r="F95" i="44"/>
  <c r="B95" i="44"/>
  <c r="F96" i="44" l="1"/>
  <c r="A97" i="44"/>
  <c r="E96" i="44"/>
  <c r="B96" i="44"/>
  <c r="E97" i="44" l="1"/>
  <c r="B97" i="44"/>
  <c r="A98" i="44"/>
  <c r="F97" i="44"/>
  <c r="A99" i="44" l="1"/>
  <c r="E98" i="44"/>
  <c r="F98" i="44"/>
  <c r="B98" i="44"/>
  <c r="A100" i="44" l="1"/>
  <c r="F99" i="44"/>
  <c r="E99" i="44"/>
  <c r="B99" i="44"/>
  <c r="B100" i="44" l="1"/>
  <c r="A101" i="44"/>
  <c r="F100" i="44"/>
  <c r="E100" i="44"/>
  <c r="E101" i="44" l="1"/>
  <c r="B101" i="44"/>
  <c r="A102" i="44"/>
  <c r="F101" i="44"/>
  <c r="F102" i="44" l="1"/>
  <c r="B102" i="44"/>
  <c r="A103" i="44"/>
  <c r="E102" i="44"/>
  <c r="E103" i="44" l="1"/>
  <c r="B103" i="44"/>
  <c r="A104" i="44"/>
  <c r="F103" i="44"/>
  <c r="F104" i="44" l="1"/>
  <c r="A105" i="44"/>
  <c r="E104" i="44"/>
  <c r="B104" i="44"/>
  <c r="B105" i="44" l="1"/>
  <c r="F105" i="44"/>
  <c r="E105" i="44"/>
  <c r="A106" i="44"/>
  <c r="A107" i="44" l="1"/>
  <c r="F106" i="44"/>
  <c r="E106" i="44"/>
  <c r="B106" i="44"/>
  <c r="B107" i="44" l="1"/>
  <c r="A108" i="44"/>
  <c r="E107" i="44"/>
  <c r="F107" i="44"/>
  <c r="B108" i="44" l="1"/>
  <c r="A109" i="44"/>
  <c r="F108" i="44"/>
  <c r="E108" i="44"/>
  <c r="E109" i="44" l="1"/>
  <c r="F109" i="44"/>
  <c r="B109" i="44"/>
  <c r="A110" i="44"/>
  <c r="F110" i="44" l="1"/>
  <c r="B110" i="44"/>
  <c r="A111" i="44"/>
  <c r="E110" i="44"/>
  <c r="E111" i="44" l="1"/>
  <c r="A112" i="44"/>
  <c r="F111" i="44"/>
  <c r="B111" i="44"/>
  <c r="F112" i="44" l="1"/>
  <c r="B112" i="44"/>
  <c r="E112" i="44"/>
  <c r="A113" i="44"/>
  <c r="F113" i="44" l="1"/>
  <c r="E113" i="44"/>
  <c r="A114" i="44"/>
  <c r="B113" i="44"/>
  <c r="A115" i="44" l="1"/>
  <c r="B114" i="44"/>
  <c r="F114" i="44"/>
  <c r="E114" i="44"/>
  <c r="A116" i="44" l="1"/>
  <c r="F115" i="44"/>
  <c r="E115" i="44"/>
  <c r="B115" i="44"/>
  <c r="B116" i="44" l="1"/>
  <c r="A117" i="44"/>
  <c r="E116" i="44"/>
  <c r="F116" i="44"/>
  <c r="E117" i="44" l="1"/>
  <c r="A118" i="44"/>
  <c r="F117" i="44"/>
  <c r="B117" i="44"/>
  <c r="F118" i="44" l="1"/>
  <c r="B118" i="44"/>
  <c r="A119" i="44"/>
  <c r="E118" i="44"/>
  <c r="E119" i="44" l="1"/>
  <c r="B119" i="44"/>
  <c r="F119" i="44"/>
  <c r="A120" i="44"/>
  <c r="F120" i="44" l="1"/>
  <c r="E120" i="44"/>
  <c r="A121" i="44"/>
  <c r="B120" i="44"/>
  <c r="B121" i="44" l="1"/>
  <c r="A122" i="44"/>
  <c r="F121" i="44"/>
  <c r="E121" i="44"/>
  <c r="A123" i="44" l="1"/>
  <c r="F122" i="44"/>
  <c r="E122" i="44"/>
  <c r="B122" i="44"/>
  <c r="B123" i="44" l="1"/>
  <c r="F123" i="44"/>
  <c r="E123" i="44"/>
  <c r="A124" i="44"/>
  <c r="B124" i="44" l="1"/>
  <c r="A125" i="44"/>
  <c r="F124" i="44"/>
  <c r="E124" i="44"/>
  <c r="E125" i="44" l="1"/>
  <c r="A126" i="44"/>
  <c r="F125" i="44"/>
  <c r="B125" i="44"/>
  <c r="F126" i="44" l="1"/>
  <c r="B126" i="44"/>
  <c r="E126" i="44"/>
  <c r="A127" i="44"/>
  <c r="E127" i="44" l="1"/>
  <c r="F127" i="44"/>
  <c r="A128" i="44"/>
  <c r="B127" i="44"/>
  <c r="F128" i="44" l="1"/>
  <c r="B128" i="44"/>
  <c r="A129" i="44"/>
  <c r="E128" i="44"/>
  <c r="A130" i="44" l="1"/>
  <c r="F129" i="44"/>
  <c r="E129" i="44"/>
  <c r="B129" i="44"/>
  <c r="A131" i="44" l="1"/>
  <c r="B130" i="44"/>
  <c r="F130" i="44"/>
  <c r="E130" i="44"/>
  <c r="F131" i="44" l="1"/>
  <c r="E131" i="44"/>
  <c r="A132" i="44"/>
  <c r="B131" i="44"/>
  <c r="B132" i="44" l="1"/>
  <c r="A133" i="44"/>
  <c r="E132" i="44"/>
  <c r="F132" i="44"/>
  <c r="E133" i="44" l="1"/>
  <c r="F133" i="44"/>
  <c r="B133" i="44"/>
  <c r="A134" i="44"/>
  <c r="F134" i="44" l="1"/>
  <c r="B134" i="44"/>
  <c r="E134" i="44"/>
  <c r="A135" i="44"/>
  <c r="E135" i="44" l="1"/>
  <c r="B135" i="44"/>
  <c r="A136" i="44"/>
  <c r="F135" i="44"/>
  <c r="F136" i="44" l="1"/>
  <c r="A137" i="44"/>
  <c r="E136" i="44"/>
  <c r="B136" i="44"/>
  <c r="B137" i="44" l="1"/>
  <c r="F137" i="44"/>
  <c r="E137" i="44"/>
  <c r="A138" i="44"/>
  <c r="A139" i="44" l="1"/>
  <c r="F138" i="44"/>
  <c r="E138" i="44"/>
  <c r="B138" i="44"/>
  <c r="B139" i="44" l="1"/>
  <c r="A140" i="44"/>
  <c r="F139" i="44"/>
  <c r="E139" i="44"/>
  <c r="B140" i="44" l="1"/>
  <c r="A141" i="44"/>
  <c r="F140" i="44"/>
  <c r="E140" i="44"/>
  <c r="E141" i="44" l="1"/>
  <c r="F141" i="44"/>
  <c r="B141" i="44"/>
  <c r="A142" i="44"/>
  <c r="F142" i="44" l="1"/>
  <c r="B142" i="44"/>
  <c r="A143" i="44"/>
  <c r="E142" i="44"/>
  <c r="E143" i="44" l="1"/>
  <c r="A144" i="44"/>
  <c r="F143" i="44"/>
  <c r="B143" i="44"/>
  <c r="F144" i="44" l="1"/>
  <c r="B144" i="44"/>
  <c r="E144" i="44"/>
  <c r="A145" i="44"/>
  <c r="F145" i="44" l="1"/>
  <c r="E145" i="44"/>
  <c r="A146" i="44"/>
  <c r="B145" i="44"/>
  <c r="A147" i="44" l="1"/>
  <c r="B146" i="44"/>
  <c r="F146" i="44"/>
  <c r="E146" i="44"/>
  <c r="A148" i="44" l="1"/>
  <c r="F147" i="44"/>
  <c r="E147" i="44"/>
  <c r="B147" i="44"/>
  <c r="B148" i="44" l="1"/>
  <c r="A149" i="44"/>
  <c r="E148" i="44"/>
  <c r="F148" i="44"/>
  <c r="E149" i="44" l="1"/>
  <c r="A150" i="44"/>
  <c r="F149" i="44"/>
  <c r="B149" i="44"/>
  <c r="F150" i="44" l="1"/>
  <c r="B150" i="44"/>
  <c r="A151" i="44"/>
  <c r="E150" i="44"/>
  <c r="E151" i="44" l="1"/>
  <c r="B151" i="44"/>
  <c r="F151" i="44"/>
  <c r="A152" i="44"/>
  <c r="F152" i="44" l="1"/>
  <c r="E152" i="44"/>
  <c r="A153" i="44"/>
  <c r="B152" i="44"/>
  <c r="B153" i="44" l="1"/>
  <c r="A154" i="44"/>
  <c r="E153" i="44"/>
  <c r="F153" i="44"/>
  <c r="A155" i="44" l="1"/>
  <c r="F154" i="44"/>
  <c r="E154" i="44"/>
  <c r="B154" i="44"/>
  <c r="B155" i="44" l="1"/>
  <c r="F155" i="44"/>
  <c r="E155" i="44"/>
  <c r="A156" i="44"/>
  <c r="B156" i="44" l="1"/>
  <c r="A157" i="44"/>
  <c r="F156" i="44"/>
  <c r="E156" i="44"/>
  <c r="E157" i="44" l="1"/>
  <c r="A158" i="44"/>
  <c r="F157" i="44"/>
  <c r="B157" i="44"/>
  <c r="F158" i="44" l="1"/>
  <c r="B158" i="44"/>
  <c r="E158" i="44"/>
  <c r="A159" i="44"/>
  <c r="E159" i="44" l="1"/>
  <c r="F159" i="44"/>
  <c r="A160" i="44"/>
  <c r="B159" i="44"/>
  <c r="F160" i="44" l="1"/>
  <c r="B160" i="44"/>
  <c r="A161" i="44"/>
  <c r="E160" i="44"/>
  <c r="A162" i="44" l="1"/>
  <c r="F161" i="44"/>
  <c r="E161" i="44"/>
  <c r="B161" i="44"/>
  <c r="A163" i="44" l="1"/>
  <c r="B162" i="44"/>
  <c r="F162" i="44"/>
  <c r="E162" i="44"/>
  <c r="F163" i="44" l="1"/>
  <c r="E163" i="44"/>
  <c r="A164" i="44"/>
  <c r="B163" i="44"/>
  <c r="B164" i="44" l="1"/>
  <c r="A165" i="44"/>
  <c r="E164" i="44"/>
  <c r="F164" i="44"/>
  <c r="E165" i="44" l="1"/>
  <c r="F165" i="44"/>
  <c r="B165" i="44"/>
  <c r="A166" i="44"/>
  <c r="F166" i="44" l="1"/>
  <c r="B166" i="44"/>
  <c r="E166" i="44"/>
  <c r="A167" i="44"/>
  <c r="E167" i="44" l="1"/>
  <c r="B167" i="44"/>
  <c r="A168" i="44"/>
  <c r="F167" i="44"/>
  <c r="F168" i="44" l="1"/>
  <c r="A169" i="44"/>
  <c r="E168" i="44"/>
  <c r="B168" i="44"/>
  <c r="B169" i="44" l="1"/>
  <c r="F169" i="44"/>
  <c r="E169" i="44"/>
  <c r="A170" i="44"/>
  <c r="A171" i="44" l="1"/>
  <c r="F170" i="44"/>
  <c r="E170" i="44"/>
  <c r="B170" i="44"/>
  <c r="B171" i="44" l="1"/>
  <c r="A172" i="44"/>
  <c r="F171" i="44"/>
  <c r="E171" i="44"/>
  <c r="B172" i="44" l="1"/>
  <c r="A173" i="44"/>
  <c r="F172" i="44"/>
  <c r="E172" i="44"/>
  <c r="E173" i="44" l="1"/>
  <c r="F173" i="44"/>
  <c r="B173" i="44"/>
  <c r="A174" i="44"/>
  <c r="F174" i="44" l="1"/>
  <c r="B174" i="44"/>
  <c r="A175" i="44"/>
  <c r="E174" i="44"/>
  <c r="E175" i="44" l="1"/>
  <c r="A176" i="44"/>
  <c r="F175" i="44"/>
  <c r="B175" i="44"/>
  <c r="F176" i="44" l="1"/>
  <c r="B176" i="44"/>
  <c r="E176" i="44"/>
  <c r="A177" i="44"/>
  <c r="F177" i="44" l="1"/>
  <c r="E177" i="44"/>
  <c r="A178" i="44"/>
  <c r="B177" i="44"/>
  <c r="A179" i="44" l="1"/>
  <c r="B178" i="44"/>
  <c r="F178" i="44"/>
  <c r="E178" i="44"/>
  <c r="A180" i="44" l="1"/>
  <c r="F179" i="44"/>
  <c r="E179" i="44"/>
  <c r="B179" i="44"/>
  <c r="B180" i="44" l="1"/>
  <c r="A181" i="44"/>
  <c r="E180" i="44"/>
  <c r="F180" i="44"/>
  <c r="E181" i="44" l="1"/>
  <c r="A182" i="44"/>
  <c r="F181" i="44"/>
  <c r="B181" i="44"/>
  <c r="F182" i="44" l="1"/>
  <c r="B182" i="44"/>
  <c r="A183" i="44"/>
  <c r="E182" i="44"/>
  <c r="E183" i="44" l="1"/>
  <c r="B183" i="44"/>
  <c r="F183" i="44"/>
  <c r="A184" i="44"/>
  <c r="F184" i="44" l="1"/>
  <c r="E184" i="44"/>
  <c r="A185" i="44"/>
  <c r="B184" i="44"/>
  <c r="B185" i="44" l="1"/>
  <c r="A186" i="44"/>
  <c r="F185" i="44"/>
  <c r="E185" i="44"/>
  <c r="A187" i="44" l="1"/>
  <c r="F186" i="44"/>
  <c r="E186" i="44"/>
  <c r="B186" i="44"/>
  <c r="B187" i="44" l="1"/>
  <c r="F187" i="44"/>
  <c r="E187" i="44"/>
  <c r="A188" i="44"/>
  <c r="B188" i="44" l="1"/>
  <c r="A189" i="44"/>
  <c r="F188" i="44"/>
  <c r="E188" i="44"/>
  <c r="E189" i="44" l="1"/>
  <c r="A190" i="44"/>
  <c r="F189" i="44"/>
  <c r="B189" i="44"/>
  <c r="F190" i="44" l="1"/>
  <c r="B190" i="44"/>
  <c r="E190" i="44"/>
  <c r="A191" i="44"/>
  <c r="E191" i="44" l="1"/>
  <c r="F191" i="44"/>
  <c r="A192" i="44"/>
  <c r="B191" i="44"/>
  <c r="F192" i="44" l="1"/>
  <c r="B192" i="44"/>
  <c r="A193" i="44"/>
  <c r="E192" i="44"/>
  <c r="A194" i="44" l="1"/>
  <c r="F193" i="44"/>
  <c r="E193" i="44"/>
  <c r="B193" i="44"/>
  <c r="A195" i="44" l="1"/>
  <c r="B194" i="44"/>
  <c r="F194" i="44"/>
  <c r="E194" i="44"/>
  <c r="F195" i="44" l="1"/>
  <c r="E195" i="44"/>
  <c r="A196" i="44"/>
  <c r="B195" i="44"/>
  <c r="B196" i="44" l="1"/>
  <c r="A197" i="44"/>
  <c r="E196" i="44"/>
  <c r="F196" i="44"/>
  <c r="E197" i="44" l="1"/>
  <c r="F197" i="44"/>
  <c r="B197" i="44"/>
  <c r="A198" i="44"/>
  <c r="F198" i="44" l="1"/>
  <c r="B198" i="44"/>
  <c r="E198" i="44"/>
  <c r="A199" i="44"/>
  <c r="E199" i="44" l="1"/>
  <c r="B199" i="44"/>
  <c r="A200" i="44"/>
  <c r="F199" i="44"/>
  <c r="F200" i="44" l="1"/>
  <c r="A201" i="44"/>
  <c r="E200" i="44"/>
  <c r="B200" i="44"/>
  <c r="B201" i="44" l="1"/>
  <c r="F201" i="44"/>
  <c r="E201" i="44"/>
  <c r="A202" i="44"/>
  <c r="A203" i="44" l="1"/>
  <c r="F202" i="44"/>
  <c r="E202" i="44"/>
  <c r="B202" i="44"/>
  <c r="B203" i="44" l="1"/>
  <c r="A204" i="44"/>
  <c r="F203" i="44"/>
  <c r="E203" i="44"/>
  <c r="B204" i="44" l="1"/>
  <c r="A205" i="44"/>
  <c r="F204" i="44"/>
  <c r="E204" i="44"/>
  <c r="E205" i="44" l="1"/>
  <c r="F205" i="44"/>
  <c r="B205" i="44"/>
  <c r="A206" i="44"/>
  <c r="F206" i="44" l="1"/>
  <c r="B206" i="44"/>
  <c r="A207" i="44"/>
  <c r="E206" i="44"/>
  <c r="E207" i="44" l="1"/>
  <c r="A208" i="44"/>
  <c r="F207" i="44"/>
  <c r="B207" i="44"/>
  <c r="F208" i="44" l="1"/>
  <c r="B208" i="44"/>
  <c r="A209" i="44"/>
  <c r="E208" i="44"/>
  <c r="A210" i="44" l="1"/>
  <c r="F209" i="44"/>
  <c r="E209" i="44"/>
  <c r="B209" i="44"/>
  <c r="E210" i="44" l="1"/>
  <c r="B210" i="44"/>
  <c r="A211" i="44"/>
  <c r="F210" i="44"/>
  <c r="F211" i="44" l="1"/>
  <c r="B211" i="44"/>
  <c r="E211" i="44"/>
  <c r="A212" i="44"/>
  <c r="E212" i="44" l="1"/>
  <c r="A213" i="44"/>
  <c r="B212" i="44"/>
  <c r="F212" i="44"/>
  <c r="F213" i="44" l="1"/>
  <c r="A214" i="44"/>
  <c r="E213" i="44"/>
  <c r="B213" i="44"/>
  <c r="E214" i="44" l="1"/>
  <c r="F214" i="44"/>
  <c r="A215" i="44"/>
  <c r="B214" i="44"/>
  <c r="A216" i="44" l="1"/>
  <c r="E215" i="44"/>
  <c r="F215" i="44"/>
  <c r="B215" i="44"/>
  <c r="A217" i="44" l="1"/>
  <c r="B216" i="44"/>
  <c r="F216" i="44"/>
  <c r="E216" i="44"/>
  <c r="B217" i="44" l="1"/>
  <c r="A218" i="44"/>
  <c r="F217" i="44"/>
  <c r="E217" i="44"/>
  <c r="E218" i="44" l="1"/>
  <c r="B218" i="44"/>
  <c r="F218" i="44"/>
  <c r="A219" i="44"/>
  <c r="F219" i="44" l="1"/>
  <c r="B219" i="44"/>
  <c r="A220" i="44"/>
  <c r="E219" i="44"/>
  <c r="E220" i="44" l="1"/>
  <c r="A221" i="44"/>
  <c r="F220" i="44"/>
  <c r="B220" i="44"/>
  <c r="F221" i="44" l="1"/>
  <c r="E221" i="44"/>
  <c r="B221" i="44"/>
  <c r="A222" i="44"/>
  <c r="E222" i="44" l="1"/>
  <c r="A223" i="44"/>
  <c r="F222" i="44"/>
  <c r="B222" i="44"/>
  <c r="A224" i="44" l="1"/>
  <c r="F223" i="44"/>
  <c r="E223" i="44"/>
  <c r="B223" i="44"/>
  <c r="A225" i="44" l="1"/>
  <c r="E224" i="44"/>
  <c r="B224" i="44"/>
  <c r="F224" i="44"/>
  <c r="B225" i="44" l="1"/>
  <c r="A226" i="44"/>
  <c r="F225" i="44"/>
  <c r="E225" i="44"/>
  <c r="E226" i="44" l="1"/>
  <c r="B226" i="44"/>
  <c r="A227" i="44"/>
  <c r="F226" i="44"/>
  <c r="F227" i="44" l="1"/>
  <c r="B227" i="44"/>
  <c r="A228" i="44"/>
  <c r="E227" i="44"/>
  <c r="E228" i="44" l="1"/>
  <c r="F228" i="44"/>
  <c r="B228" i="44"/>
  <c r="A229" i="44"/>
  <c r="F229" i="44" l="1"/>
  <c r="E229" i="44"/>
  <c r="A230" i="44"/>
  <c r="B229" i="44"/>
  <c r="A231" i="44" l="1"/>
  <c r="E230" i="44"/>
  <c r="B230" i="44"/>
  <c r="F230" i="44"/>
  <c r="A232" i="44" l="1"/>
  <c r="B231" i="44"/>
  <c r="F231" i="44"/>
  <c r="E231" i="44"/>
  <c r="E232" i="44" l="1"/>
  <c r="A233" i="44"/>
  <c r="F232" i="44"/>
  <c r="B232" i="44"/>
  <c r="B233" i="44" l="1"/>
  <c r="A234" i="44"/>
  <c r="F233" i="44"/>
  <c r="E233" i="44"/>
  <c r="E234" i="44" l="1"/>
  <c r="F234" i="44"/>
  <c r="A235" i="44"/>
  <c r="B234" i="44"/>
  <c r="F235" i="44" l="1"/>
  <c r="B235" i="44"/>
  <c r="E235" i="44"/>
  <c r="A236" i="44"/>
  <c r="E236" i="44" l="1"/>
  <c r="F236" i="44"/>
  <c r="B236" i="44"/>
  <c r="A237" i="44"/>
  <c r="F237" i="44" l="1"/>
  <c r="A238" i="44"/>
  <c r="B237" i="44"/>
  <c r="E237" i="44"/>
  <c r="A239" i="44" l="1"/>
  <c r="F238" i="44"/>
  <c r="E238" i="44"/>
  <c r="B238" i="44"/>
  <c r="A240" i="44" l="1"/>
  <c r="E239" i="44"/>
  <c r="F239" i="44"/>
  <c r="B239" i="44"/>
  <c r="E240" i="44" l="1"/>
  <c r="A241" i="44"/>
  <c r="F240" i="44"/>
  <c r="B240" i="44"/>
  <c r="B241" i="44" l="1"/>
  <c r="A242" i="44"/>
  <c r="E241" i="44"/>
  <c r="F241" i="44"/>
  <c r="E242" i="44" l="1"/>
  <c r="B242" i="44"/>
  <c r="A243" i="44"/>
  <c r="F242" i="44"/>
  <c r="F243" i="44" l="1"/>
  <c r="B243" i="44"/>
  <c r="E243" i="44"/>
  <c r="A244" i="44"/>
  <c r="E244" i="44" l="1"/>
  <c r="A245" i="44"/>
  <c r="F244" i="44"/>
  <c r="B244" i="44"/>
  <c r="F245" i="44" l="1"/>
  <c r="A246" i="44"/>
  <c r="E245" i="44"/>
  <c r="B245" i="44"/>
  <c r="E246" i="44" l="1"/>
  <c r="B246" i="44"/>
  <c r="A247" i="44"/>
  <c r="F246" i="44"/>
  <c r="A248" i="44" l="1"/>
  <c r="E247" i="44"/>
  <c r="F247" i="44"/>
  <c r="B247" i="44"/>
  <c r="A249" i="44" l="1"/>
  <c r="F248" i="44"/>
  <c r="E248" i="44"/>
  <c r="B248" i="44"/>
  <c r="B249" i="44" l="1"/>
  <c r="A250" i="44"/>
  <c r="F249" i="44"/>
  <c r="E249" i="44"/>
  <c r="E250" i="44" l="1"/>
  <c r="B250" i="44"/>
  <c r="A251" i="44"/>
  <c r="F250" i="44"/>
  <c r="F251" i="44" l="1"/>
  <c r="B251" i="44"/>
  <c r="A252" i="44"/>
  <c r="E251" i="44"/>
  <c r="E252" i="44" l="1"/>
  <c r="A253" i="44"/>
  <c r="F252" i="44"/>
  <c r="B252" i="44"/>
  <c r="F253" i="44" l="1"/>
  <c r="E253" i="44"/>
  <c r="B253" i="44"/>
  <c r="A254" i="44"/>
  <c r="E254" i="44" l="1"/>
  <c r="F254" i="44"/>
  <c r="B254" i="44"/>
  <c r="A255" i="44"/>
  <c r="A256" i="44" l="1"/>
  <c r="B255" i="44"/>
  <c r="E255" i="44"/>
  <c r="F255" i="44"/>
  <c r="A257" i="44" l="1"/>
  <c r="F256" i="44"/>
  <c r="E256" i="44"/>
  <c r="B256" i="44"/>
  <c r="B257" i="44" l="1"/>
  <c r="A258" i="44"/>
  <c r="F257" i="44"/>
  <c r="E257" i="44"/>
  <c r="E258" i="44" l="1"/>
  <c r="F258" i="44"/>
  <c r="B258" i="44"/>
  <c r="A259" i="44"/>
  <c r="F259" i="44" l="1"/>
  <c r="B259" i="44"/>
  <c r="A260" i="44"/>
  <c r="E259" i="44"/>
  <c r="E260" i="44" l="1"/>
  <c r="F260" i="44"/>
  <c r="A261" i="44"/>
  <c r="B260" i="44"/>
  <c r="F261" i="44" l="1"/>
  <c r="E261" i="44"/>
  <c r="B261" i="44"/>
  <c r="A262" i="44"/>
  <c r="A263" i="44" l="1"/>
  <c r="F262" i="44"/>
  <c r="E262" i="44"/>
  <c r="B262" i="44"/>
  <c r="A264" i="44" l="1"/>
  <c r="F263" i="44"/>
  <c r="E263" i="44"/>
  <c r="B263" i="44"/>
  <c r="E264" i="44" l="1"/>
  <c r="B264" i="44"/>
  <c r="F264" i="44"/>
  <c r="A265" i="44"/>
  <c r="B265" i="44" l="1"/>
  <c r="A266" i="44"/>
  <c r="F265" i="44"/>
  <c r="E265" i="44"/>
  <c r="E266" i="44" l="1"/>
  <c r="F266" i="44"/>
  <c r="A267" i="44"/>
  <c r="B266" i="44"/>
  <c r="F267" i="44" l="1"/>
  <c r="B267" i="44"/>
  <c r="E267" i="44"/>
  <c r="A268" i="44"/>
  <c r="E268" i="44" l="1"/>
  <c r="B268" i="44"/>
  <c r="F268" i="44"/>
  <c r="A269" i="44"/>
  <c r="F269" i="44" l="1"/>
  <c r="B269" i="44"/>
  <c r="A270" i="44"/>
  <c r="E269" i="44"/>
  <c r="F270" i="44" l="1"/>
  <c r="A271" i="44"/>
  <c r="B270" i="44"/>
  <c r="E270" i="44"/>
  <c r="A272" i="44" l="1"/>
  <c r="E271" i="44"/>
  <c r="B271" i="44"/>
  <c r="F271" i="44"/>
  <c r="B272" i="44" l="1"/>
  <c r="F272" i="44"/>
  <c r="E272" i="44"/>
  <c r="A273" i="44"/>
  <c r="E273" i="44" l="1"/>
  <c r="F273" i="44"/>
  <c r="B273" i="44"/>
  <c r="A274" i="44"/>
  <c r="E274" i="44" l="1"/>
  <c r="F274" i="44"/>
  <c r="A275" i="44"/>
  <c r="B274" i="44"/>
  <c r="E275" i="44" l="1"/>
  <c r="F275" i="44"/>
  <c r="B275" i="44"/>
  <c r="A276" i="44"/>
  <c r="F276" i="44" l="1"/>
  <c r="E276" i="44"/>
  <c r="B276" i="44"/>
  <c r="A277" i="44"/>
  <c r="E277" i="44" l="1"/>
  <c r="F277" i="44"/>
  <c r="A278" i="44"/>
  <c r="B277" i="44"/>
  <c r="E278" i="44" l="1"/>
  <c r="F278" i="44"/>
  <c r="B278" i="44"/>
  <c r="A279" i="44"/>
  <c r="E279" i="44" l="1"/>
  <c r="F279" i="44"/>
  <c r="A280" i="44"/>
  <c r="B279" i="44"/>
  <c r="H279" i="44"/>
  <c r="G279" i="44"/>
  <c r="F280" i="44" l="1"/>
  <c r="E280" i="44"/>
  <c r="G280" i="44"/>
  <c r="A281" i="44"/>
  <c r="H280" i="44"/>
  <c r="B280" i="44"/>
  <c r="E281" i="44" l="1"/>
  <c r="F281" i="44"/>
  <c r="B281" i="44"/>
  <c r="A282" i="44"/>
  <c r="G281" i="44"/>
  <c r="H281" i="44"/>
  <c r="E282" i="44" l="1"/>
  <c r="F282" i="44"/>
  <c r="G282" i="44"/>
  <c r="B282" i="44"/>
  <c r="H282" i="44"/>
  <c r="A283" i="44"/>
  <c r="E283" i="44" l="1"/>
  <c r="F283" i="44"/>
  <c r="H283" i="44"/>
  <c r="B283" i="44"/>
  <c r="G283" i="44"/>
  <c r="A284" i="44"/>
  <c r="F284" i="44" l="1"/>
  <c r="E284" i="44"/>
  <c r="G284" i="44"/>
  <c r="B284" i="44"/>
  <c r="A285" i="44"/>
  <c r="H284" i="44"/>
  <c r="E285" i="44" l="1"/>
  <c r="F285" i="44"/>
  <c r="H285" i="44"/>
  <c r="B285" i="44"/>
  <c r="G285" i="44"/>
  <c r="A286" i="44"/>
  <c r="E286" i="44" l="1"/>
  <c r="F286" i="44"/>
  <c r="G286" i="44"/>
  <c r="A287" i="44"/>
  <c r="H286" i="44"/>
  <c r="B286" i="44"/>
  <c r="E287" i="44" l="1"/>
  <c r="F287" i="44"/>
  <c r="A288" i="44"/>
  <c r="G287" i="44"/>
  <c r="B287" i="44"/>
  <c r="H287" i="44"/>
  <c r="F288" i="44" l="1"/>
  <c r="E288" i="44"/>
  <c r="G288" i="44"/>
  <c r="H288" i="44"/>
  <c r="A289" i="44"/>
  <c r="B288" i="44"/>
  <c r="E289" i="44" l="1"/>
  <c r="F289" i="44"/>
  <c r="B289" i="44"/>
  <c r="A290" i="44"/>
  <c r="H289" i="44"/>
  <c r="G289" i="44"/>
  <c r="E290" i="44" l="1"/>
  <c r="F290" i="44"/>
  <c r="G290" i="44"/>
  <c r="H290" i="44"/>
  <c r="B290" i="44"/>
  <c r="A291" i="44"/>
  <c r="E291" i="44" l="1"/>
  <c r="F291" i="44"/>
  <c r="H291" i="44"/>
  <c r="B291" i="44"/>
  <c r="G291" i="44"/>
  <c r="A292" i="44"/>
  <c r="F292" i="44" l="1"/>
  <c r="E292" i="44"/>
  <c r="G292" i="44"/>
  <c r="A293" i="44"/>
  <c r="H292" i="44"/>
  <c r="B292" i="44"/>
  <c r="E293" i="44" l="1"/>
  <c r="F293" i="44"/>
  <c r="B293" i="44"/>
  <c r="H293" i="44"/>
  <c r="G293" i="44"/>
  <c r="A294" i="44"/>
  <c r="E294" i="44" l="1"/>
  <c r="G294" i="44" s="1"/>
  <c r="F294" i="44"/>
  <c r="H294" i="44" s="1"/>
  <c r="B294" i="44"/>
  <c r="A295" i="44"/>
  <c r="E295" i="44" l="1"/>
  <c r="G295" i="44" s="1"/>
  <c r="F295" i="44"/>
  <c r="H295" i="44" s="1"/>
  <c r="A296" i="44"/>
  <c r="B295" i="44"/>
  <c r="F296" i="44" l="1"/>
  <c r="H296" i="44" s="1"/>
  <c r="E296" i="44"/>
  <c r="G296" i="44" s="1"/>
  <c r="A297" i="44"/>
  <c r="B296" i="44"/>
  <c r="E297" i="44" l="1"/>
  <c r="G297" i="44" s="1"/>
  <c r="F297" i="44"/>
  <c r="H297" i="44" s="1"/>
  <c r="B297" i="44"/>
  <c r="A298" i="44"/>
  <c r="E298" i="44" l="1"/>
  <c r="G298" i="44" s="1"/>
  <c r="F298" i="44"/>
  <c r="H298" i="44" s="1"/>
  <c r="A299" i="44"/>
  <c r="B298" i="44"/>
  <c r="E299" i="44" l="1"/>
  <c r="G299" i="44" s="1"/>
  <c r="F299" i="44"/>
  <c r="H299" i="44" s="1"/>
  <c r="A300" i="44"/>
  <c r="B299" i="44"/>
  <c r="F300" i="44" l="1"/>
  <c r="H300" i="44" s="1"/>
  <c r="E300" i="44"/>
  <c r="G300" i="44" s="1"/>
  <c r="A301" i="44"/>
  <c r="B300" i="44"/>
  <c r="E301" i="44" l="1"/>
  <c r="G301" i="44" s="1"/>
  <c r="F301" i="44"/>
  <c r="H301" i="44" s="1"/>
  <c r="B301" i="44"/>
  <c r="A302" i="44"/>
  <c r="E302" i="44" l="1"/>
  <c r="G302" i="44" s="1"/>
  <c r="F302" i="44"/>
  <c r="H302" i="44" s="1"/>
  <c r="A303" i="44"/>
  <c r="B302" i="44"/>
  <c r="E303" i="44" l="1"/>
  <c r="G303" i="44" s="1"/>
  <c r="F303" i="44"/>
  <c r="H303" i="44" s="1"/>
  <c r="A304" i="44"/>
  <c r="B303" i="44"/>
  <c r="F304" i="44" l="1"/>
  <c r="H304" i="44" s="1"/>
  <c r="E304" i="44"/>
  <c r="G304" i="44" s="1"/>
  <c r="A305" i="44"/>
  <c r="B304" i="44"/>
  <c r="E305" i="44" l="1"/>
  <c r="G305" i="44" s="1"/>
  <c r="F305" i="44"/>
  <c r="H305" i="44" s="1"/>
  <c r="B305" i="44"/>
  <c r="A306" i="44"/>
  <c r="E306" i="44" l="1"/>
  <c r="G306" i="44" s="1"/>
  <c r="F306" i="44"/>
  <c r="H306" i="44" s="1"/>
  <c r="B306" i="44"/>
  <c r="A307" i="44"/>
  <c r="E307" i="44" l="1"/>
  <c r="G307" i="44" s="1"/>
  <c r="F307" i="44"/>
  <c r="H307" i="44" s="1"/>
  <c r="A308" i="44"/>
  <c r="B307" i="44"/>
  <c r="F308" i="44" l="1"/>
  <c r="H308" i="44" s="1"/>
  <c r="E308" i="44"/>
  <c r="G308" i="44" s="1"/>
  <c r="A309" i="44"/>
  <c r="B308" i="44"/>
  <c r="E309" i="44" l="1"/>
  <c r="G309" i="44" s="1"/>
  <c r="F309" i="44"/>
  <c r="H309" i="44" s="1"/>
  <c r="B309" i="44"/>
  <c r="A310" i="44"/>
  <c r="E310" i="44" l="1"/>
  <c r="G310" i="44" s="1"/>
  <c r="F310" i="44"/>
  <c r="H310" i="44" s="1"/>
  <c r="B310" i="44"/>
  <c r="A311" i="44"/>
  <c r="E311" i="44" l="1"/>
  <c r="G311" i="44" s="1"/>
  <c r="F311" i="44"/>
  <c r="H311" i="44" s="1"/>
  <c r="B311" i="44"/>
  <c r="A312" i="44"/>
  <c r="F312" i="44" l="1"/>
  <c r="E312" i="44"/>
  <c r="G312" i="44" s="1"/>
  <c r="H312" i="44"/>
  <c r="B312" i="44"/>
  <c r="A313" i="44"/>
  <c r="E313" i="44" l="1"/>
  <c r="F313" i="44"/>
  <c r="H313" i="44"/>
  <c r="B313" i="44"/>
  <c r="A314" i="44"/>
  <c r="G313" i="44"/>
  <c r="E314" i="44" l="1"/>
  <c r="G314" i="44" s="1"/>
  <c r="F314" i="44"/>
  <c r="H314" i="44" s="1"/>
  <c r="B314" i="44"/>
  <c r="A315" i="44"/>
  <c r="E315" i="44" l="1"/>
  <c r="G315" i="44" s="1"/>
  <c r="F315" i="44"/>
  <c r="H315" i="44" s="1"/>
  <c r="A316" i="44"/>
  <c r="B315" i="44"/>
  <c r="F316" i="44" l="1"/>
  <c r="H316" i="44" s="1"/>
  <c r="E316" i="44"/>
  <c r="G316" i="44" s="1"/>
  <c r="A317" i="44"/>
  <c r="B316" i="44"/>
  <c r="E317" i="44" l="1"/>
  <c r="G317" i="44" s="1"/>
  <c r="F317" i="44"/>
  <c r="H317" i="44" s="1"/>
  <c r="A318" i="44"/>
  <c r="B317" i="44"/>
  <c r="E318" i="44" l="1"/>
  <c r="G318" i="44" s="1"/>
  <c r="F318" i="44"/>
  <c r="H318" i="44" s="1"/>
  <c r="B318" i="44"/>
  <c r="A319" i="44"/>
  <c r="E319" i="44" l="1"/>
  <c r="G319" i="44" s="1"/>
  <c r="F319" i="44"/>
  <c r="H319" i="44" s="1"/>
  <c r="B319" i="44"/>
  <c r="A320" i="44"/>
  <c r="F320" i="44" l="1"/>
  <c r="H320" i="44" s="1"/>
  <c r="E320" i="44"/>
  <c r="G320" i="44" s="1"/>
  <c r="B320" i="44"/>
  <c r="A321" i="44"/>
  <c r="E321" i="44" l="1"/>
  <c r="G321" i="44" s="1"/>
  <c r="F321" i="44"/>
  <c r="H321" i="44" s="1"/>
  <c r="A322" i="44"/>
  <c r="B321" i="44"/>
  <c r="E322" i="44" l="1"/>
  <c r="G322" i="44" s="1"/>
  <c r="F322" i="44"/>
  <c r="H322" i="44" s="1"/>
  <c r="A323" i="44"/>
  <c r="B322" i="44"/>
  <c r="F323" i="44" l="1"/>
  <c r="H323" i="44" s="1"/>
  <c r="E323" i="44"/>
  <c r="G323" i="44" s="1"/>
  <c r="B323" i="44"/>
  <c r="A324" i="44"/>
  <c r="F324" i="44" l="1"/>
  <c r="H324" i="44" s="1"/>
  <c r="E324" i="44"/>
  <c r="G324" i="44" s="1"/>
  <c r="A325" i="44"/>
  <c r="B324" i="44"/>
  <c r="E325" i="44" l="1"/>
  <c r="G325" i="44" s="1"/>
  <c r="F325" i="44"/>
  <c r="H325" i="44" s="1"/>
  <c r="A326" i="44"/>
  <c r="B325" i="44"/>
  <c r="E326" i="44" l="1"/>
  <c r="G326" i="44" s="1"/>
  <c r="F326" i="44"/>
  <c r="H326" i="44" s="1"/>
  <c r="B326" i="44"/>
  <c r="A327" i="44"/>
  <c r="E327" i="44" l="1"/>
  <c r="G327" i="44" s="1"/>
  <c r="F327" i="44"/>
  <c r="H327" i="44" s="1"/>
  <c r="B327" i="44"/>
  <c r="A328" i="44"/>
  <c r="F328" i="44" l="1"/>
  <c r="H328" i="44" s="1"/>
  <c r="E328" i="44"/>
  <c r="G328" i="44" s="1"/>
  <c r="A329" i="44"/>
  <c r="B328" i="44"/>
  <c r="E329" i="44" l="1"/>
  <c r="G329" i="44" s="1"/>
  <c r="F329" i="44"/>
  <c r="H329" i="44" s="1"/>
  <c r="B329" i="44"/>
  <c r="A330" i="44"/>
  <c r="E330" i="44" l="1"/>
  <c r="G330" i="44" s="1"/>
  <c r="F330" i="44"/>
  <c r="H330" i="44" s="1"/>
  <c r="B330" i="44"/>
  <c r="A331" i="44"/>
  <c r="F331" i="44" l="1"/>
  <c r="H331" i="44" s="1"/>
  <c r="E331" i="44"/>
  <c r="G331" i="44" s="1"/>
  <c r="B331" i="44"/>
  <c r="A332" i="44"/>
  <c r="F332" i="44" l="1"/>
  <c r="H332" i="44" s="1"/>
  <c r="E332" i="44"/>
  <c r="G332" i="44" s="1"/>
  <c r="A333" i="44"/>
  <c r="B332" i="44"/>
  <c r="E333" i="44" l="1"/>
  <c r="G333" i="44" s="1"/>
  <c r="F333" i="44"/>
  <c r="H333" i="44" s="1"/>
  <c r="A334" i="44"/>
  <c r="B333" i="44"/>
  <c r="E334" i="44" l="1"/>
  <c r="G334" i="44" s="1"/>
  <c r="F334" i="44"/>
  <c r="H334" i="44" s="1"/>
  <c r="B334" i="44"/>
  <c r="A335" i="44"/>
  <c r="E335" i="44" l="1"/>
  <c r="G335" i="44" s="1"/>
  <c r="F335" i="44"/>
  <c r="H335" i="44" s="1"/>
  <c r="B335" i="44"/>
  <c r="A336" i="44"/>
  <c r="F336" i="44" l="1"/>
  <c r="H336" i="44" s="1"/>
  <c r="E336" i="44"/>
  <c r="G336" i="44" s="1"/>
  <c r="B336" i="44"/>
  <c r="A337" i="44"/>
  <c r="E337" i="44" l="1"/>
  <c r="G337" i="44" s="1"/>
  <c r="F337" i="44"/>
  <c r="H337" i="44" s="1"/>
  <c r="B337" i="44"/>
  <c r="A338" i="44"/>
  <c r="E338" i="44" l="1"/>
  <c r="G338" i="44" s="1"/>
  <c r="F338" i="44"/>
  <c r="H338" i="44" s="1"/>
  <c r="A339" i="44"/>
  <c r="B338" i="44"/>
  <c r="E339" i="44" l="1"/>
  <c r="G339" i="44" s="1"/>
  <c r="F339" i="44"/>
  <c r="H339" i="44" s="1"/>
  <c r="A340" i="44"/>
  <c r="B339" i="44"/>
  <c r="F340" i="44" l="1"/>
  <c r="H340" i="44" s="1"/>
  <c r="E340" i="44"/>
  <c r="G340" i="44" s="1"/>
  <c r="A341" i="44"/>
  <c r="B340" i="44"/>
  <c r="E341" i="44" l="1"/>
  <c r="G341" i="44" s="1"/>
  <c r="F341" i="44"/>
  <c r="H341" i="44" s="1"/>
  <c r="A342" i="44"/>
  <c r="B341" i="44"/>
  <c r="E342" i="44" l="1"/>
  <c r="G342" i="44" s="1"/>
  <c r="F342" i="44"/>
  <c r="H342" i="44" s="1"/>
  <c r="B342" i="44"/>
  <c r="A343" i="44"/>
  <c r="F343" i="44" l="1"/>
  <c r="H343" i="44" s="1"/>
  <c r="E343" i="44"/>
  <c r="G343" i="44" s="1"/>
  <c r="B343" i="44"/>
  <c r="A344" i="44"/>
  <c r="F344" i="44" l="1"/>
  <c r="H344" i="44" s="1"/>
  <c r="E344" i="44"/>
  <c r="G344" i="44" s="1"/>
  <c r="A345" i="44"/>
  <c r="B344" i="44"/>
  <c r="E345" i="44" l="1"/>
  <c r="G345" i="44" s="1"/>
  <c r="F345" i="44"/>
  <c r="H345" i="44" s="1"/>
  <c r="A346" i="44"/>
  <c r="B345" i="44"/>
  <c r="E346" i="44" l="1"/>
  <c r="G346" i="44" s="1"/>
  <c r="F346" i="44"/>
  <c r="H346" i="44" s="1"/>
  <c r="B346" i="44"/>
  <c r="A347" i="44"/>
  <c r="E347" i="44" l="1"/>
  <c r="G347" i="44" s="1"/>
  <c r="F347" i="44"/>
  <c r="H347" i="44" s="1"/>
  <c r="A348" i="44"/>
  <c r="B347" i="44"/>
  <c r="F348" i="44" l="1"/>
  <c r="H348" i="44" s="1"/>
  <c r="E348" i="44"/>
  <c r="G348" i="44" s="1"/>
  <c r="A349" i="44"/>
  <c r="B348" i="44"/>
  <c r="E349" i="44" l="1"/>
  <c r="G349" i="44" s="1"/>
  <c r="F349" i="44"/>
  <c r="H349" i="44" s="1"/>
  <c r="A350" i="44"/>
  <c r="B349" i="44"/>
  <c r="E350" i="44" l="1"/>
  <c r="G350" i="44" s="1"/>
  <c r="F350" i="44"/>
  <c r="H350" i="44" s="1"/>
  <c r="B350" i="44"/>
  <c r="A351" i="44"/>
  <c r="F351" i="44" l="1"/>
  <c r="H351" i="44" s="1"/>
  <c r="E351" i="44"/>
  <c r="G351" i="44" s="1"/>
  <c r="B351" i="44"/>
  <c r="A352" i="44"/>
  <c r="F352" i="44" l="1"/>
  <c r="H352" i="44" s="1"/>
  <c r="E352" i="44"/>
  <c r="G352" i="44" s="1"/>
  <c r="B352" i="44"/>
  <c r="A353" i="44"/>
  <c r="F353" i="44" l="1"/>
  <c r="H353" i="44" s="1"/>
  <c r="E353" i="44"/>
  <c r="G353" i="44" s="1"/>
  <c r="A354" i="44"/>
  <c r="B353" i="44"/>
  <c r="E354" i="44" l="1"/>
  <c r="G354" i="44" s="1"/>
  <c r="F354" i="44"/>
  <c r="H354" i="44" s="1"/>
  <c r="B354" i="44"/>
  <c r="A355" i="44"/>
  <c r="E355" i="44" l="1"/>
  <c r="G355" i="44" s="1"/>
  <c r="F355" i="44"/>
  <c r="H355" i="44" s="1"/>
  <c r="B355" i="44"/>
  <c r="A356" i="44"/>
  <c r="F356" i="44" l="1"/>
  <c r="H356" i="44" s="1"/>
  <c r="E356" i="44"/>
  <c r="G356" i="44" s="1"/>
  <c r="A357" i="44"/>
  <c r="B356" i="44"/>
  <c r="E357" i="44" l="1"/>
  <c r="G357" i="44" s="1"/>
  <c r="F357" i="44"/>
  <c r="H357" i="44" s="1"/>
  <c r="A358" i="44"/>
  <c r="B357" i="44"/>
  <c r="E358" i="44" l="1"/>
  <c r="G358" i="44" s="1"/>
  <c r="F358" i="44"/>
  <c r="H358" i="44" s="1"/>
  <c r="B358" i="44"/>
  <c r="A359" i="44"/>
  <c r="E359" i="44" l="1"/>
  <c r="G359" i="44" s="1"/>
  <c r="F359" i="44"/>
  <c r="H359" i="44" s="1"/>
  <c r="B359" i="44"/>
  <c r="A360" i="44"/>
  <c r="F360" i="44" l="1"/>
  <c r="H360" i="44" s="1"/>
  <c r="E360" i="44"/>
  <c r="G360" i="44" s="1"/>
  <c r="B360" i="44"/>
  <c r="A361" i="44"/>
  <c r="F361" i="44" l="1"/>
  <c r="H361" i="44" s="1"/>
  <c r="E361" i="44"/>
  <c r="G361" i="44" s="1"/>
  <c r="B361" i="44"/>
  <c r="A362" i="44"/>
  <c r="E362" i="44" l="1"/>
  <c r="G362" i="44" s="1"/>
  <c r="F362" i="44"/>
  <c r="H362" i="44" s="1"/>
  <c r="B362" i="44"/>
  <c r="A363" i="44"/>
  <c r="F363" i="44" l="1"/>
  <c r="H363" i="44" s="1"/>
  <c r="E363" i="44"/>
  <c r="G363" i="44" s="1"/>
  <c r="B363" i="44"/>
  <c r="A364" i="44"/>
  <c r="F364" i="44" l="1"/>
  <c r="E364" i="44"/>
  <c r="A365" i="44"/>
  <c r="G364" i="44"/>
  <c r="B364" i="44"/>
  <c r="H364" i="44"/>
  <c r="F365" i="44" l="1"/>
  <c r="H365" i="44" s="1"/>
  <c r="E365" i="44"/>
  <c r="G365" i="44" s="1"/>
  <c r="A366" i="44"/>
  <c r="B365" i="44"/>
  <c r="E366" i="44" l="1"/>
  <c r="G366" i="44" s="1"/>
  <c r="F366" i="44"/>
  <c r="H366" i="44" s="1"/>
  <c r="B366" i="44"/>
  <c r="A367" i="44"/>
  <c r="E367" i="44" l="1"/>
  <c r="F367" i="44"/>
  <c r="H367" i="44" s="1"/>
  <c r="G367" i="44"/>
  <c r="B367" i="44"/>
  <c r="A368" i="44"/>
  <c r="F368" i="44" l="1"/>
  <c r="E368" i="44"/>
  <c r="G368" i="44" s="1"/>
  <c r="H368" i="44"/>
  <c r="A369" i="44"/>
  <c r="B368" i="44"/>
  <c r="F369" i="44" l="1"/>
  <c r="H369" i="44" s="1"/>
  <c r="E369" i="44"/>
  <c r="G369" i="44" s="1"/>
  <c r="B369" i="44"/>
  <c r="A370" i="44"/>
  <c r="E370" i="44" l="1"/>
  <c r="G370" i="44" s="1"/>
  <c r="F370" i="44"/>
  <c r="H370" i="44" s="1"/>
  <c r="A371" i="44"/>
  <c r="B370" i="44"/>
  <c r="F371" i="44" l="1"/>
  <c r="H371" i="44" s="1"/>
  <c r="E371" i="44"/>
  <c r="G371" i="44" s="1"/>
  <c r="A372" i="44"/>
  <c r="B371" i="44"/>
  <c r="F372" i="44" l="1"/>
  <c r="H372" i="44" s="1"/>
  <c r="E372" i="44"/>
  <c r="G372" i="44" s="1"/>
  <c r="A373" i="44"/>
  <c r="B372" i="44"/>
  <c r="F373" i="44" l="1"/>
  <c r="H373" i="44" s="1"/>
  <c r="E373" i="44"/>
  <c r="G373" i="44" s="1"/>
  <c r="A374" i="44"/>
  <c r="B373" i="44"/>
  <c r="E374" i="44" l="1"/>
  <c r="G374" i="44" s="1"/>
  <c r="F374" i="44"/>
  <c r="H374" i="44" s="1"/>
  <c r="B374" i="44"/>
  <c r="A375" i="44"/>
  <c r="F375" i="44" l="1"/>
  <c r="H375" i="44" s="1"/>
  <c r="E375" i="44"/>
  <c r="G375" i="44" s="1"/>
  <c r="B375" i="44"/>
  <c r="A376" i="44"/>
  <c r="F376" i="44" l="1"/>
  <c r="H376" i="44" s="1"/>
  <c r="E376" i="44"/>
  <c r="G376" i="44" s="1"/>
  <c r="A377" i="44"/>
  <c r="B376" i="44"/>
  <c r="E377" i="44" l="1"/>
  <c r="G377" i="44" s="1"/>
  <c r="F377" i="44"/>
  <c r="H377" i="44" s="1"/>
  <c r="A378" i="44"/>
  <c r="B377" i="44"/>
  <c r="E378" i="44" l="1"/>
  <c r="G378" i="44" s="1"/>
  <c r="F378" i="44"/>
  <c r="H378" i="44" s="1"/>
  <c r="A379" i="44"/>
  <c r="B378" i="44"/>
  <c r="E379" i="44" l="1"/>
  <c r="G379" i="44" s="1"/>
  <c r="F379" i="44"/>
  <c r="H379" i="44" s="1"/>
  <c r="A380" i="44"/>
  <c r="B379" i="44"/>
  <c r="F380" i="44" l="1"/>
  <c r="H380" i="44" s="1"/>
  <c r="E380" i="44"/>
  <c r="G380" i="44" s="1"/>
  <c r="A381" i="44"/>
  <c r="B380" i="44"/>
  <c r="F381" i="44" l="1"/>
  <c r="H381" i="44" s="1"/>
  <c r="E381" i="44"/>
  <c r="G381" i="44" s="1"/>
  <c r="A382" i="44"/>
  <c r="B381" i="44"/>
  <c r="E382" i="44" l="1"/>
  <c r="G382" i="44" s="1"/>
  <c r="F382" i="44"/>
  <c r="H382" i="44" s="1"/>
  <c r="B382" i="44"/>
  <c r="A383" i="44"/>
  <c r="E383" i="44" l="1"/>
  <c r="G383" i="44" s="1"/>
  <c r="F383" i="44"/>
  <c r="H383" i="44" s="1"/>
  <c r="B383" i="44"/>
  <c r="A384" i="44"/>
  <c r="F384" i="44" l="1"/>
  <c r="H384" i="44" s="1"/>
  <c r="E384" i="44"/>
  <c r="G384" i="44" s="1"/>
  <c r="A385" i="44"/>
  <c r="B384" i="44"/>
  <c r="F385" i="44" l="1"/>
  <c r="H385" i="44" s="1"/>
  <c r="E385" i="44"/>
  <c r="G385" i="44" s="1"/>
  <c r="A386" i="44"/>
  <c r="B385" i="44"/>
  <c r="E386" i="44" l="1"/>
  <c r="G386" i="44" s="1"/>
  <c r="F386" i="44"/>
  <c r="H386" i="44" s="1"/>
  <c r="B386" i="44"/>
  <c r="A387" i="44"/>
  <c r="E387" i="44" l="1"/>
  <c r="G387" i="44" s="1"/>
  <c r="F387" i="44"/>
  <c r="H387" i="44" s="1"/>
  <c r="B387" i="44"/>
  <c r="A388" i="44"/>
  <c r="F388" i="44" l="1"/>
  <c r="H388" i="44" s="1"/>
  <c r="E388" i="44"/>
  <c r="G388" i="44" s="1"/>
  <c r="A389" i="44"/>
  <c r="B388" i="44"/>
  <c r="F389" i="44" l="1"/>
  <c r="H389" i="44" s="1"/>
  <c r="E389" i="44"/>
  <c r="G389" i="44" s="1"/>
  <c r="A390" i="44"/>
  <c r="B389" i="44"/>
  <c r="E390" i="44" l="1"/>
  <c r="F390" i="44"/>
  <c r="B390" i="44"/>
  <c r="G390" i="44"/>
  <c r="A391" i="44"/>
  <c r="H390" i="44"/>
  <c r="F391" i="44" l="1"/>
  <c r="H391" i="44" s="1"/>
  <c r="E391" i="44"/>
  <c r="G391" i="44" s="1"/>
  <c r="B391" i="44"/>
  <c r="A392" i="44"/>
  <c r="F392" i="44" l="1"/>
  <c r="H392" i="44" s="1"/>
  <c r="E392" i="44"/>
  <c r="G392" i="44" s="1"/>
  <c r="B392" i="44"/>
  <c r="A393" i="44"/>
  <c r="F393" i="44" l="1"/>
  <c r="H393" i="44" s="1"/>
  <c r="E393" i="44"/>
  <c r="G393" i="44" s="1"/>
  <c r="B393" i="44"/>
  <c r="A394" i="44"/>
  <c r="E394" i="44" l="1"/>
  <c r="G394" i="44" s="1"/>
  <c r="F394" i="44"/>
  <c r="H394" i="44" s="1"/>
  <c r="A395" i="44"/>
  <c r="B394" i="44"/>
  <c r="E395" i="44" l="1"/>
  <c r="G395" i="44" s="1"/>
  <c r="F395" i="44"/>
  <c r="H395" i="44" s="1"/>
  <c r="B395" i="44"/>
  <c r="A396" i="44"/>
  <c r="F396" i="44" l="1"/>
  <c r="H396" i="44" s="1"/>
  <c r="E396" i="44"/>
  <c r="G396" i="44" s="1"/>
  <c r="A397" i="44"/>
  <c r="B396" i="44"/>
  <c r="E397" i="44" l="1"/>
  <c r="G397" i="44" s="1"/>
  <c r="F397" i="44"/>
  <c r="H397" i="44" s="1"/>
  <c r="A398" i="44"/>
  <c r="B397" i="44"/>
  <c r="E398" i="44" l="1"/>
  <c r="G398" i="44" s="1"/>
  <c r="F398" i="44"/>
  <c r="H398" i="44" s="1"/>
  <c r="B398" i="44"/>
  <c r="A399" i="44"/>
  <c r="E399" i="44" l="1"/>
  <c r="G399" i="44" s="1"/>
  <c r="F399" i="44"/>
  <c r="H399" i="44" s="1"/>
  <c r="B399" i="44"/>
  <c r="A400" i="44"/>
  <c r="F400" i="44" l="1"/>
  <c r="H400" i="44" s="1"/>
  <c r="E400" i="44"/>
  <c r="G400" i="44" s="1"/>
  <c r="A401" i="44"/>
  <c r="B400" i="44"/>
  <c r="F401" i="44" l="1"/>
  <c r="H401" i="44" s="1"/>
  <c r="E401" i="44"/>
  <c r="G401" i="44" s="1"/>
  <c r="B401" i="44"/>
  <c r="A402" i="44"/>
  <c r="E402" i="44" l="1"/>
  <c r="G402" i="44" s="1"/>
  <c r="F402" i="44"/>
  <c r="H402" i="44" s="1"/>
  <c r="A403" i="44"/>
  <c r="B402" i="44"/>
  <c r="F403" i="44" l="1"/>
  <c r="H403" i="44" s="1"/>
  <c r="E403" i="44"/>
  <c r="G403" i="44" s="1"/>
  <c r="A404" i="44"/>
  <c r="B403" i="44"/>
  <c r="F404" i="44" l="1"/>
  <c r="H404" i="44" s="1"/>
  <c r="E404" i="44"/>
  <c r="G404" i="44" s="1"/>
  <c r="A405" i="44"/>
  <c r="B404" i="44"/>
  <c r="F405" i="44" l="1"/>
  <c r="H405" i="44" s="1"/>
  <c r="E405" i="44"/>
  <c r="G405" i="44" s="1"/>
  <c r="A406" i="44"/>
  <c r="B405" i="44"/>
  <c r="E406" i="44" l="1"/>
  <c r="G406" i="44" s="1"/>
  <c r="F406" i="44"/>
  <c r="H406" i="44" s="1"/>
  <c r="B406" i="44"/>
  <c r="A407" i="44"/>
  <c r="E407" i="44" l="1"/>
  <c r="G407" i="44" s="1"/>
  <c r="F407" i="44"/>
  <c r="H407" i="44" s="1"/>
  <c r="B407" i="44"/>
  <c r="A408" i="44"/>
  <c r="F408" i="44" l="1"/>
  <c r="H408" i="44" s="1"/>
  <c r="E408" i="44"/>
  <c r="G408" i="44" s="1"/>
  <c r="A409" i="44"/>
  <c r="B408" i="44"/>
  <c r="F409" i="44" l="1"/>
  <c r="H409" i="44" s="1"/>
  <c r="E409" i="44"/>
  <c r="G409" i="44" s="1"/>
  <c r="A410" i="44"/>
  <c r="B409" i="44"/>
  <c r="E410" i="44" l="1"/>
  <c r="G410" i="44" s="1"/>
  <c r="F410" i="44"/>
  <c r="H410" i="44" s="1"/>
  <c r="A411" i="44"/>
  <c r="B410" i="44"/>
  <c r="E411" i="44" l="1"/>
  <c r="G411" i="44" s="1"/>
  <c r="F411" i="44"/>
  <c r="H411" i="44" s="1"/>
  <c r="A412" i="44"/>
  <c r="B411" i="44"/>
  <c r="F412" i="44" l="1"/>
  <c r="H412" i="44" s="1"/>
  <c r="E412" i="44"/>
  <c r="G412" i="44" s="1"/>
  <c r="A413" i="44"/>
  <c r="B412" i="44"/>
  <c r="F413" i="44" l="1"/>
  <c r="H413" i="44" s="1"/>
  <c r="E413" i="44"/>
  <c r="G413" i="44" s="1"/>
  <c r="B413" i="44"/>
  <c r="J24" i="2" l="1"/>
  <c r="J25" i="2"/>
  <c r="J26" i="2"/>
  <c r="J27" i="2"/>
  <c r="J28" i="2"/>
  <c r="E204" i="2" l="1"/>
  <c r="F204" i="2"/>
  <c r="G204" i="2"/>
  <c r="H204" i="2"/>
  <c r="E22" i="35" l="1"/>
  <c r="B11" i="35"/>
  <c r="J79" i="35" l="1"/>
  <c r="K79" i="35" s="1"/>
  <c r="J78" i="35"/>
  <c r="K78" i="35" s="1"/>
  <c r="J77" i="35"/>
  <c r="K77" i="35" s="1"/>
  <c r="J76" i="35"/>
  <c r="J85" i="35"/>
  <c r="J56" i="35"/>
  <c r="J57" i="35"/>
  <c r="J86" i="35"/>
  <c r="J60" i="35"/>
  <c r="J61" i="35"/>
  <c r="K61" i="35" s="1"/>
  <c r="J87" i="35"/>
  <c r="K87" i="35" s="1"/>
  <c r="J59" i="35"/>
  <c r="J67" i="35"/>
  <c r="J84" i="35"/>
  <c r="J66" i="35"/>
  <c r="K66" i="35" s="1"/>
  <c r="J65" i="35"/>
  <c r="K65" i="35" s="1"/>
  <c r="J62" i="35"/>
  <c r="K62" i="35" s="1"/>
  <c r="J64" i="35"/>
  <c r="K64" i="35" s="1"/>
  <c r="J63" i="35"/>
  <c r="K63" i="35" s="1"/>
  <c r="J58" i="35"/>
  <c r="J97" i="35"/>
  <c r="J101" i="35"/>
  <c r="J96" i="35"/>
  <c r="J98" i="35"/>
  <c r="J99" i="35"/>
  <c r="J100" i="35"/>
  <c r="J50" i="35"/>
  <c r="J88" i="35"/>
  <c r="J52" i="35"/>
  <c r="J53" i="35"/>
  <c r="J74" i="35"/>
  <c r="J51" i="35"/>
  <c r="J83" i="35"/>
  <c r="J54" i="35"/>
  <c r="J75" i="35"/>
  <c r="J82" i="35"/>
  <c r="J81" i="35"/>
  <c r="J49" i="35"/>
  <c r="E31" i="35"/>
  <c r="E44" i="35" l="1"/>
  <c r="E91" i="35" l="1"/>
  <c r="E103" i="35" s="1"/>
  <c r="E105" i="35" l="1"/>
  <c r="D58" i="5" l="1"/>
  <c r="B3" i="35" l="1"/>
  <c r="E6" i="29" l="1"/>
  <c r="E5" i="29" s="1"/>
  <c r="E7" i="29"/>
  <c r="G26" i="10"/>
  <c r="J26" i="10"/>
  <c r="I26" i="10"/>
  <c r="H26" i="10"/>
  <c r="F26" i="10"/>
  <c r="F203" i="28"/>
  <c r="F202" i="28"/>
  <c r="F87" i="28"/>
  <c r="H64" i="2"/>
  <c r="G64" i="2"/>
  <c r="F64" i="2"/>
  <c r="E64" i="2"/>
  <c r="D64" i="2"/>
  <c r="J63" i="2"/>
  <c r="J62" i="2"/>
  <c r="H35" i="2"/>
  <c r="G35" i="2"/>
  <c r="F35" i="2"/>
  <c r="E35" i="2"/>
  <c r="D35" i="2"/>
  <c r="J34" i="2"/>
  <c r="J33" i="2"/>
  <c r="D59" i="5"/>
  <c r="F102" i="4"/>
  <c r="G102" i="4"/>
  <c r="H102" i="4"/>
  <c r="I102" i="4"/>
  <c r="E102" i="4"/>
  <c r="D7" i="2"/>
  <c r="J64" i="2" l="1"/>
  <c r="J35" i="2"/>
  <c r="B5" i="35"/>
  <c r="E54" i="11" l="1"/>
  <c r="F54" i="11"/>
  <c r="G54" i="11"/>
  <c r="H54" i="11"/>
  <c r="D54" i="11"/>
  <c r="F33" i="28" l="1"/>
  <c r="E59" i="5"/>
  <c r="F59" i="5"/>
  <c r="G59" i="5"/>
  <c r="H59" i="5"/>
  <c r="D52" i="5"/>
  <c r="E45" i="5"/>
  <c r="F45" i="5"/>
  <c r="G45" i="5"/>
  <c r="H45" i="5"/>
  <c r="D45" i="5"/>
  <c r="J45" i="5" l="1"/>
  <c r="J59" i="5"/>
  <c r="E32" i="28"/>
  <c r="B76" i="1" l="1"/>
  <c r="B49" i="1" s="1"/>
  <c r="H58" i="5"/>
  <c r="G58" i="5"/>
  <c r="F58" i="5"/>
  <c r="E58" i="5"/>
  <c r="J58" i="5" l="1"/>
  <c r="B22" i="1"/>
  <c r="A3" i="4"/>
  <c r="D78" i="1" l="1"/>
  <c r="E78" i="1"/>
  <c r="F78" i="1"/>
  <c r="G78" i="1"/>
  <c r="H78" i="1"/>
  <c r="D79" i="1"/>
  <c r="E79" i="1"/>
  <c r="F79" i="1"/>
  <c r="G79" i="1"/>
  <c r="H79" i="1"/>
  <c r="D80" i="1"/>
  <c r="F80" i="1"/>
  <c r="G80" i="1"/>
  <c r="H80" i="1"/>
  <c r="D81" i="1"/>
  <c r="E81" i="1"/>
  <c r="F81" i="1"/>
  <c r="G81" i="1"/>
  <c r="H81" i="1"/>
  <c r="E77" i="1"/>
  <c r="F77" i="1"/>
  <c r="G77" i="1"/>
  <c r="H77" i="1"/>
  <c r="D77" i="1"/>
  <c r="E75" i="1"/>
  <c r="F75" i="1"/>
  <c r="G75" i="1"/>
  <c r="H75" i="1"/>
  <c r="B75" i="1"/>
  <c r="B74" i="1"/>
  <c r="D69" i="1" l="1"/>
  <c r="E69" i="1"/>
  <c r="F69" i="1"/>
  <c r="G69" i="1"/>
  <c r="H69" i="1"/>
  <c r="D70" i="1"/>
  <c r="E70" i="1"/>
  <c r="F70" i="1"/>
  <c r="G70" i="1"/>
  <c r="H70" i="1"/>
  <c r="D71" i="1"/>
  <c r="E71" i="1"/>
  <c r="F71" i="1"/>
  <c r="G71" i="1"/>
  <c r="H71" i="1"/>
  <c r="D72" i="1"/>
  <c r="E72" i="1"/>
  <c r="F72" i="1"/>
  <c r="G72" i="1"/>
  <c r="H72" i="1"/>
  <c r="E68" i="1"/>
  <c r="F68" i="1"/>
  <c r="G68" i="1"/>
  <c r="H68" i="1"/>
  <c r="D68" i="1"/>
  <c r="K73" i="1" l="1"/>
  <c r="E30" i="2"/>
  <c r="F30" i="2"/>
  <c r="G30" i="2"/>
  <c r="H30" i="2"/>
  <c r="G23" i="10" l="1"/>
  <c r="H23" i="10"/>
  <c r="I23" i="10"/>
  <c r="J23" i="10"/>
  <c r="F23" i="10"/>
  <c r="G20" i="10"/>
  <c r="H20" i="10"/>
  <c r="I20" i="10"/>
  <c r="J20" i="10"/>
  <c r="F20" i="10"/>
  <c r="E170" i="2" l="1"/>
  <c r="G169" i="2"/>
  <c r="G170" i="2" s="1"/>
  <c r="H169" i="2"/>
  <c r="H170" i="2" s="1"/>
  <c r="F75" i="4"/>
  <c r="E75" i="4"/>
  <c r="D170" i="2"/>
  <c r="I75" i="4" l="1"/>
  <c r="H75" i="4"/>
  <c r="F89" i="4" l="1"/>
  <c r="F91" i="4" s="1"/>
  <c r="G89" i="4"/>
  <c r="G91" i="4" s="1"/>
  <c r="H89" i="4"/>
  <c r="H91" i="4" s="1"/>
  <c r="I89" i="4"/>
  <c r="I91" i="4" s="1"/>
  <c r="C43" i="19" l="1"/>
  <c r="C42" i="19"/>
  <c r="C40" i="19"/>
  <c r="C39" i="19"/>
  <c r="C37" i="19"/>
  <c r="C36" i="19"/>
  <c r="C34" i="19"/>
  <c r="C33" i="19"/>
  <c r="C14" i="4" l="1"/>
  <c r="C16" i="4"/>
  <c r="C17" i="4"/>
  <c r="C19" i="4"/>
  <c r="D30" i="2" l="1"/>
  <c r="H88" i="2" l="1"/>
  <c r="G88" i="2"/>
  <c r="F88" i="2"/>
  <c r="E88" i="2"/>
  <c r="D88" i="2"/>
  <c r="J87" i="2"/>
  <c r="J86" i="2"/>
  <c r="H59" i="2"/>
  <c r="G59" i="2"/>
  <c r="F59" i="2"/>
  <c r="E59" i="2"/>
  <c r="D59" i="2"/>
  <c r="J58" i="2"/>
  <c r="J57" i="2"/>
  <c r="J88" i="2" l="1"/>
  <c r="J59" i="2"/>
  <c r="J30" i="2"/>
  <c r="J29" i="2" l="1"/>
  <c r="J23" i="2"/>
  <c r="B3" i="1" l="1"/>
  <c r="G69" i="4" l="1"/>
  <c r="H69" i="4"/>
  <c r="I69" i="4"/>
  <c r="E89" i="4"/>
  <c r="E91" i="4" s="1"/>
  <c r="D58" i="11" l="1"/>
  <c r="F68" i="4" l="1"/>
  <c r="G68" i="4"/>
  <c r="H68" i="4"/>
  <c r="I68" i="4"/>
  <c r="C8" i="28" l="1"/>
  <c r="H36" i="10" s="1"/>
  <c r="E17" i="2"/>
  <c r="E38" i="2" s="1"/>
  <c r="E51" i="2"/>
  <c r="E67" i="2" s="1"/>
  <c r="E80" i="2"/>
  <c r="D6" i="5"/>
  <c r="C8" i="13"/>
  <c r="E34" i="28" s="1"/>
  <c r="F17" i="2"/>
  <c r="F38" i="2" s="1"/>
  <c r="F51" i="2"/>
  <c r="F67" i="2" s="1"/>
  <c r="F80" i="2"/>
  <c r="G17" i="2"/>
  <c r="G38" i="2" s="1"/>
  <c r="G51" i="2"/>
  <c r="G67" i="2" s="1"/>
  <c r="G80" i="2"/>
  <c r="H17" i="2"/>
  <c r="H38" i="2" s="1"/>
  <c r="H51" i="2"/>
  <c r="H67" i="2" s="1"/>
  <c r="H80" i="2"/>
  <c r="D17" i="2"/>
  <c r="D51" i="2"/>
  <c r="D67" i="2" s="1"/>
  <c r="D80" i="2"/>
  <c r="D54" i="28"/>
  <c r="E54" i="28" s="1"/>
  <c r="F54" i="28" s="1"/>
  <c r="O87" i="28" s="1"/>
  <c r="P62" i="28"/>
  <c r="H71" i="5"/>
  <c r="G71" i="5"/>
  <c r="F71" i="5"/>
  <c r="E71" i="5"/>
  <c r="D71" i="5"/>
  <c r="H22" i="5"/>
  <c r="G22" i="5"/>
  <c r="F22" i="5"/>
  <c r="E22" i="5"/>
  <c r="D22" i="5"/>
  <c r="D41" i="28"/>
  <c r="E41" i="28" s="1"/>
  <c r="F41" i="28" s="1"/>
  <c r="F64" i="28"/>
  <c r="F65" i="28"/>
  <c r="F66" i="28"/>
  <c r="F67" i="28"/>
  <c r="F68" i="28"/>
  <c r="F69" i="28"/>
  <c r="F70" i="28"/>
  <c r="F71" i="28"/>
  <c r="F72" i="28"/>
  <c r="F73" i="28"/>
  <c r="F74" i="28"/>
  <c r="F75" i="28"/>
  <c r="F76" i="28"/>
  <c r="F77" i="28"/>
  <c r="F78" i="28"/>
  <c r="F79" i="28"/>
  <c r="F80" i="28"/>
  <c r="F81" i="28"/>
  <c r="F82" i="28"/>
  <c r="F83" i="28"/>
  <c r="F84" i="28"/>
  <c r="F85" i="28"/>
  <c r="F86" i="28"/>
  <c r="F88" i="28"/>
  <c r="F89" i="28"/>
  <c r="F90" i="28"/>
  <c r="F91" i="28"/>
  <c r="F63" i="28"/>
  <c r="K20" i="28"/>
  <c r="K19" i="28"/>
  <c r="L19" i="28" s="1"/>
  <c r="M19" i="28" s="1"/>
  <c r="N19" i="28" s="1"/>
  <c r="K21" i="28"/>
  <c r="L21" i="28" s="1"/>
  <c r="M21" i="28" s="1"/>
  <c r="N21" i="28" s="1"/>
  <c r="H110" i="2"/>
  <c r="G110" i="2"/>
  <c r="F110" i="2"/>
  <c r="E110" i="2"/>
  <c r="D110" i="2"/>
  <c r="H7" i="1"/>
  <c r="G7" i="1"/>
  <c r="F7" i="1"/>
  <c r="E7" i="1"/>
  <c r="D7" i="1"/>
  <c r="H7" i="19"/>
  <c r="G7" i="19"/>
  <c r="F7" i="19"/>
  <c r="E7" i="19"/>
  <c r="D7" i="19"/>
  <c r="H7" i="11"/>
  <c r="G7" i="11"/>
  <c r="F7" i="11"/>
  <c r="E7" i="11"/>
  <c r="D7" i="11"/>
  <c r="I7" i="29"/>
  <c r="H7" i="29"/>
  <c r="G7" i="29"/>
  <c r="F7" i="29"/>
  <c r="J7" i="10"/>
  <c r="I7" i="10"/>
  <c r="H7" i="10"/>
  <c r="G7" i="10"/>
  <c r="F7" i="10"/>
  <c r="H7" i="5"/>
  <c r="G7" i="5"/>
  <c r="F7" i="5"/>
  <c r="E7" i="5"/>
  <c r="D7" i="5"/>
  <c r="H7" i="2"/>
  <c r="G7" i="2"/>
  <c r="F7" i="2"/>
  <c r="E7" i="2"/>
  <c r="I7" i="4"/>
  <c r="H7" i="4"/>
  <c r="F7" i="4"/>
  <c r="E7" i="4"/>
  <c r="E6" i="4"/>
  <c r="D6" i="1"/>
  <c r="G7" i="4"/>
  <c r="E58" i="11"/>
  <c r="F58" i="11"/>
  <c r="G58" i="11"/>
  <c r="H58" i="11"/>
  <c r="A3" i="21"/>
  <c r="A3" i="1"/>
  <c r="A3" i="14"/>
  <c r="A3" i="2"/>
  <c r="A3" i="5"/>
  <c r="A3" i="10"/>
  <c r="A3" i="11"/>
  <c r="A3" i="19"/>
  <c r="A3" i="28"/>
  <c r="D51" i="5"/>
  <c r="D44" i="5"/>
  <c r="D97" i="28"/>
  <c r="E97" i="28" s="1"/>
  <c r="F97" i="28" s="1"/>
  <c r="G97" i="28" s="1"/>
  <c r="H97" i="28" s="1"/>
  <c r="I97" i="28" s="1"/>
  <c r="I62" i="28"/>
  <c r="A2" i="14"/>
  <c r="A2" i="1"/>
  <c r="A2" i="4"/>
  <c r="A2" i="2"/>
  <c r="A2" i="5"/>
  <c r="A2" i="10"/>
  <c r="A2" i="29"/>
  <c r="A2" i="11"/>
  <c r="A2" i="19"/>
  <c r="A2" i="21"/>
  <c r="A2" i="28"/>
  <c r="F72" i="4"/>
  <c r="G72" i="4"/>
  <c r="H72" i="4"/>
  <c r="I72" i="4"/>
  <c r="E72" i="4"/>
  <c r="E81" i="4" s="1"/>
  <c r="E93" i="4" s="1"/>
  <c r="F196" i="28"/>
  <c r="F195" i="28"/>
  <c r="A3" i="13"/>
  <c r="D60" i="19"/>
  <c r="D62" i="19" s="1"/>
  <c r="E60" i="19"/>
  <c r="E62" i="19" s="1"/>
  <c r="F60" i="19"/>
  <c r="F62" i="19" s="1"/>
  <c r="G60" i="19"/>
  <c r="G62" i="19" s="1"/>
  <c r="H60" i="19"/>
  <c r="H62" i="19" s="1"/>
  <c r="D67" i="19"/>
  <c r="E67" i="19"/>
  <c r="F67" i="19"/>
  <c r="G67" i="19"/>
  <c r="H67" i="19"/>
  <c r="G43" i="11"/>
  <c r="G62" i="11" s="1"/>
  <c r="H43" i="11"/>
  <c r="H62" i="11" s="1"/>
  <c r="E31" i="11"/>
  <c r="E32" i="11" s="1"/>
  <c r="F31" i="11"/>
  <c r="F32" i="11" s="1"/>
  <c r="D31" i="11"/>
  <c r="D32" i="11" s="1"/>
  <c r="E39" i="11"/>
  <c r="E40" i="11" s="1"/>
  <c r="F39" i="11"/>
  <c r="F40" i="11" s="1"/>
  <c r="D39" i="11"/>
  <c r="D40" i="11" s="1"/>
  <c r="E44" i="5"/>
  <c r="F44" i="5"/>
  <c r="G44" i="5"/>
  <c r="H44" i="5"/>
  <c r="D122" i="2"/>
  <c r="D131" i="2" s="1"/>
  <c r="D172" i="2" s="1"/>
  <c r="E131" i="2"/>
  <c r="F131" i="2"/>
  <c r="G122" i="2"/>
  <c r="G131" i="2" s="1"/>
  <c r="H122" i="2"/>
  <c r="H131" i="2" s="1"/>
  <c r="H78" i="2"/>
  <c r="G78" i="2"/>
  <c r="F78" i="2"/>
  <c r="E78" i="2"/>
  <c r="D78" i="2"/>
  <c r="D82" i="2" s="1"/>
  <c r="J77" i="2"/>
  <c r="J76" i="2"/>
  <c r="B47" i="1"/>
  <c r="D16" i="28"/>
  <c r="E16" i="28"/>
  <c r="F16" i="28"/>
  <c r="G16" i="28"/>
  <c r="H16" i="28"/>
  <c r="I16" i="28"/>
  <c r="J16" i="28"/>
  <c r="K16" i="28"/>
  <c r="L16" i="28"/>
  <c r="M16" i="28"/>
  <c r="N16" i="28"/>
  <c r="C16" i="28"/>
  <c r="C7" i="28"/>
  <c r="D52" i="19"/>
  <c r="E52" i="19" s="1"/>
  <c r="F52" i="19" s="1"/>
  <c r="F51" i="19" s="1"/>
  <c r="D109" i="2"/>
  <c r="D108" i="2" s="1"/>
  <c r="F201" i="28"/>
  <c r="F200" i="28"/>
  <c r="F199" i="28"/>
  <c r="E228" i="28"/>
  <c r="F198" i="28" s="1"/>
  <c r="B228" i="28"/>
  <c r="F197" i="28" s="1"/>
  <c r="G137" i="28"/>
  <c r="D15" i="2"/>
  <c r="B30" i="1"/>
  <c r="D40" i="19"/>
  <c r="D39" i="19"/>
  <c r="H16" i="11"/>
  <c r="G16" i="11"/>
  <c r="F16" i="11"/>
  <c r="E16" i="11"/>
  <c r="D16" i="11"/>
  <c r="I20" i="29"/>
  <c r="H20" i="29"/>
  <c r="G20" i="29"/>
  <c r="E20" i="29"/>
  <c r="F17" i="10"/>
  <c r="I6" i="5"/>
  <c r="I5" i="5" s="1"/>
  <c r="H49" i="2"/>
  <c r="G49" i="2"/>
  <c r="F49" i="2"/>
  <c r="E49" i="2"/>
  <c r="D49" i="2"/>
  <c r="J48" i="2"/>
  <c r="J47" i="2"/>
  <c r="H15" i="2"/>
  <c r="G15" i="2"/>
  <c r="F15" i="2"/>
  <c r="E15" i="2"/>
  <c r="J14" i="2"/>
  <c r="J13" i="2"/>
  <c r="I6" i="2"/>
  <c r="I56" i="4"/>
  <c r="H56" i="4"/>
  <c r="F56" i="4"/>
  <c r="E56" i="4"/>
  <c r="I37" i="4"/>
  <c r="H37" i="4"/>
  <c r="G37" i="4"/>
  <c r="F37" i="4"/>
  <c r="E37" i="4"/>
  <c r="B59" i="1"/>
  <c r="B56" i="1"/>
  <c r="B55" i="1"/>
  <c r="B40" i="1"/>
  <c r="B39" i="1"/>
  <c r="B32" i="1"/>
  <c r="B31" i="1"/>
  <c r="B29" i="1"/>
  <c r="B28" i="1"/>
  <c r="B13" i="1"/>
  <c r="B12" i="1"/>
  <c r="J6" i="1"/>
  <c r="G135" i="28"/>
  <c r="G133" i="28"/>
  <c r="G132" i="28"/>
  <c r="G131" i="28"/>
  <c r="D6" i="19"/>
  <c r="D5" i="19" s="1"/>
  <c r="D6" i="2"/>
  <c r="D6" i="11"/>
  <c r="D5" i="11" s="1"/>
  <c r="F6" i="10"/>
  <c r="F5" i="10" s="1"/>
  <c r="B21" i="1"/>
  <c r="H21" i="4"/>
  <c r="I21" i="4"/>
  <c r="E58" i="4" l="1"/>
  <c r="E60" i="4" s="1"/>
  <c r="E43" i="11"/>
  <c r="E62" i="11" s="1"/>
  <c r="D43" i="11"/>
  <c r="D62" i="11" s="1"/>
  <c r="F43" i="11"/>
  <c r="F62" i="11" s="1"/>
  <c r="F34" i="28"/>
  <c r="G34" i="28"/>
  <c r="H34" i="28"/>
  <c r="I34" i="28"/>
  <c r="J34" i="28"/>
  <c r="K34" i="28"/>
  <c r="L34" i="28"/>
  <c r="F30" i="10"/>
  <c r="E134" i="28"/>
  <c r="F134" i="28" s="1"/>
  <c r="C15" i="4"/>
  <c r="B15" i="4"/>
  <c r="C13" i="4"/>
  <c r="F36" i="28"/>
  <c r="F35" i="28"/>
  <c r="E35" i="28"/>
  <c r="E36" i="28"/>
  <c r="H87" i="28"/>
  <c r="H89" i="28"/>
  <c r="D12" i="5"/>
  <c r="J22" i="5"/>
  <c r="J71" i="5"/>
  <c r="E131" i="28"/>
  <c r="F131" i="28" s="1"/>
  <c r="D38" i="2"/>
  <c r="D19" i="2"/>
  <c r="B4" i="35"/>
  <c r="J44" i="5"/>
  <c r="L20" i="28"/>
  <c r="F24" i="10"/>
  <c r="B45" i="2"/>
  <c r="B11" i="2"/>
  <c r="E6" i="19"/>
  <c r="E5" i="19" s="1"/>
  <c r="D51" i="19"/>
  <c r="D5" i="1"/>
  <c r="A3" i="44"/>
  <c r="A3" i="43"/>
  <c r="D5" i="2"/>
  <c r="E78" i="4"/>
  <c r="E79" i="4" s="1"/>
  <c r="E203" i="28"/>
  <c r="J62" i="28"/>
  <c r="J81" i="28" s="1"/>
  <c r="I87" i="28"/>
  <c r="Q62" i="28"/>
  <c r="Q76" i="28" s="1"/>
  <c r="P87" i="28"/>
  <c r="E19" i="2"/>
  <c r="C173" i="2"/>
  <c r="H78" i="4"/>
  <c r="H79" i="4" s="1"/>
  <c r="I81" i="4"/>
  <c r="I93" i="4" s="1"/>
  <c r="I78" i="4"/>
  <c r="I79" i="4" s="1"/>
  <c r="G81" i="4"/>
  <c r="G93" i="4" s="1"/>
  <c r="F78" i="4"/>
  <c r="F79" i="4" s="1"/>
  <c r="E6" i="5"/>
  <c r="E12" i="5" s="1"/>
  <c r="E67" i="1" s="1"/>
  <c r="D5" i="5"/>
  <c r="D90" i="2"/>
  <c r="D91" i="2"/>
  <c r="G90" i="2"/>
  <c r="G91" i="2"/>
  <c r="E91" i="2"/>
  <c r="E90" i="2"/>
  <c r="H91" i="2"/>
  <c r="H90" i="2"/>
  <c r="F90" i="2"/>
  <c r="F91" i="2"/>
  <c r="D66" i="2"/>
  <c r="G66" i="2"/>
  <c r="E66" i="2"/>
  <c r="H66" i="2"/>
  <c r="F66" i="2"/>
  <c r="F37" i="2"/>
  <c r="H37" i="2"/>
  <c r="D37" i="2"/>
  <c r="G37" i="2"/>
  <c r="E37" i="2"/>
  <c r="F6" i="4"/>
  <c r="F66" i="4" s="1"/>
  <c r="H172" i="2"/>
  <c r="H206" i="2" s="1"/>
  <c r="F82" i="2"/>
  <c r="G42" i="11"/>
  <c r="G61" i="11" s="1"/>
  <c r="D42" i="11"/>
  <c r="D61" i="11" s="1"/>
  <c r="F42" i="11"/>
  <c r="F61" i="11" s="1"/>
  <c r="E42" i="11"/>
  <c r="E61" i="11" s="1"/>
  <c r="H42" i="11"/>
  <c r="H61" i="11" s="1"/>
  <c r="B20" i="1"/>
  <c r="H20" i="2"/>
  <c r="H42" i="2" s="1"/>
  <c r="J49" i="2"/>
  <c r="F19" i="2"/>
  <c r="H83" i="2"/>
  <c r="G83" i="2"/>
  <c r="E83" i="2"/>
  <c r="J15" i="2"/>
  <c r="J78" i="2"/>
  <c r="D206" i="2"/>
  <c r="G20" i="2"/>
  <c r="G42" i="2" s="1"/>
  <c r="E20" i="2"/>
  <c r="E42" i="2" s="1"/>
  <c r="F83" i="2"/>
  <c r="H54" i="2"/>
  <c r="H71" i="2" s="1"/>
  <c r="F54" i="2"/>
  <c r="F6" i="29"/>
  <c r="F5" i="29" s="1"/>
  <c r="D54" i="2"/>
  <c r="D53" i="2"/>
  <c r="G6" i="10"/>
  <c r="G5" i="10" s="1"/>
  <c r="E6" i="2"/>
  <c r="E175" i="2" s="1"/>
  <c r="E6" i="11"/>
  <c r="E51" i="19"/>
  <c r="F32" i="28"/>
  <c r="E66" i="4"/>
  <c r="E5" i="4"/>
  <c r="G52" i="19"/>
  <c r="G33" i="28"/>
  <c r="G36" i="28" s="1"/>
  <c r="E109" i="2"/>
  <c r="E108" i="2" s="1"/>
  <c r="H57" i="29"/>
  <c r="G82" i="2"/>
  <c r="F57" i="29"/>
  <c r="E6" i="1"/>
  <c r="F6" i="1" s="1"/>
  <c r="F5" i="1" s="1"/>
  <c r="G54" i="28"/>
  <c r="H54" i="28" s="1"/>
  <c r="O79" i="28"/>
  <c r="P91" i="28"/>
  <c r="O85" i="28"/>
  <c r="P77" i="28"/>
  <c r="O77" i="28"/>
  <c r="O89" i="28"/>
  <c r="O88" i="28"/>
  <c r="O82" i="28"/>
  <c r="O86" i="28"/>
  <c r="P78" i="28"/>
  <c r="P84" i="28"/>
  <c r="P90" i="28"/>
  <c r="O81" i="28"/>
  <c r="O91" i="28"/>
  <c r="P88" i="28"/>
  <c r="O84" i="28"/>
  <c r="O83" i="28"/>
  <c r="P89" i="28"/>
  <c r="P85" i="28"/>
  <c r="O80" i="28"/>
  <c r="O78" i="28"/>
  <c r="P83" i="28"/>
  <c r="P86" i="28"/>
  <c r="P82" i="28"/>
  <c r="P81" i="28"/>
  <c r="P80" i="28"/>
  <c r="O90" i="28"/>
  <c r="P79" i="28"/>
  <c r="H77" i="28"/>
  <c r="H86" i="28"/>
  <c r="H78" i="28"/>
  <c r="I88" i="28"/>
  <c r="I79" i="28"/>
  <c r="H85" i="28"/>
  <c r="I86" i="28"/>
  <c r="I78" i="28"/>
  <c r="G41" i="28"/>
  <c r="H41" i="28" s="1"/>
  <c r="I41" i="28" s="1"/>
  <c r="H84" i="28"/>
  <c r="I85" i="28"/>
  <c r="H83" i="28"/>
  <c r="I84" i="28"/>
  <c r="H81" i="28"/>
  <c r="H91" i="28"/>
  <c r="H82" i="28"/>
  <c r="I77" i="28"/>
  <c r="I83" i="28"/>
  <c r="H90" i="28"/>
  <c r="I91" i="28"/>
  <c r="H80" i="28"/>
  <c r="I90" i="28"/>
  <c r="I81" i="28"/>
  <c r="H88" i="28"/>
  <c r="H79" i="28"/>
  <c r="I89" i="28"/>
  <c r="I80" i="28"/>
  <c r="I82" i="28"/>
  <c r="H58" i="4"/>
  <c r="H60" i="4" s="1"/>
  <c r="F58" i="4"/>
  <c r="F60" i="4" s="1"/>
  <c r="I58" i="4"/>
  <c r="I60" i="4" s="1"/>
  <c r="B48" i="1"/>
  <c r="G19" i="2"/>
  <c r="H82" i="2"/>
  <c r="E136" i="28"/>
  <c r="F136" i="28" s="1"/>
  <c r="D20" i="2"/>
  <c r="H19" i="2"/>
  <c r="E82" i="2"/>
  <c r="D83" i="2"/>
  <c r="D95" i="2" s="1"/>
  <c r="H53" i="2"/>
  <c r="J36" i="10"/>
  <c r="I36" i="10"/>
  <c r="F53" i="2"/>
  <c r="E135" i="28"/>
  <c r="F135" i="28" s="1"/>
  <c r="E202" i="28"/>
  <c r="E199" i="28"/>
  <c r="G36" i="10"/>
  <c r="F20" i="2"/>
  <c r="F42" i="2" s="1"/>
  <c r="G54" i="2"/>
  <c r="G71" i="2" s="1"/>
  <c r="G53" i="2"/>
  <c r="E196" i="28"/>
  <c r="B128" i="28"/>
  <c r="E195" i="28"/>
  <c r="E201" i="28"/>
  <c r="E138" i="28"/>
  <c r="F138" i="28" s="1"/>
  <c r="E137" i="28"/>
  <c r="F137" i="28" s="1"/>
  <c r="E198" i="28"/>
  <c r="E200" i="28"/>
  <c r="E132" i="28"/>
  <c r="F132" i="28" s="1"/>
  <c r="E133" i="28"/>
  <c r="F133" i="28" s="1"/>
  <c r="E197" i="28"/>
  <c r="E54" i="2"/>
  <c r="E53" i="2"/>
  <c r="G57" i="29"/>
  <c r="F36" i="10"/>
  <c r="I57" i="29"/>
  <c r="E57" i="29"/>
  <c r="D175" i="2" l="1"/>
  <c r="D176" i="2" s="1"/>
  <c r="B135" i="28"/>
  <c r="B136" i="28"/>
  <c r="B137" i="28"/>
  <c r="B19" i="5" s="1"/>
  <c r="B73" i="1" s="1"/>
  <c r="B134" i="28"/>
  <c r="B16" i="5" s="1"/>
  <c r="B70" i="1" s="1"/>
  <c r="B138" i="28"/>
  <c r="B20" i="5" s="1"/>
  <c r="B139" i="28"/>
  <c r="B21" i="5" s="1"/>
  <c r="B132" i="28"/>
  <c r="B14" i="5" s="1"/>
  <c r="B68" i="1" s="1"/>
  <c r="B133" i="28"/>
  <c r="B15" i="5" s="1"/>
  <c r="B69" i="1" s="1"/>
  <c r="G35" i="28"/>
  <c r="F6" i="19"/>
  <c r="F5" i="19" s="1"/>
  <c r="D67" i="1"/>
  <c r="C19" i="5"/>
  <c r="C20" i="5"/>
  <c r="F6" i="5"/>
  <c r="I15" i="5" s="1"/>
  <c r="J77" i="28"/>
  <c r="E26" i="10"/>
  <c r="C38" i="2"/>
  <c r="C67" i="2"/>
  <c r="C66" i="2"/>
  <c r="C24" i="2"/>
  <c r="C25" i="2"/>
  <c r="C26" i="2"/>
  <c r="C27" i="2"/>
  <c r="C28" i="2"/>
  <c r="C37" i="2"/>
  <c r="P331" i="28"/>
  <c r="P339" i="28"/>
  <c r="P321" i="28"/>
  <c r="P334" i="28"/>
  <c r="P342" i="28"/>
  <c r="P318" i="28"/>
  <c r="P326" i="28"/>
  <c r="P337" i="28"/>
  <c r="P323" i="28"/>
  <c r="P332" i="28"/>
  <c r="P340" i="28"/>
  <c r="P320" i="28"/>
  <c r="P328" i="28"/>
  <c r="P335" i="28"/>
  <c r="P343" i="28"/>
  <c r="P317" i="28"/>
  <c r="P325" i="28"/>
  <c r="P322" i="28"/>
  <c r="P341" i="28"/>
  <c r="P327" i="28"/>
  <c r="P336" i="28"/>
  <c r="P316" i="28"/>
  <c r="P315" i="28"/>
  <c r="P329" i="28"/>
  <c r="P338" i="28"/>
  <c r="P333" i="28"/>
  <c r="P319" i="28"/>
  <c r="P324" i="28"/>
  <c r="P330" i="28"/>
  <c r="O334" i="28"/>
  <c r="O342" i="28"/>
  <c r="O318" i="28"/>
  <c r="O326" i="28"/>
  <c r="O337" i="28"/>
  <c r="O323" i="28"/>
  <c r="O332" i="28"/>
  <c r="O340" i="28"/>
  <c r="O329" i="28"/>
  <c r="O320" i="28"/>
  <c r="O328" i="28"/>
  <c r="O335" i="28"/>
  <c r="O343" i="28"/>
  <c r="O317" i="28"/>
  <c r="O325" i="28"/>
  <c r="O315" i="28"/>
  <c r="O322" i="28"/>
  <c r="O333" i="28"/>
  <c r="O341" i="28"/>
  <c r="O319" i="28"/>
  <c r="O336" i="28"/>
  <c r="O324" i="28"/>
  <c r="O339" i="28"/>
  <c r="O338" i="28"/>
  <c r="O327" i="28"/>
  <c r="O316" i="28"/>
  <c r="O321" i="28"/>
  <c r="O330" i="28"/>
  <c r="O331" i="28"/>
  <c r="R319" i="28"/>
  <c r="R327" i="28"/>
  <c r="R316" i="28"/>
  <c r="R324" i="28"/>
  <c r="R315" i="28"/>
  <c r="R321" i="28"/>
  <c r="R318" i="28"/>
  <c r="R326" i="28"/>
  <c r="R328" i="28"/>
  <c r="R317" i="28"/>
  <c r="R322" i="28"/>
  <c r="R323" i="28"/>
  <c r="R320" i="28"/>
  <c r="R325" i="28"/>
  <c r="N334" i="28"/>
  <c r="N342" i="28"/>
  <c r="N335" i="28"/>
  <c r="N343" i="28"/>
  <c r="N336" i="28"/>
  <c r="N329" i="28"/>
  <c r="N337" i="28"/>
  <c r="N338" i="28"/>
  <c r="N339" i="28"/>
  <c r="N332" i="28"/>
  <c r="N341" i="28"/>
  <c r="N330" i="28"/>
  <c r="N331" i="28"/>
  <c r="N340" i="28"/>
  <c r="N333" i="28"/>
  <c r="M335" i="28"/>
  <c r="M343" i="28"/>
  <c r="M336" i="28"/>
  <c r="M329" i="28"/>
  <c r="M337" i="28"/>
  <c r="M330" i="28"/>
  <c r="M338" i="28"/>
  <c r="M339" i="28"/>
  <c r="M340" i="28"/>
  <c r="M333" i="28"/>
  <c r="M342" i="28"/>
  <c r="M331" i="28"/>
  <c r="M332" i="28"/>
  <c r="M341" i="28"/>
  <c r="M334" i="28"/>
  <c r="G16" i="35"/>
  <c r="G17" i="35"/>
  <c r="Q336" i="28"/>
  <c r="Q316" i="28"/>
  <c r="Q324" i="28"/>
  <c r="Q315" i="28"/>
  <c r="Q331" i="28"/>
  <c r="Q339" i="28"/>
  <c r="Q321" i="28"/>
  <c r="Q334" i="28"/>
  <c r="Q342" i="28"/>
  <c r="Q318" i="28"/>
  <c r="Q326" i="28"/>
  <c r="Q337" i="28"/>
  <c r="Q323" i="28"/>
  <c r="Q332" i="28"/>
  <c r="Q340" i="28"/>
  <c r="Q320" i="28"/>
  <c r="Q328" i="28"/>
  <c r="Q325" i="28"/>
  <c r="Q319" i="28"/>
  <c r="Q335" i="28"/>
  <c r="Q343" i="28"/>
  <c r="Q317" i="28"/>
  <c r="Q338" i="28"/>
  <c r="Q322" i="28"/>
  <c r="Q333" i="28"/>
  <c r="Q341" i="28"/>
  <c r="Q327" i="28"/>
  <c r="Q329" i="28"/>
  <c r="Q330" i="28"/>
  <c r="S322" i="28"/>
  <c r="S319" i="28"/>
  <c r="S327" i="28"/>
  <c r="S316" i="28"/>
  <c r="S324" i="28"/>
  <c r="S315" i="28"/>
  <c r="S321" i="28"/>
  <c r="S318" i="28"/>
  <c r="S320" i="28"/>
  <c r="S325" i="28"/>
  <c r="S326" i="28"/>
  <c r="S323" i="28"/>
  <c r="S328" i="28"/>
  <c r="S317" i="28"/>
  <c r="F27" i="10"/>
  <c r="M20" i="28"/>
  <c r="N20" i="28" s="1"/>
  <c r="G15" i="10"/>
  <c r="G17" i="10" s="1"/>
  <c r="G24" i="10" s="1"/>
  <c r="G27" i="10" s="1"/>
  <c r="M371" i="28"/>
  <c r="M372" i="28"/>
  <c r="M373" i="28"/>
  <c r="M366" i="28"/>
  <c r="M375" i="28"/>
  <c r="M368" i="28"/>
  <c r="M376" i="28"/>
  <c r="M369" i="28"/>
  <c r="M377" i="28"/>
  <c r="M365" i="28"/>
  <c r="M367" i="28"/>
  <c r="M370" i="28"/>
  <c r="M378" i="28"/>
  <c r="M364" i="28"/>
  <c r="M374" i="28"/>
  <c r="Q355" i="28"/>
  <c r="Q371" i="28"/>
  <c r="Q354" i="28"/>
  <c r="Q358" i="28"/>
  <c r="Q362" i="28"/>
  <c r="Q366" i="28"/>
  <c r="Q370" i="28"/>
  <c r="Q378" i="28"/>
  <c r="Q363" i="28"/>
  <c r="Q375" i="28"/>
  <c r="Q352" i="28"/>
  <c r="Q356" i="28"/>
  <c r="Q360" i="28"/>
  <c r="Q364" i="28"/>
  <c r="Q368" i="28"/>
  <c r="Q372" i="28"/>
  <c r="Q376" i="28"/>
  <c r="Q367" i="28"/>
  <c r="Q351" i="28"/>
  <c r="Q359" i="28"/>
  <c r="Q350" i="28"/>
  <c r="Q353" i="28"/>
  <c r="Q357" i="28"/>
  <c r="Q361" i="28"/>
  <c r="Q365" i="28"/>
  <c r="Q369" i="28"/>
  <c r="Q373" i="28"/>
  <c r="Q377" i="28"/>
  <c r="Q374" i="28"/>
  <c r="P360" i="28"/>
  <c r="P351" i="28"/>
  <c r="P355" i="28"/>
  <c r="P359" i="28"/>
  <c r="P363" i="28"/>
  <c r="P367" i="28"/>
  <c r="P371" i="28"/>
  <c r="P350" i="28"/>
  <c r="P364" i="28"/>
  <c r="P372" i="28"/>
  <c r="P356" i="28"/>
  <c r="P353" i="28"/>
  <c r="P357" i="28"/>
  <c r="P361" i="28"/>
  <c r="P365" i="28"/>
  <c r="P369" i="28"/>
  <c r="P373" i="28"/>
  <c r="P377" i="28"/>
  <c r="P375" i="28"/>
  <c r="P376" i="28"/>
  <c r="P354" i="28"/>
  <c r="P358" i="28"/>
  <c r="P362" i="28"/>
  <c r="P366" i="28"/>
  <c r="P370" i="28"/>
  <c r="P378" i="28"/>
  <c r="P352" i="28"/>
  <c r="P368" i="28"/>
  <c r="P374" i="28"/>
  <c r="S351" i="28"/>
  <c r="S355" i="28"/>
  <c r="S359" i="28"/>
  <c r="S363" i="28"/>
  <c r="S360" i="28"/>
  <c r="S352" i="28"/>
  <c r="S353" i="28"/>
  <c r="S357" i="28"/>
  <c r="S361" i="28"/>
  <c r="S350" i="28"/>
  <c r="S356" i="28"/>
  <c r="S354" i="28"/>
  <c r="S358" i="28"/>
  <c r="S362" i="28"/>
  <c r="O356" i="28"/>
  <c r="O357" i="28"/>
  <c r="O354" i="28"/>
  <c r="O362" i="28"/>
  <c r="O370" i="28"/>
  <c r="O378" i="28"/>
  <c r="O363" i="28"/>
  <c r="O350" i="28"/>
  <c r="O364" i="28"/>
  <c r="O365" i="28"/>
  <c r="O358" i="28"/>
  <c r="O366" i="28"/>
  <c r="O372" i="28"/>
  <c r="O351" i="28"/>
  <c r="O359" i="28"/>
  <c r="O367" i="28"/>
  <c r="O375" i="28"/>
  <c r="O377" i="28"/>
  <c r="O352" i="28"/>
  <c r="O360" i="28"/>
  <c r="O368" i="28"/>
  <c r="O376" i="28"/>
  <c r="O353" i="28"/>
  <c r="O361" i="28"/>
  <c r="O369" i="28"/>
  <c r="O355" i="28"/>
  <c r="O371" i="28"/>
  <c r="O373" i="28"/>
  <c r="O374" i="28"/>
  <c r="N373" i="28"/>
  <c r="N371" i="28"/>
  <c r="N364" i="28"/>
  <c r="N367" i="28"/>
  <c r="N375" i="28"/>
  <c r="N366" i="28"/>
  <c r="N368" i="28"/>
  <c r="N376" i="28"/>
  <c r="N378" i="28"/>
  <c r="N365" i="28"/>
  <c r="N369" i="28"/>
  <c r="N377" i="28"/>
  <c r="N370" i="28"/>
  <c r="N372" i="28"/>
  <c r="N374" i="28"/>
  <c r="R351" i="28"/>
  <c r="R356" i="28"/>
  <c r="R360" i="28"/>
  <c r="R352" i="28"/>
  <c r="R361" i="28"/>
  <c r="R353" i="28"/>
  <c r="R350" i="28"/>
  <c r="R354" i="28"/>
  <c r="R358" i="28"/>
  <c r="R362" i="28"/>
  <c r="R357" i="28"/>
  <c r="R355" i="28"/>
  <c r="R359" i="28"/>
  <c r="R363" i="28"/>
  <c r="J73" i="35"/>
  <c r="J25" i="35"/>
  <c r="J24" i="35"/>
  <c r="J72" i="35"/>
  <c r="J55" i="35"/>
  <c r="J71" i="35"/>
  <c r="Q90" i="28"/>
  <c r="Q72" i="28"/>
  <c r="Q70" i="28"/>
  <c r="Q68" i="28"/>
  <c r="Q88" i="28"/>
  <c r="Q82" i="28"/>
  <c r="Q80" i="28"/>
  <c r="H6" i="10"/>
  <c r="H5" i="10" s="1"/>
  <c r="J73" i="1"/>
  <c r="Q78" i="28"/>
  <c r="Q75" i="28"/>
  <c r="Q64" i="28"/>
  <c r="Q81" i="28"/>
  <c r="Q67" i="28"/>
  <c r="Q77" i="28"/>
  <c r="Q79" i="28"/>
  <c r="Q73" i="28"/>
  <c r="Q83" i="28"/>
  <c r="Q66" i="28"/>
  <c r="Q74" i="28"/>
  <c r="Q63" i="28"/>
  <c r="Q71" i="28"/>
  <c r="Q65" i="28"/>
  <c r="Q86" i="28"/>
  <c r="Q91" i="28"/>
  <c r="Q69" i="28"/>
  <c r="Q85" i="28"/>
  <c r="Q84" i="28"/>
  <c r="Q89" i="28"/>
  <c r="J69" i="28"/>
  <c r="J63" i="28"/>
  <c r="J85" i="28"/>
  <c r="G25" i="35"/>
  <c r="G72" i="35"/>
  <c r="G18" i="35"/>
  <c r="H41" i="2"/>
  <c r="E82" i="4"/>
  <c r="E94" i="4" s="1"/>
  <c r="G71" i="35"/>
  <c r="G24" i="35"/>
  <c r="C108" i="35"/>
  <c r="G96" i="35"/>
  <c r="G73" i="35"/>
  <c r="G97" i="35"/>
  <c r="G19" i="35"/>
  <c r="G98" i="35"/>
  <c r="G55" i="35"/>
  <c r="G100" i="35"/>
  <c r="G99" i="35"/>
  <c r="G41" i="2"/>
  <c r="C35" i="2"/>
  <c r="C9" i="43"/>
  <c r="G19" i="43"/>
  <c r="J22" i="43"/>
  <c r="I22" i="43"/>
  <c r="J19" i="43"/>
  <c r="R19" i="43"/>
  <c r="M19" i="43"/>
  <c r="L22" i="43"/>
  <c r="T19" i="43"/>
  <c r="F22" i="43"/>
  <c r="T22" i="43"/>
  <c r="S22" i="43"/>
  <c r="H19" i="43"/>
  <c r="N22" i="43"/>
  <c r="I19" i="43"/>
  <c r="F19" i="43"/>
  <c r="P19" i="43"/>
  <c r="U22" i="43"/>
  <c r="K19" i="43"/>
  <c r="N19" i="43"/>
  <c r="Q19" i="43"/>
  <c r="K22" i="43"/>
  <c r="E19" i="43"/>
  <c r="G22" i="43"/>
  <c r="Q22" i="43"/>
  <c r="O19" i="43"/>
  <c r="E22" i="43"/>
  <c r="S19" i="43"/>
  <c r="P22" i="43"/>
  <c r="O22" i="43"/>
  <c r="D19" i="43"/>
  <c r="R22" i="43"/>
  <c r="L19" i="43"/>
  <c r="H22" i="43"/>
  <c r="M22" i="43"/>
  <c r="U19" i="43"/>
  <c r="D22" i="43"/>
  <c r="V19" i="43"/>
  <c r="V22" i="43"/>
  <c r="J79" i="28"/>
  <c r="J82" i="28"/>
  <c r="J74" i="28"/>
  <c r="J90" i="28"/>
  <c r="J84" i="28"/>
  <c r="J86" i="28"/>
  <c r="J89" i="28"/>
  <c r="H82" i="4"/>
  <c r="F82" i="4"/>
  <c r="I82" i="4"/>
  <c r="F41" i="2"/>
  <c r="E41" i="2"/>
  <c r="E43" i="2" s="1"/>
  <c r="H107" i="35"/>
  <c r="B198" i="28"/>
  <c r="B199" i="28"/>
  <c r="B200" i="28"/>
  <c r="B201" i="28"/>
  <c r="B202" i="28"/>
  <c r="B196" i="28"/>
  <c r="B197" i="28"/>
  <c r="B203" i="28"/>
  <c r="B70" i="5" s="1"/>
  <c r="J83" i="28"/>
  <c r="J68" i="28"/>
  <c r="J91" i="28"/>
  <c r="J70" i="28"/>
  <c r="J72" i="28"/>
  <c r="J65" i="28"/>
  <c r="J80" i="28"/>
  <c r="C83" i="1"/>
  <c r="C102" i="2"/>
  <c r="C81" i="1"/>
  <c r="J88" i="28"/>
  <c r="J67" i="28"/>
  <c r="J76" i="28"/>
  <c r="J64" i="28"/>
  <c r="J78" i="28"/>
  <c r="J66" i="28"/>
  <c r="J75" i="28"/>
  <c r="J73" i="28"/>
  <c r="J71" i="28"/>
  <c r="D79" i="29"/>
  <c r="D81" i="29"/>
  <c r="C23" i="19"/>
  <c r="C94" i="2"/>
  <c r="C66" i="5"/>
  <c r="C12" i="5"/>
  <c r="C15" i="2"/>
  <c r="E20" i="10"/>
  <c r="C103" i="2"/>
  <c r="C19" i="2"/>
  <c r="C22" i="5"/>
  <c r="C82" i="2"/>
  <c r="C14" i="5"/>
  <c r="C96" i="2"/>
  <c r="C87" i="1"/>
  <c r="E43" i="10"/>
  <c r="C48" i="2"/>
  <c r="C16" i="5"/>
  <c r="C71" i="5"/>
  <c r="C72" i="2"/>
  <c r="D76" i="29"/>
  <c r="E12" i="10"/>
  <c r="D82" i="29"/>
  <c r="C68" i="5"/>
  <c r="C80" i="1"/>
  <c r="C82" i="1"/>
  <c r="C14" i="2"/>
  <c r="C85" i="1"/>
  <c r="E19" i="10"/>
  <c r="C43" i="2"/>
  <c r="E40" i="10"/>
  <c r="E41" i="10"/>
  <c r="D74" i="29"/>
  <c r="E39" i="10"/>
  <c r="E44" i="10"/>
  <c r="C56" i="5"/>
  <c r="C70" i="1"/>
  <c r="D52" i="29"/>
  <c r="C79" i="1"/>
  <c r="C75" i="1"/>
  <c r="C54" i="2"/>
  <c r="C78" i="2"/>
  <c r="C66" i="1"/>
  <c r="C21" i="19"/>
  <c r="E21" i="10"/>
  <c r="C84" i="1"/>
  <c r="C88" i="2"/>
  <c r="C49" i="2"/>
  <c r="C69" i="5"/>
  <c r="E45" i="10"/>
  <c r="C76" i="2"/>
  <c r="E18" i="10"/>
  <c r="C77" i="2"/>
  <c r="C91" i="1"/>
  <c r="C20" i="2"/>
  <c r="C18" i="19"/>
  <c r="E23" i="10"/>
  <c r="C57" i="2"/>
  <c r="C15" i="5"/>
  <c r="C70" i="5"/>
  <c r="C77" i="1"/>
  <c r="C69" i="1"/>
  <c r="C90" i="1"/>
  <c r="C59" i="2"/>
  <c r="C17" i="5"/>
  <c r="C74" i="1"/>
  <c r="C45" i="5"/>
  <c r="D72" i="29"/>
  <c r="C67" i="1"/>
  <c r="E22" i="10"/>
  <c r="C88" i="1"/>
  <c r="E24" i="10"/>
  <c r="C68" i="1"/>
  <c r="C83" i="2"/>
  <c r="C53" i="2"/>
  <c r="C47" i="2"/>
  <c r="C87" i="2"/>
  <c r="B63" i="1"/>
  <c r="C73" i="1"/>
  <c r="C65" i="1"/>
  <c r="C18" i="5"/>
  <c r="E17" i="10"/>
  <c r="E15" i="10"/>
  <c r="D68" i="29"/>
  <c r="C86" i="1"/>
  <c r="D64" i="29"/>
  <c r="C72" i="1"/>
  <c r="E16" i="10"/>
  <c r="C101" i="2"/>
  <c r="C67" i="5"/>
  <c r="C13" i="2"/>
  <c r="C78" i="1"/>
  <c r="C22" i="19"/>
  <c r="C71" i="1"/>
  <c r="C54" i="19"/>
  <c r="R62" i="28"/>
  <c r="Q87" i="28"/>
  <c r="K62" i="28"/>
  <c r="K85" i="28" s="1"/>
  <c r="J87" i="28"/>
  <c r="C58" i="2"/>
  <c r="C57" i="5"/>
  <c r="C42" i="2"/>
  <c r="C41" i="5"/>
  <c r="C70" i="2"/>
  <c r="C49" i="5"/>
  <c r="C30" i="2"/>
  <c r="C21" i="5"/>
  <c r="C42" i="5"/>
  <c r="C23" i="2"/>
  <c r="C86" i="2"/>
  <c r="C52" i="5"/>
  <c r="C71" i="2"/>
  <c r="C29" i="2"/>
  <c r="C43" i="5"/>
  <c r="C95" i="2"/>
  <c r="C41" i="2"/>
  <c r="C76" i="1"/>
  <c r="C58" i="5"/>
  <c r="C44" i="5"/>
  <c r="C63" i="2"/>
  <c r="C33" i="2"/>
  <c r="C34" i="2"/>
  <c r="C55" i="5"/>
  <c r="C50" i="5"/>
  <c r="C59" i="5"/>
  <c r="C64" i="2"/>
  <c r="C62" i="2"/>
  <c r="C48" i="5"/>
  <c r="C51" i="5"/>
  <c r="H95" i="2"/>
  <c r="H102" i="2" s="1"/>
  <c r="H66" i="1" s="1"/>
  <c r="H81" i="4"/>
  <c r="H93" i="4" s="1"/>
  <c r="F81" i="4"/>
  <c r="F93" i="4" s="1"/>
  <c r="E95" i="2"/>
  <c r="E107" i="35"/>
  <c r="E108" i="35" s="1"/>
  <c r="D107" i="35"/>
  <c r="F5" i="4"/>
  <c r="G6" i="4"/>
  <c r="J16" i="35" s="1"/>
  <c r="E71" i="2"/>
  <c r="D41" i="2"/>
  <c r="F95" i="2"/>
  <c r="G95" i="2"/>
  <c r="G102" i="2" s="1"/>
  <c r="G66" i="1" s="1"/>
  <c r="D42" i="2"/>
  <c r="E76" i="1"/>
  <c r="D76" i="1"/>
  <c r="G6" i="1"/>
  <c r="G5" i="1" s="1"/>
  <c r="E5" i="1"/>
  <c r="E5" i="5"/>
  <c r="E74" i="1"/>
  <c r="D94" i="2"/>
  <c r="E94" i="2"/>
  <c r="F94" i="2"/>
  <c r="G94" i="2"/>
  <c r="H94" i="2"/>
  <c r="J91" i="2"/>
  <c r="F71" i="2"/>
  <c r="J90" i="2"/>
  <c r="J38" i="2"/>
  <c r="F70" i="2"/>
  <c r="E70" i="2"/>
  <c r="H70" i="2"/>
  <c r="G70" i="2"/>
  <c r="G72" i="2" s="1"/>
  <c r="D71" i="2"/>
  <c r="J67" i="2"/>
  <c r="D70" i="2"/>
  <c r="J66" i="2"/>
  <c r="J37" i="2"/>
  <c r="G172" i="2"/>
  <c r="G206" i="2" s="1"/>
  <c r="E172" i="2"/>
  <c r="E206" i="2" s="1"/>
  <c r="E208" i="2" s="1"/>
  <c r="G6" i="29"/>
  <c r="G5" i="29" s="1"/>
  <c r="E5" i="2"/>
  <c r="F6" i="2"/>
  <c r="E5" i="11"/>
  <c r="F6" i="11"/>
  <c r="F109" i="2"/>
  <c r="G32" i="28"/>
  <c r="H33" i="28"/>
  <c r="H52" i="19"/>
  <c r="H51" i="19" s="1"/>
  <c r="G51" i="19"/>
  <c r="J82" i="2"/>
  <c r="J19" i="2"/>
  <c r="I54" i="28"/>
  <c r="B18" i="5"/>
  <c r="B72" i="1" s="1"/>
  <c r="B17" i="5"/>
  <c r="B71" i="1" s="1"/>
  <c r="J83" i="2"/>
  <c r="J20" i="2"/>
  <c r="H15" i="4"/>
  <c r="D75" i="1"/>
  <c r="D74" i="1"/>
  <c r="J54" i="2"/>
  <c r="J53" i="2"/>
  <c r="I15" i="4"/>
  <c r="D102" i="2" l="1"/>
  <c r="E176" i="2"/>
  <c r="I62" i="2"/>
  <c r="F175" i="2"/>
  <c r="G6" i="19"/>
  <c r="G5" i="19" s="1"/>
  <c r="H36" i="28"/>
  <c r="F32" i="10" s="1"/>
  <c r="H35" i="28"/>
  <c r="D208" i="2"/>
  <c r="D207" i="2"/>
  <c r="I68" i="5"/>
  <c r="I69" i="5"/>
  <c r="I42" i="5"/>
  <c r="F12" i="5"/>
  <c r="I12" i="5" s="1"/>
  <c r="I59" i="5"/>
  <c r="I18" i="5"/>
  <c r="C6" i="28"/>
  <c r="I16" i="5"/>
  <c r="I57" i="5"/>
  <c r="I56" i="5"/>
  <c r="F5" i="5"/>
  <c r="I58" i="5"/>
  <c r="I71" i="5"/>
  <c r="G6" i="5"/>
  <c r="I44" i="5"/>
  <c r="I66" i="5"/>
  <c r="I67" i="5"/>
  <c r="I21" i="5"/>
  <c r="I45" i="5"/>
  <c r="I43" i="5"/>
  <c r="I17" i="5"/>
  <c r="I35" i="2"/>
  <c r="I38" i="2"/>
  <c r="I26" i="2"/>
  <c r="I34" i="2"/>
  <c r="I86" i="2"/>
  <c r="I27" i="2"/>
  <c r="I88" i="2"/>
  <c r="I24" i="2"/>
  <c r="I66" i="2"/>
  <c r="I67" i="2"/>
  <c r="I87" i="2"/>
  <c r="I63" i="2"/>
  <c r="I37" i="2"/>
  <c r="I59" i="2"/>
  <c r="I42" i="2"/>
  <c r="I57" i="2"/>
  <c r="I64" i="2"/>
  <c r="I28" i="2"/>
  <c r="I25" i="2"/>
  <c r="I14" i="5"/>
  <c r="I19" i="5"/>
  <c r="I90" i="2"/>
  <c r="I29" i="2"/>
  <c r="I33" i="2"/>
  <c r="I55" i="5"/>
  <c r="I20" i="5"/>
  <c r="I70" i="5"/>
  <c r="I41" i="5"/>
  <c r="I58" i="2"/>
  <c r="I23" i="2"/>
  <c r="I30" i="2"/>
  <c r="I22" i="5"/>
  <c r="F34" i="10"/>
  <c r="F35" i="10"/>
  <c r="H6" i="1"/>
  <c r="H5" i="1" s="1"/>
  <c r="C10" i="28"/>
  <c r="K54" i="35" s="1"/>
  <c r="I95" i="2"/>
  <c r="C11" i="28"/>
  <c r="H15" i="10"/>
  <c r="H17" i="10" s="1"/>
  <c r="H24" i="10" s="1"/>
  <c r="H27" i="10" s="1"/>
  <c r="H31" i="35"/>
  <c r="H44" i="35" s="1"/>
  <c r="H91" i="35" s="1"/>
  <c r="H103" i="35" s="1"/>
  <c r="I6" i="10"/>
  <c r="I5" i="10" s="1"/>
  <c r="J75" i="1"/>
  <c r="K75" i="1"/>
  <c r="S20" i="43"/>
  <c r="U20" i="43"/>
  <c r="G23" i="43"/>
  <c r="N20" i="43"/>
  <c r="U23" i="43"/>
  <c r="H20" i="43"/>
  <c r="K23" i="43"/>
  <c r="V23" i="43"/>
  <c r="H23" i="43"/>
  <c r="L20" i="43"/>
  <c r="O23" i="43"/>
  <c r="P23" i="43"/>
  <c r="R23" i="43"/>
  <c r="Q20" i="43"/>
  <c r="J23" i="43"/>
  <c r="I20" i="43"/>
  <c r="M23" i="43"/>
  <c r="K20" i="43"/>
  <c r="O20" i="43"/>
  <c r="F20" i="43"/>
  <c r="J20" i="43"/>
  <c r="I94" i="2"/>
  <c r="F23" i="43"/>
  <c r="E20" i="43"/>
  <c r="N23" i="43"/>
  <c r="I23" i="43"/>
  <c r="E23" i="43"/>
  <c r="S23" i="43"/>
  <c r="T20" i="43"/>
  <c r="G20" i="43"/>
  <c r="L23" i="43"/>
  <c r="T23" i="43"/>
  <c r="M20" i="43"/>
  <c r="V20" i="43"/>
  <c r="Q23" i="43"/>
  <c r="P20" i="43"/>
  <c r="R20" i="43"/>
  <c r="G5" i="4"/>
  <c r="K64" i="28"/>
  <c r="H6" i="4"/>
  <c r="H5" i="4" s="1"/>
  <c r="G66" i="4"/>
  <c r="K73" i="28"/>
  <c r="K67" i="28"/>
  <c r="K90" i="28"/>
  <c r="K70" i="28"/>
  <c r="K66" i="28"/>
  <c r="K88" i="28"/>
  <c r="K63" i="28"/>
  <c r="K80" i="28"/>
  <c r="K71" i="28"/>
  <c r="K65" i="28"/>
  <c r="K75" i="28"/>
  <c r="K84" i="28"/>
  <c r="K82" i="28"/>
  <c r="K74" i="28"/>
  <c r="K78" i="28"/>
  <c r="K91" i="28"/>
  <c r="K69" i="28"/>
  <c r="K79" i="28"/>
  <c r="K81" i="28"/>
  <c r="K72" i="28"/>
  <c r="K83" i="28"/>
  <c r="K68" i="28"/>
  <c r="K89" i="28"/>
  <c r="K76" i="28"/>
  <c r="L62" i="28"/>
  <c r="K87" i="28"/>
  <c r="K86" i="28"/>
  <c r="K77" i="28"/>
  <c r="S62" i="28"/>
  <c r="R87" i="28"/>
  <c r="R69" i="28"/>
  <c r="R89" i="28"/>
  <c r="R67" i="28"/>
  <c r="R81" i="28"/>
  <c r="R80" i="28"/>
  <c r="R82" i="28"/>
  <c r="R64" i="28"/>
  <c r="R79" i="28"/>
  <c r="R68" i="28"/>
  <c r="R71" i="28"/>
  <c r="R77" i="28"/>
  <c r="R90" i="28"/>
  <c r="R66" i="28"/>
  <c r="R65" i="28"/>
  <c r="R70" i="28"/>
  <c r="R83" i="28"/>
  <c r="R86" i="28"/>
  <c r="R84" i="28"/>
  <c r="R91" i="28"/>
  <c r="R75" i="28"/>
  <c r="R74" i="28"/>
  <c r="R63" i="28"/>
  <c r="R88" i="28"/>
  <c r="R78" i="28"/>
  <c r="R76" i="28"/>
  <c r="R72" i="28"/>
  <c r="R85" i="28"/>
  <c r="R73" i="28"/>
  <c r="H96" i="2"/>
  <c r="E102" i="2"/>
  <c r="E66" i="1" s="1"/>
  <c r="J41" i="2"/>
  <c r="I41" i="2"/>
  <c r="E96" i="2"/>
  <c r="F101" i="2"/>
  <c r="F102" i="2"/>
  <c r="F66" i="1" s="1"/>
  <c r="H101" i="2"/>
  <c r="H103" i="2" s="1"/>
  <c r="D43" i="2"/>
  <c r="F96" i="2"/>
  <c r="G96" i="2"/>
  <c r="B67" i="5"/>
  <c r="B78" i="1" s="1"/>
  <c r="B66" i="5"/>
  <c r="B77" i="1" s="1"/>
  <c r="B81" i="1"/>
  <c r="B69" i="5"/>
  <c r="B80" i="1" s="1"/>
  <c r="J42" i="2"/>
  <c r="B68" i="5"/>
  <c r="B79" i="1" s="1"/>
  <c r="J95" i="2"/>
  <c r="D96" i="2"/>
  <c r="D101" i="2"/>
  <c r="F76" i="1"/>
  <c r="J76" i="1" s="1"/>
  <c r="I70" i="2"/>
  <c r="B19" i="1"/>
  <c r="B46" i="1"/>
  <c r="J71" i="2"/>
  <c r="I71" i="2"/>
  <c r="D72" i="2"/>
  <c r="F94" i="4"/>
  <c r="J70" i="2"/>
  <c r="F72" i="2"/>
  <c r="E101" i="2"/>
  <c r="G101" i="2"/>
  <c r="E72" i="2"/>
  <c r="H72" i="2"/>
  <c r="H43" i="2"/>
  <c r="J94" i="2"/>
  <c r="G43" i="2"/>
  <c r="F43" i="2"/>
  <c r="H6" i="29"/>
  <c r="H5" i="29" s="1"/>
  <c r="F5" i="2"/>
  <c r="G6" i="2"/>
  <c r="G175" i="2" s="1"/>
  <c r="G176" i="2" s="1"/>
  <c r="J71" i="1"/>
  <c r="F5" i="11"/>
  <c r="G6" i="11"/>
  <c r="J72" i="1"/>
  <c r="G109" i="2"/>
  <c r="F108" i="2"/>
  <c r="F74" i="1"/>
  <c r="J74" i="1" s="1"/>
  <c r="H32" i="28"/>
  <c r="I33" i="28"/>
  <c r="B42" i="1"/>
  <c r="B16" i="1"/>
  <c r="H6" i="19" l="1"/>
  <c r="H5" i="19" s="1"/>
  <c r="I15" i="10"/>
  <c r="I17" i="10" s="1"/>
  <c r="I24" i="10" s="1"/>
  <c r="I36" i="28"/>
  <c r="G32" i="10" s="1"/>
  <c r="I35" i="28"/>
  <c r="F50" i="29"/>
  <c r="F23" i="29" s="1"/>
  <c r="E18" i="19"/>
  <c r="E54" i="19"/>
  <c r="E82" i="1" s="1"/>
  <c r="E207" i="2"/>
  <c r="F37" i="10"/>
  <c r="F41" i="10" s="1"/>
  <c r="H6" i="5"/>
  <c r="H12" i="5" s="1"/>
  <c r="H67" i="1" s="1"/>
  <c r="G12" i="5"/>
  <c r="G67" i="1" s="1"/>
  <c r="K55" i="35"/>
  <c r="F67" i="1"/>
  <c r="K71" i="35"/>
  <c r="K86" i="35"/>
  <c r="K59" i="35"/>
  <c r="K81" i="35"/>
  <c r="K51" i="35"/>
  <c r="K75" i="35"/>
  <c r="K99" i="35"/>
  <c r="G5" i="5"/>
  <c r="K76" i="35"/>
  <c r="K101" i="35"/>
  <c r="I43" i="2"/>
  <c r="K73" i="35"/>
  <c r="K72" i="35"/>
  <c r="K58" i="35"/>
  <c r="K100" i="35"/>
  <c r="K83" i="35"/>
  <c r="K82" i="35"/>
  <c r="K57" i="35"/>
  <c r="K85" i="35"/>
  <c r="K74" i="35"/>
  <c r="K96" i="35"/>
  <c r="K67" i="35"/>
  <c r="K49" i="35"/>
  <c r="K88" i="35"/>
  <c r="K97" i="35"/>
  <c r="K84" i="35"/>
  <c r="G35" i="10"/>
  <c r="K50" i="35"/>
  <c r="K52" i="35"/>
  <c r="K98" i="35"/>
  <c r="K56" i="35"/>
  <c r="K60" i="35"/>
  <c r="H66" i="4"/>
  <c r="I6" i="4"/>
  <c r="I5" i="4" s="1"/>
  <c r="G34" i="10"/>
  <c r="K53" i="35"/>
  <c r="H105" i="35"/>
  <c r="H108" i="35" s="1"/>
  <c r="D22" i="35"/>
  <c r="D31" i="35" s="1"/>
  <c r="I27" i="10"/>
  <c r="J6" i="10"/>
  <c r="J5" i="10" s="1"/>
  <c r="I101" i="2"/>
  <c r="I96" i="2"/>
  <c r="T62" i="28"/>
  <c r="S87" i="28"/>
  <c r="S83" i="28"/>
  <c r="S79" i="28"/>
  <c r="S70" i="28"/>
  <c r="S75" i="28"/>
  <c r="S86" i="28"/>
  <c r="S77" i="28"/>
  <c r="S63" i="28"/>
  <c r="S88" i="28"/>
  <c r="S65" i="28"/>
  <c r="S91" i="28"/>
  <c r="S72" i="28"/>
  <c r="S80" i="28"/>
  <c r="S84" i="28"/>
  <c r="S85" i="28"/>
  <c r="S78" i="28"/>
  <c r="S69" i="28"/>
  <c r="S74" i="28"/>
  <c r="S67" i="28"/>
  <c r="S76" i="28"/>
  <c r="S90" i="28"/>
  <c r="S71" i="28"/>
  <c r="S66" i="28"/>
  <c r="S89" i="28"/>
  <c r="S82" i="28"/>
  <c r="S73" i="28"/>
  <c r="S81" i="28"/>
  <c r="S68" i="28"/>
  <c r="S64" i="28"/>
  <c r="M62" i="28"/>
  <c r="L87" i="28"/>
  <c r="L81" i="28"/>
  <c r="L67" i="28"/>
  <c r="L85" i="28"/>
  <c r="L69" i="28"/>
  <c r="L83" i="28"/>
  <c r="L65" i="28"/>
  <c r="L88" i="28"/>
  <c r="L66" i="28"/>
  <c r="L79" i="28"/>
  <c r="L80" i="28"/>
  <c r="L74" i="28"/>
  <c r="L71" i="28"/>
  <c r="L78" i="28"/>
  <c r="L91" i="28"/>
  <c r="L70" i="28"/>
  <c r="L84" i="28"/>
  <c r="L77" i="28"/>
  <c r="L86" i="28"/>
  <c r="L75" i="28"/>
  <c r="L64" i="28"/>
  <c r="L90" i="28"/>
  <c r="L73" i="28"/>
  <c r="L63" i="28"/>
  <c r="L68" i="28"/>
  <c r="L76" i="28"/>
  <c r="L89" i="28"/>
  <c r="L82" i="28"/>
  <c r="L72" i="28"/>
  <c r="E103" i="2"/>
  <c r="B26" i="1"/>
  <c r="B53" i="1"/>
  <c r="B23" i="1"/>
  <c r="B50" i="1"/>
  <c r="B24" i="1"/>
  <c r="B51" i="1"/>
  <c r="B27" i="1"/>
  <c r="B54" i="1"/>
  <c r="B52" i="1"/>
  <c r="B25" i="1"/>
  <c r="F103" i="2"/>
  <c r="J102" i="2"/>
  <c r="D66" i="1"/>
  <c r="J66" i="1" s="1"/>
  <c r="I102" i="2"/>
  <c r="J96" i="2"/>
  <c r="D103" i="2"/>
  <c r="G76" i="1"/>
  <c r="J72" i="2"/>
  <c r="I72" i="2"/>
  <c r="J101" i="2"/>
  <c r="G103" i="2"/>
  <c r="J43" i="2"/>
  <c r="I6" i="29"/>
  <c r="I5" i="29" s="1"/>
  <c r="G74" i="1"/>
  <c r="G5" i="2"/>
  <c r="H6" i="2"/>
  <c r="H6" i="11"/>
  <c r="H5" i="11" s="1"/>
  <c r="G5" i="11"/>
  <c r="G108" i="2"/>
  <c r="H109" i="2"/>
  <c r="J33" i="28"/>
  <c r="I32" i="28"/>
  <c r="B43" i="1"/>
  <c r="B15" i="1"/>
  <c r="J69" i="1"/>
  <c r="J81" i="1"/>
  <c r="J78" i="1"/>
  <c r="B44" i="1"/>
  <c r="B17" i="1"/>
  <c r="B45" i="1"/>
  <c r="B18" i="1"/>
  <c r="B41" i="1"/>
  <c r="B14" i="1"/>
  <c r="J70" i="1"/>
  <c r="J15" i="10" l="1"/>
  <c r="J17" i="10" s="1"/>
  <c r="J24" i="10" s="1"/>
  <c r="I77" i="2"/>
  <c r="H175" i="2"/>
  <c r="H176" i="2" s="1"/>
  <c r="H5" i="5"/>
  <c r="J27" i="10"/>
  <c r="J36" i="28"/>
  <c r="H32" i="10" s="1"/>
  <c r="J35" i="28"/>
  <c r="F207" i="2"/>
  <c r="F54" i="19"/>
  <c r="F82" i="1" s="1"/>
  <c r="F18" i="19"/>
  <c r="G50" i="29"/>
  <c r="G23" i="29" s="1"/>
  <c r="I66" i="4"/>
  <c r="J12" i="5"/>
  <c r="G37" i="10"/>
  <c r="G41" i="10" s="1"/>
  <c r="H34" i="10"/>
  <c r="H35" i="10"/>
  <c r="D44" i="35"/>
  <c r="J44" i="35" s="1"/>
  <c r="K44" i="35" s="1"/>
  <c r="J31" i="35"/>
  <c r="K31" i="35" s="1"/>
  <c r="J22" i="35"/>
  <c r="F40" i="10"/>
  <c r="F39" i="10"/>
  <c r="F43" i="10" s="1"/>
  <c r="I103" i="2"/>
  <c r="G208" i="2"/>
  <c r="N62" i="28"/>
  <c r="M71" i="28"/>
  <c r="M72" i="28"/>
  <c r="M64" i="28"/>
  <c r="M76" i="28"/>
  <c r="M63" i="28"/>
  <c r="M70" i="28"/>
  <c r="M65" i="28"/>
  <c r="M75" i="28"/>
  <c r="M66" i="28"/>
  <c r="M69" i="28"/>
  <c r="M73" i="28"/>
  <c r="M68" i="28"/>
  <c r="M67" i="28"/>
  <c r="M74" i="28"/>
  <c r="U62" i="28"/>
  <c r="T63" i="28"/>
  <c r="T71" i="28"/>
  <c r="T74" i="28"/>
  <c r="T67" i="28"/>
  <c r="T66" i="28"/>
  <c r="T68" i="28"/>
  <c r="T76" i="28"/>
  <c r="T64" i="28"/>
  <c r="T70" i="28"/>
  <c r="T73" i="28"/>
  <c r="T69" i="28"/>
  <c r="T65" i="28"/>
  <c r="T72" i="28"/>
  <c r="T75" i="28"/>
  <c r="K66" i="1"/>
  <c r="J103" i="2"/>
  <c r="H76" i="1"/>
  <c r="K76" i="1" s="1"/>
  <c r="H94" i="4"/>
  <c r="K78" i="1"/>
  <c r="I54" i="2"/>
  <c r="H5" i="2"/>
  <c r="I48" i="2"/>
  <c r="I82" i="2"/>
  <c r="I14" i="2"/>
  <c r="I20" i="2"/>
  <c r="I13" i="2"/>
  <c r="I47" i="2"/>
  <c r="I76" i="2"/>
  <c r="I19" i="2"/>
  <c r="I53" i="2"/>
  <c r="I83" i="2"/>
  <c r="H108" i="2"/>
  <c r="J32" i="28"/>
  <c r="K33" i="28"/>
  <c r="H74" i="1"/>
  <c r="K74" i="1" s="1"/>
  <c r="J79" i="1"/>
  <c r="J80" i="1"/>
  <c r="G40" i="10" l="1"/>
  <c r="G44" i="10" s="1"/>
  <c r="E65" i="1" s="1"/>
  <c r="E83" i="1" s="1"/>
  <c r="I78" i="2"/>
  <c r="G207" i="2"/>
  <c r="K36" i="28"/>
  <c r="I32" i="10" s="1"/>
  <c r="K35" i="28"/>
  <c r="H50" i="29"/>
  <c r="H23" i="29" s="1"/>
  <c r="H45" i="29" s="1"/>
  <c r="G54" i="19"/>
  <c r="G82" i="1" s="1"/>
  <c r="G18" i="19"/>
  <c r="H37" i="10"/>
  <c r="H41" i="10" s="1"/>
  <c r="I34" i="10"/>
  <c r="G39" i="10"/>
  <c r="G43" i="10" s="1"/>
  <c r="I35" i="10"/>
  <c r="J91" i="35"/>
  <c r="F44" i="10"/>
  <c r="D65" i="1" s="1"/>
  <c r="D90" i="1"/>
  <c r="D14" i="1" s="1"/>
  <c r="D91" i="35"/>
  <c r="D103" i="35" s="1"/>
  <c r="H208" i="2"/>
  <c r="U71" i="28"/>
  <c r="U65" i="28"/>
  <c r="U74" i="28"/>
  <c r="U75" i="28"/>
  <c r="U76" i="28"/>
  <c r="U72" i="28"/>
  <c r="U69" i="28"/>
  <c r="U67" i="28"/>
  <c r="U63" i="28"/>
  <c r="U70" i="28"/>
  <c r="U64" i="28"/>
  <c r="U73" i="28"/>
  <c r="U68" i="28"/>
  <c r="U66" i="28"/>
  <c r="N64" i="28"/>
  <c r="N73" i="28"/>
  <c r="N74" i="28"/>
  <c r="N75" i="28"/>
  <c r="N76" i="28"/>
  <c r="N65" i="28"/>
  <c r="N72" i="28"/>
  <c r="N63" i="28"/>
  <c r="N68" i="28"/>
  <c r="N70" i="28"/>
  <c r="N71" i="28"/>
  <c r="N67" i="28"/>
  <c r="N69" i="28"/>
  <c r="N66" i="28"/>
  <c r="D54" i="19"/>
  <c r="D82" i="1" s="1"/>
  <c r="I94" i="4"/>
  <c r="I15" i="2"/>
  <c r="I49" i="2"/>
  <c r="K32" i="28"/>
  <c r="L33" i="28"/>
  <c r="G45" i="29"/>
  <c r="J77" i="1"/>
  <c r="J67" i="1"/>
  <c r="J68" i="1"/>
  <c r="K69" i="1"/>
  <c r="E90" i="1" l="1"/>
  <c r="E23" i="1" s="1"/>
  <c r="H39" i="10"/>
  <c r="H43" i="10" s="1"/>
  <c r="D105" i="35"/>
  <c r="D108" i="35" s="1"/>
  <c r="J103" i="35"/>
  <c r="K103" i="35" s="1"/>
  <c r="K91" i="35"/>
  <c r="E11" i="1"/>
  <c r="E17" i="1"/>
  <c r="E25" i="1"/>
  <c r="E15" i="1"/>
  <c r="E21" i="1"/>
  <c r="E14" i="1"/>
  <c r="E26" i="1"/>
  <c r="E24" i="1"/>
  <c r="L35" i="28"/>
  <c r="L36" i="28"/>
  <c r="J32" i="10" s="1"/>
  <c r="H54" i="19"/>
  <c r="H82" i="1" s="1"/>
  <c r="K82" i="1" s="1"/>
  <c r="H18" i="19"/>
  <c r="H207" i="2"/>
  <c r="I50" i="29"/>
  <c r="I23" i="29" s="1"/>
  <c r="I45" i="29" s="1"/>
  <c r="H40" i="10"/>
  <c r="H44" i="10" s="1"/>
  <c r="F65" i="1" s="1"/>
  <c r="J65" i="1" s="1"/>
  <c r="G45" i="10"/>
  <c r="I37" i="10"/>
  <c r="I41" i="10" s="1"/>
  <c r="J34" i="10"/>
  <c r="J35" i="10"/>
  <c r="D13" i="1"/>
  <c r="D11" i="1"/>
  <c r="F45" i="10"/>
  <c r="D21" i="1"/>
  <c r="D18" i="1"/>
  <c r="D25" i="1"/>
  <c r="D24" i="1"/>
  <c r="D27" i="1"/>
  <c r="D12" i="1"/>
  <c r="D20" i="1"/>
  <c r="D22" i="1"/>
  <c r="D23" i="1"/>
  <c r="D26" i="1"/>
  <c r="D16" i="1"/>
  <c r="D17" i="1"/>
  <c r="D15" i="1"/>
  <c r="D19" i="1"/>
  <c r="D83" i="1"/>
  <c r="D18" i="19"/>
  <c r="J82" i="1"/>
  <c r="D28" i="1"/>
  <c r="E50" i="29"/>
  <c r="E23" i="29" s="1"/>
  <c r="K81" i="1"/>
  <c r="L32" i="28"/>
  <c r="K80" i="1"/>
  <c r="K79" i="1"/>
  <c r="K72" i="1"/>
  <c r="K70" i="1"/>
  <c r="K71" i="1"/>
  <c r="E28" i="1" l="1"/>
  <c r="E13" i="1"/>
  <c r="E27" i="1"/>
  <c r="E22" i="1"/>
  <c r="E20" i="1"/>
  <c r="E18" i="1"/>
  <c r="E12" i="1"/>
  <c r="E19" i="1"/>
  <c r="E16" i="1"/>
  <c r="I39" i="10"/>
  <c r="I43" i="10" s="1"/>
  <c r="J105" i="35"/>
  <c r="K105" i="35" s="1"/>
  <c r="F83" i="1"/>
  <c r="H45" i="10"/>
  <c r="F90" i="1"/>
  <c r="F12" i="1" s="1"/>
  <c r="J37" i="10"/>
  <c r="J41" i="10" s="1"/>
  <c r="I40" i="10"/>
  <c r="G90" i="1" s="1"/>
  <c r="G21" i="1" s="1"/>
  <c r="J83" i="1"/>
  <c r="D29" i="1"/>
  <c r="E45" i="29"/>
  <c r="E48" i="29" s="1"/>
  <c r="E52" i="29" s="1"/>
  <c r="K67" i="1"/>
  <c r="K77" i="1"/>
  <c r="K68" i="1"/>
  <c r="E29" i="1" l="1"/>
  <c r="J26" i="1"/>
  <c r="F11" i="1"/>
  <c r="J21" i="1"/>
  <c r="J20" i="1"/>
  <c r="J25" i="1"/>
  <c r="J23" i="1"/>
  <c r="J14" i="1"/>
  <c r="F26" i="1"/>
  <c r="J19" i="1"/>
  <c r="F25" i="1"/>
  <c r="J18" i="1"/>
  <c r="J12" i="1"/>
  <c r="J17" i="1"/>
  <c r="F16" i="1"/>
  <c r="J27" i="1"/>
  <c r="J11" i="1"/>
  <c r="G15" i="1"/>
  <c r="G23" i="1"/>
  <c r="J22" i="1"/>
  <c r="G12" i="1"/>
  <c r="F18" i="1"/>
  <c r="J15" i="1"/>
  <c r="F21" i="1"/>
  <c r="F20" i="1"/>
  <c r="F19" i="1"/>
  <c r="F14" i="1"/>
  <c r="F22" i="1"/>
  <c r="F15" i="1"/>
  <c r="J40" i="10"/>
  <c r="J44" i="10" s="1"/>
  <c r="H65" i="1" s="1"/>
  <c r="F13" i="1"/>
  <c r="F17" i="1"/>
  <c r="F23" i="1"/>
  <c r="F24" i="1"/>
  <c r="F27" i="1"/>
  <c r="G28" i="1"/>
  <c r="G14" i="1"/>
  <c r="J39" i="10"/>
  <c r="J43" i="10" s="1"/>
  <c r="G16" i="1"/>
  <c r="G24" i="1"/>
  <c r="F28" i="1"/>
  <c r="J24" i="1"/>
  <c r="J13" i="1"/>
  <c r="J16" i="1"/>
  <c r="J28" i="1"/>
  <c r="G27" i="1"/>
  <c r="G17" i="1"/>
  <c r="G22" i="1"/>
  <c r="G26" i="1"/>
  <c r="G20" i="1"/>
  <c r="I44" i="10"/>
  <c r="G65" i="1" s="1"/>
  <c r="G11" i="1" s="1"/>
  <c r="G25" i="1"/>
  <c r="G19" i="1"/>
  <c r="G13" i="1"/>
  <c r="G18" i="1"/>
  <c r="J108" i="35"/>
  <c r="E103" i="4"/>
  <c r="E104" i="4" s="1"/>
  <c r="E72" i="29"/>
  <c r="H90" i="1" l="1"/>
  <c r="F29" i="1"/>
  <c r="J29" i="1"/>
  <c r="G29" i="1"/>
  <c r="I45" i="10"/>
  <c r="G83" i="1"/>
  <c r="H83" i="1"/>
  <c r="K65" i="1"/>
  <c r="K83" i="1" s="1"/>
  <c r="K14" i="1"/>
  <c r="J45" i="10"/>
  <c r="K11" i="1" l="1"/>
  <c r="K20" i="1"/>
  <c r="H28" i="1"/>
  <c r="H23" i="1"/>
  <c r="H25" i="1"/>
  <c r="H12" i="1"/>
  <c r="H16" i="1"/>
  <c r="H11" i="1"/>
  <c r="K22" i="1"/>
  <c r="K24" i="1"/>
  <c r="K13" i="1"/>
  <c r="H14" i="1"/>
  <c r="H18" i="1"/>
  <c r="K28" i="1"/>
  <c r="H21" i="1"/>
  <c r="K16" i="1"/>
  <c r="K18" i="1"/>
  <c r="K15" i="1"/>
  <c r="H24" i="1"/>
  <c r="K26" i="1"/>
  <c r="H22" i="1"/>
  <c r="K23" i="1"/>
  <c r="H19" i="1"/>
  <c r="K19" i="1"/>
  <c r="H13" i="1"/>
  <c r="H26" i="1"/>
  <c r="K25" i="1"/>
  <c r="K17" i="1"/>
  <c r="K12" i="1"/>
  <c r="H15" i="1"/>
  <c r="K27" i="1"/>
  <c r="H20" i="1"/>
  <c r="K21" i="1"/>
  <c r="H17" i="1"/>
  <c r="H27" i="1"/>
  <c r="K29" i="1" l="1"/>
  <c r="H29" i="1"/>
  <c r="E60" i="29" l="1"/>
  <c r="H23" i="19" l="1"/>
  <c r="G23" i="19"/>
  <c r="I48" i="29" l="1"/>
  <c r="G48" i="29"/>
  <c r="H48" i="29"/>
  <c r="I52" i="29" l="1"/>
  <c r="I72" i="29" s="1"/>
  <c r="I103" i="4"/>
  <c r="I60" i="29"/>
  <c r="H52" i="29"/>
  <c r="H72" i="29" s="1"/>
  <c r="H103" i="4"/>
  <c r="H60" i="29"/>
  <c r="G52" i="29"/>
  <c r="G72" i="29" s="1"/>
  <c r="G103" i="4"/>
  <c r="G60" i="29"/>
  <c r="I104" i="4" l="1"/>
  <c r="H104" i="4"/>
  <c r="G104" i="4"/>
  <c r="G56" i="4" l="1"/>
  <c r="G58" i="4" s="1"/>
  <c r="G60" i="4" s="1"/>
  <c r="F23" i="19" l="1"/>
  <c r="E23" i="19"/>
  <c r="D23" i="19"/>
  <c r="G75" i="4" l="1"/>
  <c r="G78" i="4"/>
  <c r="G79" i="4" l="1"/>
  <c r="G82" i="4"/>
  <c r="G94" i="4" s="1"/>
  <c r="F170" i="2" l="1"/>
  <c r="F172" i="2" s="1"/>
  <c r="F206" i="2" l="1"/>
  <c r="F208" i="2" s="1"/>
  <c r="F176" i="2"/>
  <c r="E96" i="4" l="1"/>
  <c r="E106" i="4" s="1"/>
  <c r="F96" i="4" l="1"/>
  <c r="F106" i="4" s="1"/>
  <c r="E58" i="29"/>
  <c r="D91" i="1"/>
  <c r="D44" i="1" l="1"/>
  <c r="D55" i="1"/>
  <c r="D39" i="1"/>
  <c r="D42" i="1"/>
  <c r="D47" i="1"/>
  <c r="D50" i="1"/>
  <c r="D51" i="1"/>
  <c r="D41" i="1"/>
  <c r="D49" i="1"/>
  <c r="D52" i="1"/>
  <c r="D46" i="1"/>
  <c r="D45" i="1"/>
  <c r="D53" i="1"/>
  <c r="D54" i="1"/>
  <c r="D43" i="1"/>
  <c r="D48" i="1"/>
  <c r="D40" i="1"/>
  <c r="D38" i="1"/>
  <c r="G96" i="4" l="1"/>
  <c r="G106" i="4" s="1"/>
  <c r="D56" i="1"/>
  <c r="F58" i="29"/>
  <c r="E91" i="1"/>
  <c r="E48" i="1" l="1"/>
  <c r="E45" i="1"/>
  <c r="E44" i="1"/>
  <c r="E43" i="1"/>
  <c r="E42" i="1"/>
  <c r="E49" i="1"/>
  <c r="E50" i="1"/>
  <c r="E39" i="1"/>
  <c r="E54" i="1"/>
  <c r="E55" i="1"/>
  <c r="E46" i="1"/>
  <c r="E52" i="1"/>
  <c r="E51" i="1"/>
  <c r="E38" i="1"/>
  <c r="E53" i="1"/>
  <c r="E40" i="1"/>
  <c r="E47" i="1"/>
  <c r="E41" i="1"/>
  <c r="H96" i="4" l="1"/>
  <c r="H106" i="4" s="1"/>
  <c r="E56" i="1"/>
  <c r="E97" i="4" l="1"/>
  <c r="I96" i="4" l="1"/>
  <c r="I106" i="4" s="1"/>
  <c r="E107" i="4"/>
  <c r="E108" i="4" s="1"/>
  <c r="E98" i="4"/>
  <c r="F97" i="4" l="1"/>
  <c r="F98" i="4" l="1"/>
  <c r="G97" i="4" l="1"/>
  <c r="E78" i="29"/>
  <c r="E79" i="29" s="1"/>
  <c r="G98" i="4" l="1"/>
  <c r="G107" i="4"/>
  <c r="G108" i="4" s="1"/>
  <c r="D85" i="1"/>
  <c r="D84" i="1"/>
  <c r="E80" i="29"/>
  <c r="E61" i="29" l="1"/>
  <c r="E81" i="29"/>
  <c r="E82" i="29" s="1"/>
  <c r="D30" i="1"/>
  <c r="D57" i="1"/>
  <c r="H97" i="4"/>
  <c r="F78" i="29"/>
  <c r="E62" i="29" l="1"/>
  <c r="H98" i="4"/>
  <c r="H107" i="4"/>
  <c r="H108" i="4" s="1"/>
  <c r="F79" i="29"/>
  <c r="F80" i="29"/>
  <c r="F81" i="29" s="1"/>
  <c r="E84" i="1"/>
  <c r="E64" i="29" l="1"/>
  <c r="E74" i="29" s="1"/>
  <c r="F82" i="29"/>
  <c r="E30" i="1"/>
  <c r="I97" i="4"/>
  <c r="E85" i="1"/>
  <c r="F61" i="29"/>
  <c r="D86" i="1" l="1"/>
  <c r="D31" i="1" s="1"/>
  <c r="D32" i="1" s="1"/>
  <c r="E76" i="29"/>
  <c r="D87" i="1" s="1"/>
  <c r="D88" i="1"/>
  <c r="I98" i="4"/>
  <c r="I107" i="4"/>
  <c r="I108" i="4" s="1"/>
  <c r="E57" i="1"/>
  <c r="D58" i="1" l="1"/>
  <c r="D59" i="1" s="1"/>
  <c r="I58" i="29" l="1"/>
  <c r="H91" i="1"/>
  <c r="H40" i="1" s="1"/>
  <c r="I78" i="29"/>
  <c r="H58" i="29"/>
  <c r="G91" i="1"/>
  <c r="G58" i="29"/>
  <c r="F91" i="1"/>
  <c r="H46" i="1" l="1"/>
  <c r="H47" i="1"/>
  <c r="H45" i="1"/>
  <c r="H41" i="1"/>
  <c r="H55" i="1"/>
  <c r="H44" i="1"/>
  <c r="H52" i="1"/>
  <c r="H49" i="1"/>
  <c r="H51" i="1"/>
  <c r="H39" i="1"/>
  <c r="H38" i="1"/>
  <c r="H48" i="1"/>
  <c r="H50" i="1"/>
  <c r="H53" i="1"/>
  <c r="H43" i="1"/>
  <c r="H54" i="1"/>
  <c r="H42" i="1"/>
  <c r="H78" i="29"/>
  <c r="G51" i="1"/>
  <c r="G38" i="1"/>
  <c r="G47" i="1"/>
  <c r="G42" i="1"/>
  <c r="G40" i="1"/>
  <c r="G50" i="1"/>
  <c r="G54" i="1"/>
  <c r="G48" i="1"/>
  <c r="G43" i="1"/>
  <c r="G39" i="1"/>
  <c r="G45" i="1"/>
  <c r="G52" i="1"/>
  <c r="G44" i="1"/>
  <c r="G46" i="1"/>
  <c r="G53" i="1"/>
  <c r="G55" i="1"/>
  <c r="G41" i="1"/>
  <c r="G49" i="1"/>
  <c r="I79" i="29"/>
  <c r="F41" i="1"/>
  <c r="F48" i="1"/>
  <c r="F55" i="1"/>
  <c r="F54" i="1"/>
  <c r="F44" i="1"/>
  <c r="F38" i="1"/>
  <c r="F40" i="1"/>
  <c r="F42" i="1"/>
  <c r="F39" i="1"/>
  <c r="F50" i="1"/>
  <c r="F51" i="1"/>
  <c r="F45" i="1"/>
  <c r="F52" i="1"/>
  <c r="F49" i="1"/>
  <c r="F43" i="1"/>
  <c r="F53" i="1"/>
  <c r="F46" i="1"/>
  <c r="F47" i="1"/>
  <c r="J44" i="1"/>
  <c r="J47" i="1"/>
  <c r="K39" i="1"/>
  <c r="K41" i="1"/>
  <c r="K50" i="1"/>
  <c r="J55" i="1"/>
  <c r="J41" i="1"/>
  <c r="J54" i="1"/>
  <c r="K44" i="1"/>
  <c r="J50" i="1"/>
  <c r="K51" i="1"/>
  <c r="J48" i="1"/>
  <c r="J45" i="1"/>
  <c r="K46" i="1"/>
  <c r="J49" i="1"/>
  <c r="K49" i="1"/>
  <c r="K45" i="1"/>
  <c r="J52" i="1"/>
  <c r="J39" i="1"/>
  <c r="J38" i="1"/>
  <c r="K53" i="1"/>
  <c r="K43" i="1"/>
  <c r="K55" i="1"/>
  <c r="J40" i="1"/>
  <c r="J53" i="1"/>
  <c r="K47" i="1"/>
  <c r="K52" i="1"/>
  <c r="J46" i="1"/>
  <c r="K54" i="1"/>
  <c r="K38" i="1"/>
  <c r="J42" i="1"/>
  <c r="J51" i="1"/>
  <c r="J43" i="1"/>
  <c r="K42" i="1"/>
  <c r="K48" i="1"/>
  <c r="K40" i="1"/>
  <c r="H56" i="1" l="1"/>
  <c r="J56" i="1"/>
  <c r="F56" i="1"/>
  <c r="G56" i="1"/>
  <c r="H79" i="29"/>
  <c r="K56" i="1"/>
  <c r="G78" i="29"/>
  <c r="H84" i="1" l="1"/>
  <c r="G79" i="29"/>
  <c r="I80" i="29" l="1"/>
  <c r="I81" i="29" s="1"/>
  <c r="I82" i="29" s="1"/>
  <c r="H85" i="1"/>
  <c r="H57" i="1" s="1"/>
  <c r="H80" i="29"/>
  <c r="H81" i="29" s="1"/>
  <c r="H82" i="29" s="1"/>
  <c r="H30" i="1"/>
  <c r="I61" i="29" l="1"/>
  <c r="G85" i="1"/>
  <c r="H61" i="29"/>
  <c r="H62" i="29" s="1"/>
  <c r="G84" i="1"/>
  <c r="G30" i="1" s="1"/>
  <c r="I62" i="29"/>
  <c r="G57" i="1" l="1"/>
  <c r="G80" i="29"/>
  <c r="F84" i="1"/>
  <c r="H64" i="29"/>
  <c r="H74" i="29" s="1"/>
  <c r="G86" i="1" s="1"/>
  <c r="I64" i="29"/>
  <c r="I74" i="29" s="1"/>
  <c r="H86" i="1" s="1"/>
  <c r="H31" i="1" s="1"/>
  <c r="H32" i="1" s="1"/>
  <c r="G81" i="29" l="1"/>
  <c r="G82" i="29" s="1"/>
  <c r="G61" i="29"/>
  <c r="J30" i="1"/>
  <c r="J84" i="1"/>
  <c r="F30" i="1"/>
  <c r="K84" i="1"/>
  <c r="K30" i="1"/>
  <c r="F85" i="1"/>
  <c r="H76" i="29"/>
  <c r="G87" i="1" s="1"/>
  <c r="G58" i="1" s="1"/>
  <c r="G59" i="1" s="1"/>
  <c r="G31" i="1"/>
  <c r="G32" i="1" s="1"/>
  <c r="I76" i="29"/>
  <c r="H87" i="1" s="1"/>
  <c r="H58" i="1" s="1"/>
  <c r="H59" i="1" s="1"/>
  <c r="G62" i="29" l="1"/>
  <c r="J57" i="1"/>
  <c r="K57" i="1"/>
  <c r="J85" i="1"/>
  <c r="F57" i="1"/>
  <c r="K85" i="1"/>
  <c r="H88" i="1"/>
  <c r="G88" i="1"/>
  <c r="G64" i="29" l="1"/>
  <c r="G74" i="29" s="1"/>
  <c r="G76" i="29" s="1"/>
  <c r="F87" i="1" s="1"/>
  <c r="F86" i="1" l="1"/>
  <c r="F31" i="1" s="1"/>
  <c r="F32" i="1" s="1"/>
  <c r="F88" i="1"/>
  <c r="F58" i="1"/>
  <c r="F59" i="1" s="1"/>
  <c r="F20" i="29" l="1"/>
  <c r="F45" i="29" l="1"/>
  <c r="F48" i="29" s="1"/>
  <c r="F52" i="29" l="1"/>
  <c r="F72" i="29" s="1"/>
  <c r="F103" i="4"/>
  <c r="F60" i="29"/>
  <c r="F62" i="29" s="1"/>
  <c r="F64" i="29" l="1"/>
  <c r="F74" i="29" s="1"/>
  <c r="E86" i="1" s="1"/>
  <c r="K86" i="1" s="1"/>
  <c r="F107" i="4"/>
  <c r="F108" i="4" s="1"/>
  <c r="F104" i="4"/>
  <c r="F76" i="29" l="1"/>
  <c r="E87" i="1" s="1"/>
  <c r="J31" i="1"/>
  <c r="J32" i="1" s="1"/>
  <c r="J86" i="1"/>
  <c r="E31" i="1"/>
  <c r="E32" i="1" s="1"/>
  <c r="K31" i="1"/>
  <c r="K32" i="1" s="1"/>
  <c r="J87" i="1"/>
  <c r="K87" i="1"/>
  <c r="K88" i="1" s="1"/>
  <c r="K58" i="1"/>
  <c r="K59" i="1" s="1"/>
  <c r="E58" i="1"/>
  <c r="E59" i="1" s="1"/>
  <c r="J58" i="1"/>
  <c r="J59" i="1" s="1"/>
  <c r="E88" i="1"/>
  <c r="J88"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<sst xmlns="http://schemas.openxmlformats.org/spreadsheetml/2006/main" count="2910" uniqueCount="1255">
  <si>
    <t>Regulatory Financial Performance Report</t>
  </si>
  <si>
    <t xml:space="preserve">                           </t>
  </si>
  <si>
    <t>RIIO-2 start date (enter 2022 for 2021-22)</t>
  </si>
  <si>
    <t>Licensee</t>
  </si>
  <si>
    <t>Cadent-NW</t>
  </si>
  <si>
    <t>Input cells</t>
  </si>
  <si>
    <t>Sector</t>
  </si>
  <si>
    <t>Totals cells (of formula within worksheet)</t>
  </si>
  <si>
    <t>Reporting Year:
(e.g.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</si>
  <si>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</si>
  <si>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</si>
  <si>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</si>
  <si>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</si>
  <si>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</si>
  <si>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</si>
  <si>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</si>
  <si>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</si>
  <si>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</si>
  <si>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check £m</t>
  </si>
  <si>
    <t>ED</t>
  </si>
  <si>
    <t>£m 20/21</t>
  </si>
  <si>
    <t>Sharing Factor</t>
  </si>
  <si>
    <t>ET</t>
  </si>
  <si>
    <t>£m 18/19</t>
  </si>
  <si>
    <t>Notional Gearing</t>
  </si>
  <si>
    <t>GD</t>
  </si>
  <si>
    <t>Price basis</t>
  </si>
  <si>
    <t>GT</t>
  </si>
  <si>
    <t>Deadband threshold for materiality checks for use in R8a (Rows 31-93)</t>
  </si>
  <si>
    <t>ESO</t>
  </si>
  <si>
    <t>Deadband threshold for use in R8a (Row 95)</t>
  </si>
  <si>
    <t>Corporate Tax</t>
  </si>
  <si>
    <t>GD&amp;T</t>
  </si>
  <si>
    <t>Price indices*</t>
  </si>
  <si>
    <t>Actual / Forecast index</t>
  </si>
  <si>
    <t>Year end</t>
  </si>
  <si>
    <t>Reporting Year</t>
  </si>
  <si>
    <t>Financial Year Average RPI - CPIH (PIt)</t>
  </si>
  <si>
    <t>Combined RPI-CPIH price index (financial year end)</t>
  </si>
  <si>
    <t>Consumer Prices Index incl. housing costs (financial year average)</t>
  </si>
  <si>
    <t>Long term CPIH inflation forecast</t>
  </si>
  <si>
    <t>LTCPIHt</t>
  </si>
  <si>
    <t>ED2</t>
  </si>
  <si>
    <t>Price Indices*</t>
  </si>
  <si>
    <t>Price Conversion Factors*</t>
  </si>
  <si>
    <t>RPI-CPIH real to nominal prices CF</t>
  </si>
  <si>
    <t>1 year change in Fin Year Average RPI-CPIH</t>
  </si>
  <si>
    <t>Combined real to nominal prices conversion factor (financial year end)</t>
  </si>
  <si>
    <t xml:space="preserve">*Note:  The price conversion factors are derived from price indices in line with the inflation methodology in the PCFM to reflect actuals through June sourced from Office of National Statistics i.e. ONS (Historical data - https://www.ons.gov.uk/economy/inflationandpriceindices/timeseries/l522/mm23) and the forecast from the Office of Budget Responsibility i.e. OBR (https://obr.uk/data). Please refer to chapter 2 of the Price Control Financial Handbook for more information. </t>
  </si>
  <si>
    <t>Allowed cost of debt %</t>
  </si>
  <si>
    <t>SSES</t>
  </si>
  <si>
    <t>NGED-EMID</t>
  </si>
  <si>
    <t>UKPN-EPN</t>
  </si>
  <si>
    <t>ED - excluding SSES,NGED-EMID,UKPN-EPN</t>
  </si>
  <si>
    <t>SHET</t>
  </si>
  <si>
    <t>ET - excluding SHET</t>
  </si>
  <si>
    <t>GD with Uplift</t>
  </si>
  <si>
    <t>Allowed cost of equity %</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</si>
  <si>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</si>
  <si>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</si>
  <si>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</si>
  <si>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</si>
  <si>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</si>
  <si>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</si>
  <si>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</si>
  <si>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</si>
  <si>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</si>
  <si>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</si>
  <si>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</si>
  <si>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</si>
  <si>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</si>
  <si>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</si>
  <si>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</si>
  <si>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UKPN-LPN</t>
  </si>
  <si>
    <t>UKPN-SPN</t>
  </si>
  <si>
    <t>SPD</t>
  </si>
  <si>
    <t>SPMW</t>
  </si>
  <si>
    <t>SSEH</t>
  </si>
  <si>
    <t>NGED-WMID</t>
  </si>
  <si>
    <t>NGED-SWALES</t>
  </si>
  <si>
    <t>NGED-SWEST</t>
  </si>
  <si>
    <t>Cadent-EOE</t>
  </si>
  <si>
    <t>Cadent-London</t>
  </si>
  <si>
    <t>Cadent-WM</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</si>
  <si>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</si>
  <si>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</si>
  <si>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</si>
  <si>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</si>
  <si>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</si>
  <si>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</si>
  <si>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</si>
  <si>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</si>
  <si>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</si>
  <si>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</si>
  <si>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</si>
  <si>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</si>
  <si>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Time to connect ODI</t>
  </si>
  <si>
    <t>Broad Measure of Customer Service ODI</t>
  </si>
  <si>
    <t>Interruptions incentive scheme ODI</t>
  </si>
  <si>
    <t>Major connections ODI</t>
  </si>
  <si>
    <t>Consumer Vulnerability ODI</t>
  </si>
  <si>
    <t>Distribution System Operator ODI</t>
  </si>
  <si>
    <t>Dig, Fix and Go ODI (ENWL only)</t>
  </si>
  <si>
    <t>Collaborative Streetworks ODI (EPN, LPN and SPN only)</t>
  </si>
  <si>
    <t>Customer Satisfaction Survey ODI - (SpC 4.2)</t>
  </si>
  <si>
    <t>Complaints metric ODI - (SpC 4.3)</t>
  </si>
  <si>
    <t>Unplanned Interruption Mean Duration ODI [NGN, SGN and WWU] - (SpC 4.5)</t>
  </si>
  <si>
    <t>`</t>
  </si>
  <si>
    <t>Unplanned Interruption Mean Duration ODI [Cadent only]- (SpC 4.6)</t>
  </si>
  <si>
    <t>Shrinkage Management ODI- (SpC 4.4)</t>
  </si>
  <si>
    <t>Collaborative streetworks ODI [Cadent Lon &amp; EoE, SGN So only]- (SpC 4.7)</t>
  </si>
  <si>
    <t>Customer satisfaction survey ODI- (SpC 4.2)</t>
  </si>
  <si>
    <t>Environmental scorecard ODI- (SpC 4.3)</t>
  </si>
  <si>
    <t>Energy not supplied ODI - (SpC 4.2)</t>
  </si>
  <si>
    <t>Reporting &amp; Incentive Arrangements (ESORIt) - SpC 4.3</t>
  </si>
  <si>
    <t>Insulation And Interruption Gas emissions ODI - (SpC 4.3)</t>
  </si>
  <si>
    <t>Timely Connections ODI - (SpC 4.4)</t>
  </si>
  <si>
    <t>Quality of connections satisfaction survey ODI - (SpC 4.5)</t>
  </si>
  <si>
    <t>SO-TO Optimisation ODI - (SpC 4.7)</t>
  </si>
  <si>
    <t>Environmental scorecard ODI - (SpC 4.6)</t>
  </si>
  <si>
    <t>Other Revenue Allowances (ORA) - Innovation and Incentives only, for each sector used to populate R4</t>
  </si>
  <si>
    <t>Input for R4 - Other Revenue Allowances</t>
  </si>
  <si>
    <t>Network Innovation Allowance</t>
  </si>
  <si>
    <t>Carry-over Network Innovation Allowance</t>
  </si>
  <si>
    <t>RIIO-2 network innovation allowance  - (SpC 5.2)</t>
  </si>
  <si>
    <t>Carry-over Network Innovation Allowance - (SpC 5.3)</t>
  </si>
  <si>
    <t>Network Innovation Allowance- (SpC 5.2)</t>
  </si>
  <si>
    <t>Carry Over RIIO-1 Network Innovation Allowance- (SpC 5.3)</t>
  </si>
  <si>
    <t>Strategic Innovation Fund- (SpC 5.7)</t>
  </si>
  <si>
    <t>Constraint management incentive revenue- (SpC 5.5)</t>
  </si>
  <si>
    <t>Residual balancing incentive - (SpC 5.6)</t>
  </si>
  <si>
    <t>Quality of demand forecasting incentive - (SpC 5.6)</t>
  </si>
  <si>
    <t>Greenhouse gas emissions incentive- (SpC 5.6)</t>
  </si>
  <si>
    <t>Maintenance incentive - (SpC 5.6)</t>
  </si>
  <si>
    <t>Carry Over RIIO-1 Network Innovation Allowance - (SpC 5.3)</t>
  </si>
  <si>
    <t>Constraint management incentive revenue - (SpC 5.5)</t>
  </si>
  <si>
    <t>Greenhouse gas emissions incentive - (SpC 5.6)</t>
  </si>
  <si>
    <t>RIIO-2 network innovation allowance - (SpC 4.6)</t>
  </si>
  <si>
    <t>RIIO-2 network innovation allowance - (SpC 5.2)</t>
  </si>
  <si>
    <t>Carry-over Network Innovation Allowance - (SpC 4.7)</t>
  </si>
  <si>
    <t>Data validation lists for F3-F6 debt tabs</t>
  </si>
  <si>
    <t>sector</t>
  </si>
  <si>
    <t>licensee</t>
  </si>
  <si>
    <t>category</t>
  </si>
  <si>
    <t>Rank</t>
  </si>
  <si>
    <t>Type</t>
  </si>
  <si>
    <t>Maturity Type</t>
  </si>
  <si>
    <t>Core Debt/ Liquidity</t>
  </si>
  <si>
    <t>identifier</t>
  </si>
  <si>
    <t>Pricing Date</t>
  </si>
  <si>
    <t>issue_date</t>
  </si>
  <si>
    <t>maturity_date</t>
  </si>
  <si>
    <t>Early repayment date</t>
  </si>
  <si>
    <t>1st Call Date</t>
  </si>
  <si>
    <t>Currency</t>
  </si>
  <si>
    <t>Amount Issued on Issue Date/ Max loan amount</t>
  </si>
  <si>
    <t>Current Amount Outstanding</t>
  </si>
  <si>
    <t>Amount Issued on Issue Date/ Max loan amount_GBP equiv</t>
  </si>
  <si>
    <t>Current Amount Outstanding_GBP equiv</t>
  </si>
  <si>
    <t>Amount for Use</t>
  </si>
  <si>
    <t>Coupon/ Margin</t>
  </si>
  <si>
    <t>Issue Price</t>
  </si>
  <si>
    <t>Yield to Maturity at Issue Date</t>
  </si>
  <si>
    <t>Rate for use</t>
  </si>
  <si>
    <t>floating_ref_rate</t>
  </si>
  <si>
    <t>inflation_ref_rate</t>
  </si>
  <si>
    <t>Inflation_lag</t>
  </si>
  <si>
    <t>Inflation_Base_Index</t>
  </si>
  <si>
    <t>Commitment Fee</t>
  </si>
  <si>
    <t>LT Issue Rating at Issue Date (S&amp;P/Moodys/Fitch)</t>
  </si>
  <si>
    <t>Current LT Issue Rating (S&amp;P/Moodys/Fitch)</t>
  </si>
  <si>
    <t>Counterparty</t>
  </si>
  <si>
    <t>Transaction expenses</t>
  </si>
  <si>
    <t>Description</t>
  </si>
  <si>
    <t>If amortising, profile submitted?</t>
  </si>
  <si>
    <t>Split flag</t>
  </si>
  <si>
    <t>Bond</t>
  </si>
  <si>
    <t>Senior</t>
  </si>
  <si>
    <t>Fixed</t>
  </si>
  <si>
    <t>Bullet</t>
  </si>
  <si>
    <t>Core debt</t>
  </si>
  <si>
    <t>GBP</t>
  </si>
  <si>
    <t>LIBOR 1 Month</t>
  </si>
  <si>
    <t>RPI</t>
  </si>
  <si>
    <t>Y</t>
  </si>
  <si>
    <t>SGN Scot</t>
  </si>
  <si>
    <t>External Loan</t>
  </si>
  <si>
    <t>Subordinated</t>
  </si>
  <si>
    <t>Floating</t>
  </si>
  <si>
    <t>Bullet 3m par call</t>
  </si>
  <si>
    <t>Liquidity</t>
  </si>
  <si>
    <t>USD</t>
  </si>
  <si>
    <t>LIBOR 3 Month</t>
  </si>
  <si>
    <t>CPI</t>
  </si>
  <si>
    <t>N</t>
  </si>
  <si>
    <t>SGN South</t>
  </si>
  <si>
    <t>Private Placement</t>
  </si>
  <si>
    <t>Class A</t>
  </si>
  <si>
    <t>Inflation Linked</t>
  </si>
  <si>
    <t>Amortising</t>
  </si>
  <si>
    <t>CAD</t>
  </si>
  <si>
    <t>LIBOR 6 Month</t>
  </si>
  <si>
    <t>CPIH</t>
  </si>
  <si>
    <t>N/A</t>
  </si>
  <si>
    <t>Cadent</t>
  </si>
  <si>
    <t>Group company loan (licensee lender)</t>
  </si>
  <si>
    <t>Class B</t>
  </si>
  <si>
    <t>Revolving</t>
  </si>
  <si>
    <t>EUR</t>
  </si>
  <si>
    <t>LIBOR 12 Month</t>
  </si>
  <si>
    <t>Group company loan (licensee borrower)</t>
  </si>
  <si>
    <t>Super Senior</t>
  </si>
  <si>
    <t>Callable</t>
  </si>
  <si>
    <t>NOK</t>
  </si>
  <si>
    <t>SONIA</t>
  </si>
  <si>
    <t>Group Loan from Finco back to back with finco bond issue</t>
  </si>
  <si>
    <t>Other</t>
  </si>
  <si>
    <t>AUD</t>
  </si>
  <si>
    <t>1 day GBP SONIA</t>
  </si>
  <si>
    <t>Swap Pay Leg</t>
  </si>
  <si>
    <t>HKD</t>
  </si>
  <si>
    <t>NGET</t>
  </si>
  <si>
    <t>Swap Receive Leg</t>
  </si>
  <si>
    <t>JPY</t>
  </si>
  <si>
    <t>NGGT</t>
  </si>
  <si>
    <t>Swap pay leg – finco back to back</t>
  </si>
  <si>
    <t>Swap receive leg – finco back to back</t>
  </si>
  <si>
    <t>UKPN EPN</t>
  </si>
  <si>
    <t>UKPN LPN</t>
  </si>
  <si>
    <t>UKPN SPN</t>
  </si>
  <si>
    <t>NGED EMID</t>
  </si>
  <si>
    <t>NGED SWALES</t>
  </si>
  <si>
    <t>NGED SWEST</t>
  </si>
  <si>
    <t>NGED WMID</t>
  </si>
  <si>
    <t>Example</t>
  </si>
  <si>
    <t>Only data validation options to be input above this line</t>
  </si>
  <si>
    <t>Deadband levels for Tax Reconciliation materiality check</t>
  </si>
  <si>
    <t>Table1</t>
  </si>
  <si>
    <t>Deadband values from PCFM - for information purposes (18/19 prices, ED 20/21 prices)</t>
  </si>
  <si>
    <t>Table 2</t>
  </si>
  <si>
    <t>Grossed-up deadband values in Nominal terms - for use in R8a (Rows 46-93)</t>
  </si>
  <si>
    <t>Table3</t>
  </si>
  <si>
    <t>Deadband values from PCFM in Nominal terms - for use in R8a for Corporation Tax Charge (Row 95)</t>
  </si>
  <si>
    <t>Version control</t>
  </si>
  <si>
    <t xml:space="preserve"> </t>
  </si>
  <si>
    <t>Version:</t>
  </si>
  <si>
    <t>Submission</t>
  </si>
  <si>
    <t>Date submitted</t>
  </si>
  <si>
    <t>Changes</t>
  </si>
  <si>
    <t>Submission 1</t>
  </si>
  <si>
    <t>31st August 2022</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</si>
  <si>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</si>
  <si>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</si>
  <si>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</si>
  <si>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</si>
  <si>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</si>
  <si>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</si>
  <si>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</si>
  <si>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</si>
  <si>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</si>
  <si>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</si>
  <si>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</si>
  <si>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</si>
  <si>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</si>
  <si>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</si>
  <si>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</si>
  <si>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</si>
  <si>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</si>
  <si>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</si>
  <si>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</si>
  <si>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</si>
  <si>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</si>
  <si>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</si>
  <si>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F3 - Fixed Rate Debt</t>
  </si>
  <si>
    <t>F4 - Floating Rate Debt</t>
  </si>
  <si>
    <t>F5 - Inflation Linked Debt</t>
  </si>
  <si>
    <t>F6 - Debt Dataset</t>
  </si>
  <si>
    <t>I1 - Universal Data</t>
  </si>
  <si>
    <t>I2 - Monthly Inflation</t>
  </si>
  <si>
    <t>Change log</t>
  </si>
  <si>
    <t>Version</t>
  </si>
  <si>
    <t>Table Reference</t>
  </si>
  <si>
    <t>Changes made to RFPR template</t>
  </si>
  <si>
    <t>Raised By</t>
  </si>
  <si>
    <t>V2.0</t>
  </si>
  <si>
    <t>R2 - row 24 (RRt)</t>
  </si>
  <si>
    <t>Changed the description to add "per latest PCFM" for more clarity. Guidance document has also been amended.</t>
  </si>
  <si>
    <t>Ofgem</t>
  </si>
  <si>
    <t>R8 - Row 21</t>
  </si>
  <si>
    <t>Corrected cell references in formula</t>
  </si>
  <si>
    <t>R3 - row 116, 121, 133, 142</t>
  </si>
  <si>
    <t>Changed the description to '[Input description, add additional rows as required]'</t>
  </si>
  <si>
    <t>R3 - Rows 36 and 37</t>
  </si>
  <si>
    <t xml:space="preserve">Copied and rolled-over D36:D37 formula into future years </t>
  </si>
  <si>
    <t xml:space="preserve">R1 - J22:K28 and J49:K55 </t>
  </si>
  <si>
    <t>Corrected cell references in formula for 'cumulative' and RIIO-2 period'</t>
  </si>
  <si>
    <t>Row 103 formula corrected (was sum now difference)</t>
  </si>
  <si>
    <t>ESO/NGGT(TO)/NGGT(SO)/NGET(TO)</t>
  </si>
  <si>
    <t>R3 - Row 194 &amp;  196</t>
  </si>
  <si>
    <t>Added formula/ corrected cell references in formula</t>
  </si>
  <si>
    <t>ESO/NGGT(TO)/SPT/NGET</t>
  </si>
  <si>
    <t>R1 row 76</t>
  </si>
  <si>
    <t>Formula in J75:K75 dragged down to populate row 76 which was blank.</t>
  </si>
  <si>
    <t>NGGT(SO)</t>
  </si>
  <si>
    <t>R8 Row 21</t>
  </si>
  <si>
    <t>Included if function because top half R8 only completed for actuals on a T+1 basis; therefore if forecast, amount should be zero</t>
  </si>
  <si>
    <t>R3</t>
  </si>
  <si>
    <t>Formula in row 198 amended to compare to row 196 not 194</t>
  </si>
  <si>
    <t>WWU/SPT</t>
  </si>
  <si>
    <t>Formulas in row 5 amended to reflect show that RAV totals in AIP 2021 PCFM are not actuals, therefore flag should remain as forecast until the AIP after the Reg year has passed (as was the case in RIIO-1). For example RAV value in 21/22 AIP for 21/22 was not an actual and therefore the check in row 27 should not be activated until the next regulatory year. AIP 2022 will contain the actual 21/22 RAV value and therefore a check to ensure this matches can be incorporated from 22/23 onwards.</t>
  </si>
  <si>
    <t>5 rows have been added for row 25-29 for the Enduring Value adjustments to Totex performance</t>
  </si>
  <si>
    <t>7 rows have been added for row 139-145 for the opex reconciling adjustments.</t>
  </si>
  <si>
    <t>R9</t>
  </si>
  <si>
    <t>Cells formatted to 3 decimal places  (rows 27 to 65)</t>
  </si>
  <si>
    <t>R8- Tax, rows 64 and 66</t>
  </si>
  <si>
    <t xml:space="preserve">Corrected to add a minus sign in the beginning of the formula </t>
  </si>
  <si>
    <t>Included SIF celll reference in formula</t>
  </si>
  <si>
    <t>F3, F4, F5, F6, I1, I2</t>
  </si>
  <si>
    <t>10/02/2023: Added these tabs into the template. These have been copied in from the propoesd modification to the RFPR published on 1 April 2022. Only changes to formatting and appearance have been made.</t>
  </si>
  <si>
    <t>R5a and R6a</t>
  </si>
  <si>
    <t>10/02/2023: Replaced these tabs with the versions from the proposed modification to the RFPR published on 1 April 2022.  Only changes to formatting and appearance have been made.</t>
  </si>
  <si>
    <t>R5 and R6</t>
  </si>
  <si>
    <t>10/02/2023: Links to R5a and R6a refreshed.</t>
  </si>
  <si>
    <t>Data</t>
  </si>
  <si>
    <r>
      <t xml:space="preserve">10/02/2023: Old R5a &amp; R6a validation lines in </t>
    </r>
    <r>
      <rPr>
        <i/>
        <sz val="10"/>
        <color theme="1"/>
        <rFont val="Verdana"/>
        <family val="2"/>
      </rPr>
      <t xml:space="preserve">Data </t>
    </r>
    <r>
      <rPr>
        <sz val="10"/>
        <color theme="1"/>
        <rFont val="Verdana"/>
        <family val="2"/>
      </rPr>
      <t xml:space="preserve">rows 264-336 deleted and replaced with new validation lines used in the </t>
    </r>
    <r>
      <rPr>
        <i/>
        <sz val="10"/>
        <color theme="1"/>
        <rFont val="Verdana"/>
        <family val="2"/>
      </rPr>
      <t>F6</t>
    </r>
    <r>
      <rPr>
        <sz val="10"/>
        <color theme="1"/>
        <rFont val="Verdana"/>
        <family val="2"/>
      </rPr>
      <t xml:space="preserve"> tab.</t>
    </r>
  </si>
  <si>
    <t>R8, rows 21</t>
  </si>
  <si>
    <t xml:space="preserve">Formula corrected. Logic was not inflating input in 2018/19 prices to nominal values and 2022 tax rate was used for all years. </t>
  </si>
  <si>
    <t>R8, row 34</t>
  </si>
  <si>
    <t xml:space="preserve">Formula corrected. </t>
  </si>
  <si>
    <t>R8a - Cell D16</t>
  </si>
  <si>
    <t>Formula corrected</t>
  </si>
  <si>
    <t>NG</t>
  </si>
  <si>
    <t>R2</t>
  </si>
  <si>
    <t>DA costs have been separated from other operating expenses in R3 - row 124 and 135. Logic in R2 on rows 71,74,77 and 83 has been amended so that DA and non-regulated DA adjustment can be excluded from this section to derive EBITDA. Other necessary changes have also been made to R3 sheet where appropriate. DA costs and non-regulated DA will now be explicitely reflected in next section i.e. rows 83-90.</t>
  </si>
  <si>
    <t>NGGT(SO), NGET, NGN, NGT</t>
  </si>
  <si>
    <t>Amended formula to include "Opening RAV (after transfers)" i.e. row 17 instead of row 15</t>
  </si>
  <si>
    <t xml:space="preserve">Data tab, R4 </t>
  </si>
  <si>
    <t>Amended to add PCFM acronyms/ references and SpCs where applicable</t>
  </si>
  <si>
    <t>NGT</t>
  </si>
  <si>
    <t>Data tab</t>
  </si>
  <si>
    <t>Cell C10, added deadband threshold for sheet R8a, populated from rows 303-331</t>
  </si>
  <si>
    <t xml:space="preserve">Added tables for deadband values per PCFM - rows 303-331 (presentational and grossed-up) in Data tab </t>
  </si>
  <si>
    <t xml:space="preserve">R8a </t>
  </si>
  <si>
    <t>Coulmn M has been inserted for materiality checks (linkage with cell C10 on Data tab)</t>
  </si>
  <si>
    <t>R5-Financing sheet</t>
  </si>
  <si>
    <t>Changed labeling on rows 38,40,44,66,68,70 and 77. Also added a new descriptor on row 81</t>
  </si>
  <si>
    <t>R1 - RORE</t>
  </si>
  <si>
    <t>Updated the formula in cell D84 to =IFERROR('R5 - Financing'!D85,0) and dragged across the remaining years.</t>
  </si>
  <si>
    <t>NGET, NGN</t>
  </si>
  <si>
    <t xml:space="preserve">Updated the formula in cell D85 to =IFERROR('R5 - Financing'!D87,0) and dragged across the remaining years.
</t>
  </si>
  <si>
    <t xml:space="preserve">Updated the formula in cell D86 to =IFERROR('R8 - Tax'!E60,0) and dragged across the remaining years.
</t>
  </si>
  <si>
    <t xml:space="preserve">Updated the formula in cell D87 to =IFERROR('R8 - Tax'!E62,0) and dragged across the remaining years.
</t>
  </si>
  <si>
    <t>Corrected the formula to refer to column H instead of column I with the exception of row 16 which is correctly comparing CT600 against the gross calculated tax allowance.</t>
  </si>
  <si>
    <t>Data tab M304-S332</t>
  </si>
  <si>
    <t>Gross-up calculation for deadband values per PCFM - rows 303-331 (presentational and grossed-up) in Data tab and created linkage with cell C10</t>
  </si>
  <si>
    <t>Data M304-S332</t>
  </si>
  <si>
    <t>Changed values to nominal and grossed up for tax on tax to feed into materiality checks in rows 44-93 in R8a</t>
  </si>
  <si>
    <t>SGN, WWU</t>
  </si>
  <si>
    <t>Data M339- M367</t>
  </si>
  <si>
    <t>Incorporated a new table to change values to nominal that feed into materiality check in row 95 (tax charge)</t>
  </si>
  <si>
    <t>Data tab - Cell C10</t>
  </si>
  <si>
    <t>Added to lookup deadband threshold values from Table 2 (M04-S332) for materiality checks for use in R8a (Rows 44-93)</t>
  </si>
  <si>
    <t>Data tab - Cell C11</t>
  </si>
  <si>
    <t>Added to lookup deadband threshold values from Table 3 (M04-S332) for materiality checks for use in R8a - Tax charge (Row95)</t>
  </si>
  <si>
    <t>Data D273-D274</t>
  </si>
  <si>
    <t>Added in Data tab “Swap pay leg – finco back to back” in D273, and “Swap receive leg – finco back to back” in D274.</t>
  </si>
  <si>
    <t>R8a</t>
  </si>
  <si>
    <t xml:space="preserve">Previous version of Col I and J deleted </t>
  </si>
  <si>
    <t>Deleted materiality checks from row 31 and above as it's not mandatory for licensees to explain those differences</t>
  </si>
  <si>
    <t>Corrected formula in col L to look up correct cell references</t>
  </si>
  <si>
    <t>SPEN, ESO, NGET</t>
  </si>
  <si>
    <t>Removed the word 'turnover' in cells A35, A38 and A41</t>
  </si>
  <si>
    <t>ESO, NGET</t>
  </si>
  <si>
    <t>R8</t>
  </si>
  <si>
    <t xml:space="preserve">Changed the label in cell B11 and description in cell J11 </t>
  </si>
  <si>
    <t>SPEN, ESO</t>
  </si>
  <si>
    <t>Labels are now fomula driven in cells B11 and B45 to include "repex" term only referring to GD2</t>
  </si>
  <si>
    <t>SPEN</t>
  </si>
  <si>
    <t>R8 - Cell J11</t>
  </si>
  <si>
    <t>Comment amended to - "R8 row 11 must match with worksheet R8a row 95 minus regulatory adjustments."</t>
  </si>
  <si>
    <t>R4</t>
  </si>
  <si>
    <t>Added formulae/ logic to generate cumulative values in col I and J</t>
  </si>
  <si>
    <t>v2.0</t>
  </si>
  <si>
    <t>R6</t>
  </si>
  <si>
    <t>15/06/2023: Added in new section for reconciliation to statutory accounts:
R6 cell B21: row label changed from "Total Debt per Statutory Accounts" to "Total Modelled Debt"
R6 add in thirteen new rows below row 46 ("Closing regulatory net debt including forecast new debt/refinancing". These rows are headed "Conversion from Regulatory (RIIO-2) Definition of Net Debt to Statutory Net Debt"</t>
  </si>
  <si>
    <t>R5a</t>
  </si>
  <si>
    <t>15/06/2023: Added in additional overwrite lines for Debt Interest Expense
R5a add in five new rows below row 53. This adds in five new "Other adjustment (Overwrite)" lines above "Sub Total: "Debt Interest Expense"
R5a row 59 "Sub Total: "Debt Interest Expense" formula amended to incorporate the five new rows. In Column M, changed from "=SUM(M40:M53)" to "=SUM(M40:M58)" and pasted across the row.</t>
  </si>
  <si>
    <t>R1-R10, F3-F6, I1-I2</t>
  </si>
  <si>
    <t xml:space="preserve">Non-input cells have been password protected to prevent any over-writing </t>
  </si>
  <si>
    <t>unprotected sheet/ unlocked all cells</t>
  </si>
  <si>
    <t>R8a - Cell G16</t>
  </si>
  <si>
    <t>modified the label to correct PCFM reference for ESO</t>
  </si>
  <si>
    <t>Ofgem, ESO</t>
  </si>
  <si>
    <t>corrected error in calculation - modified the formula to exclude H90 (Profits used to offset outstanding losses - excluded from Corporation Tax)</t>
  </si>
  <si>
    <t xml:space="preserve">R6a </t>
  </si>
  <si>
    <t>Unlocked yellow input cells in rows 65-76</t>
  </si>
  <si>
    <t>Ofgem, NGET</t>
  </si>
  <si>
    <t>Corrected formula in row 59</t>
  </si>
  <si>
    <t>Monhly Inflation tab</t>
  </si>
  <si>
    <t>Updated actuals through June 2023</t>
  </si>
  <si>
    <t>Updated "I1 - Universal Data" cells P15:Q16 with the latest inflation data per PCFM for use in AIP (with Actuals through June 2023)</t>
  </si>
  <si>
    <t>Updated "I1 - Universal Data" cells E31:V35 with the latest LIBOR and SONIA rates as of 30 June 2023</t>
  </si>
  <si>
    <t>Updated "I2 - Monthly Inflation" cells C294:D296 with latest inflation data per PCFM for use in AIP  (with Actuals through June 2023)</t>
  </si>
  <si>
    <t>Updated rows C17:J17,C18:J18 and C20:J20 with latest inflation data per PCFM for use in AIP (with actuals through 30 June 2023)</t>
  </si>
  <si>
    <t>v3.0</t>
  </si>
  <si>
    <t>RFPR cover tab</t>
  </si>
  <si>
    <t>Inserted formula in cell C6 for RIIO-2 start date</t>
  </si>
  <si>
    <t xml:space="preserve">Data tab </t>
  </si>
  <si>
    <t>Updated ED sector data for cost of debt, cost of equity, sharing factor, gearing, BPI,ODIs, ORAs &amp; change of WPD name to NGED</t>
  </si>
  <si>
    <t>Updated Combined RPI-CPIH price index on row 17-21 with the latest figures as reflected in the last published PCFM on 30/01/2024</t>
  </si>
  <si>
    <t>Updated Allowed cost of debt from row 41-46 with the latest figures as reflected in the last published PCFM on 30/01/2024</t>
  </si>
  <si>
    <t>Updated Allowed cost of equity from row 51-54 with the latest figures as reflected in the last published PCFM on 30/01/2024</t>
  </si>
  <si>
    <t>R4 - Incentives and other Rev</t>
  </si>
  <si>
    <t>Reconfigured cell D12-H12 to derive BPI figures from the Data tab</t>
  </si>
  <si>
    <t>v3.1</t>
  </si>
  <si>
    <t>R8a - cell D16</t>
  </si>
  <si>
    <t>Corrected - Hardcoded value changed to formula - IFERROR(INDEX('R2 - Rec to Revenue and Profit'!$E$58:$I$58,MATCH('R8a - Tax Reconciliation'!$B$6,'R2 - Rec to Revenue and Profit'!$E$6:$I$6)),0)</t>
  </si>
  <si>
    <t>Ofgem/ NGET</t>
  </si>
  <si>
    <t>I1 - Universal data, cell A9</t>
  </si>
  <si>
    <t>Corrected  text in A9 to "Pricebase Year"</t>
  </si>
  <si>
    <t xml:space="preserve">R3 - C163 </t>
  </si>
  <si>
    <t>Linked price base to cell C9 from Data tab</t>
  </si>
  <si>
    <t>Ofgem/ NGED</t>
  </si>
  <si>
    <t>Data tab  - Rows 310-373</t>
  </si>
  <si>
    <t>Reflected name change from WPD to NGED where applicable</t>
  </si>
  <si>
    <t>Data tab - ED2 combined RPI-CPIH combined price index  (rows 24-29)</t>
  </si>
  <si>
    <t>The new table has been added to include ED2 PIt</t>
  </si>
  <si>
    <t xml:space="preserve">Data tab - Corp Tax line </t>
  </si>
  <si>
    <t>Shifted to row 13</t>
  </si>
  <si>
    <t>Amended formulae for text in cell c13 and c15 and inserted a row for FPt (row 18) to accommodate changes related to ED sector</t>
  </si>
  <si>
    <t>Included formulae in cell B15</t>
  </si>
  <si>
    <t xml:space="preserve">R7 - RAV, cell F30 </t>
  </si>
  <si>
    <t>Changed the logic to add linkages to ED2 table on data tab (rows 24-29)</t>
  </si>
  <si>
    <t>Data tab - rows 132-139</t>
  </si>
  <si>
    <t>Changed to incorporate incentives to feed in R4 sheet for NGGT(TO+SO)</t>
  </si>
  <si>
    <t>I1 Universal data tab</t>
  </si>
  <si>
    <t>Deleted rows 25-28 as these were GD&amp;T only and did not have any inter-linkages</t>
  </si>
  <si>
    <t xml:space="preserve">Deleted column I as t's redundant </t>
  </si>
  <si>
    <t>v3.2</t>
  </si>
  <si>
    <t>Descriptions in cells B163 &amp; B164 and formula in cells D165:H165 adjusted to accommodate requirements related to ED sector</t>
  </si>
  <si>
    <t>R8a - row 30</t>
  </si>
  <si>
    <t>Inserted description "Insert rows as required"</t>
  </si>
  <si>
    <t>WWU/ Ofgem</t>
  </si>
  <si>
    <t>R5 - row 31</t>
  </si>
  <si>
    <t>Renamed to add text "Regulatory" to row 31 - should read as "Regulatory Net Interest including forecast new financing/refinancing costs"</t>
  </si>
  <si>
    <t>R8a - row 93 and 95</t>
  </si>
  <si>
    <t>Renamed the rows to include (pre-group relief) on rows 93 and 95.</t>
  </si>
  <si>
    <t>NGET/WWU</t>
  </si>
  <si>
    <t>R8a - row 93</t>
  </si>
  <si>
    <t>Amended the formula in cell J93 to IF(E$11&lt;&gt;"",IF(OR(B$11="No Filing Date","Enter Filing Date",E$11&lt;D$11),"Error in Filing Date",IF('R8a - Tax Reconciliation'!B$11="Original Filing",D93-H93,E93-H93)),IF(OR(B$11="No Filing Date","Enter Filing Date"),"Error in Filing Date",IF('R8a - Tax Reconciliation'!B$11="Original Filing",D93-H93,E93-H93)))</t>
  </si>
  <si>
    <t>RFPR Template v3.2</t>
  </si>
  <si>
    <t xml:space="preserve">Version unprotected for future circulation
</t>
  </si>
  <si>
    <t>NGT/NPG/Ofgem</t>
  </si>
  <si>
    <t>R5 – Financing (E30)</t>
  </si>
  <si>
    <t>Changed the greyed 'RY2025 Forecast new financing/refinancing Net Interest costs' to a yellow input cell</t>
  </si>
  <si>
    <t>UKPN</t>
  </si>
  <si>
    <t>R7 – RAV (row 32)</t>
  </si>
  <si>
    <t>Updated the formula in cell F32 tab R7 to ''=F24*Data!H36'' i.e, Closing RAV 2020/21 prices x Combined real to nominal prices conversion factor at 2024</t>
  </si>
  <si>
    <t>Data - Roes 19-21, 28-29</t>
  </si>
  <si>
    <t>Updated the values per the latest inflation data circulated to all companies in April 2024</t>
  </si>
  <si>
    <t>NPG</t>
  </si>
  <si>
    <t>R2 – row 15</t>
  </si>
  <si>
    <t>Inserted text in cell B14 to state that "not applicable to the ED sector"</t>
  </si>
  <si>
    <t>Updated cell B174 to NGET (TO) instead of NGET (SO) to pull through to the R4 tab correctly.</t>
  </si>
  <si>
    <t>NGET/NGED</t>
  </si>
  <si>
    <t xml:space="preserve">"Updated the following formula:
B73: ='R4 - Incentives and Other Rev'!B19
D73: ='R4 - Incentives and Other Rev'!D19
E73: ='R4 - Incentives and Other Rev'!E19
F73: ='R4 - Incentives and Other Rev'!F19
G73: ='R4 - Incentives and Other Rev'!G19
H73: ='R4 - Incentives and Other Rev'!H19"
</t>
  </si>
  <si>
    <t>NGET/NGED/ UKPN</t>
  </si>
  <si>
    <t>RFPR template - Data worksheet</t>
  </si>
  <si>
    <t>Updated the formula in cell E34 to =IF(SectorCov="ED2",E28/INDEX($C$28:$N$28,MATCH($E$27,$C$27:$N$27,0)),E19/INDEX($C$19:$N$19,MATCH($C$18,$C$18:$N$18,0)))</t>
  </si>
  <si>
    <t>Changed text in cell F6 to "check £m"  in place of "Materiality £m"</t>
  </si>
  <si>
    <t>NGT/ Cadent</t>
  </si>
  <si>
    <t>I1 - Universal data</t>
  </si>
  <si>
    <t xml:space="preserve">Data updated in rows 15 and 16 per latest March 2024 OBR release </t>
  </si>
  <si>
    <t xml:space="preserve">Changed/ added new label on rows 15, 24 i.e. "Price Indices"  and on row 31 - "Price conversion factrors"  </t>
  </si>
  <si>
    <t>Added a note on row 37 regarding the price indices and conversion factors</t>
  </si>
  <si>
    <t>Ofgem/ NPg</t>
  </si>
  <si>
    <t>Interest rates updated E26:V30</t>
  </si>
  <si>
    <t>R6a - Net Debt input, cell D65</t>
  </si>
  <si>
    <t>Spare adjustment slot in the 'Conversion to Regulatory (RIIO-2) Definition of Net Debt' section replaced with "Discounts (premiums) for fixed rate debt"</t>
  </si>
  <si>
    <t>C154 (Commitment Fees) cell colour changed from yellow (input) to white (fixed). New row added below (C155) for any other adjustments. "Total Interest Paid as per cash flow statement" (row 156) amended to include the new row in the SUM formula.</t>
  </si>
  <si>
    <t>R8a - Cell D93, E93</t>
  </si>
  <si>
    <t>Changed the formula in these cells to match H93 = (Max(H81-H90),0)</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</si>
  <si>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</si>
  <si>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</si>
  <si>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</si>
  <si>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</si>
  <si>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</si>
  <si>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</si>
  <si>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</si>
  <si>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</si>
  <si>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</si>
  <si>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</si>
  <si>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</si>
  <si>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</si>
  <si>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</si>
  <si>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</si>
  <si>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</si>
  <si>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</si>
  <si>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</si>
  <si>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</si>
  <si>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</si>
  <si>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</si>
  <si>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</si>
  <si>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</si>
  <si>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</si>
  <si>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</si>
  <si>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</si>
  <si>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</si>
  <si>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</si>
  <si>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</si>
  <si>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</si>
  <si>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</si>
  <si>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</si>
  <si>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</si>
  <si>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</si>
  <si>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</si>
  <si>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</si>
  <si>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</si>
  <si>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</si>
  <si>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</si>
  <si>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</si>
  <si>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</si>
  <si>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</si>
  <si>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 not applicable to ED sector</t>
  </si>
  <si>
    <t>Legacy Allowed Revenue</t>
  </si>
  <si>
    <t>K Correction Factor</t>
  </si>
  <si>
    <t>Forecasting penalty (ED only)</t>
  </si>
  <si>
    <t>FPt</t>
  </si>
  <si>
    <t>Allowed Network Revenue</t>
  </si>
  <si>
    <t>(Under) / Over recovery</t>
  </si>
  <si>
    <t>Collected Regulated Network Revenue (per latest PCFM)</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</si>
  <si>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</si>
  <si>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</si>
  <si>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</si>
  <si>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</si>
  <si>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</si>
  <si>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</si>
  <si>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</si>
  <si>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</si>
  <si>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</si>
  <si>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</si>
  <si>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Accruals</t>
  </si>
  <si>
    <t>Total Other Turnover Items</t>
  </si>
  <si>
    <t>Other adjustments - please list</t>
  </si>
  <si>
    <t>Excluded Services (Inc. Customer Contributions)</t>
  </si>
  <si>
    <t>Meter Reading and metering</t>
  </si>
  <si>
    <t>Services provided under consents</t>
  </si>
  <si>
    <t>IFRS 15 Contribution released</t>
  </si>
  <si>
    <t>Theft of Gas</t>
  </si>
  <si>
    <t>Bad Debt</t>
  </si>
  <si>
    <t>Supplier of Last Resort</t>
  </si>
  <si>
    <t>R&amp;D Tax Credit</t>
  </si>
  <si>
    <t>Other three network revenues</t>
  </si>
  <si>
    <t>[Input description]</t>
  </si>
  <si>
    <t>Total other adjustments</t>
  </si>
  <si>
    <t>Reconciled total revenue</t>
  </si>
  <si>
    <t>Turnover as per Profit and Loss (Stat Accounts)</t>
  </si>
  <si>
    <t>Check</t>
  </si>
  <si>
    <t>Reconciliation: Regulated Network Profit to Statutory Accounts</t>
  </si>
  <si>
    <t>Turnover/Revenue as per Statutory Accounts</t>
  </si>
  <si>
    <t xml:space="preserve">Collected Regulated Network Revenue  </t>
  </si>
  <si>
    <t>To be manually entered by Cadent (combined networks regulated revenue)</t>
  </si>
  <si>
    <t>Operating Costs, Pensions and Other Costs as per Statutory Accounts (excluding depreciation &amp; amortisation)</t>
  </si>
  <si>
    <t>Reconciliation</t>
  </si>
  <si>
    <t>Total Costs not related to the price control Regulated business (excluding depreciation &amp; amortisation)</t>
  </si>
  <si>
    <t>Atypical costs adjustment (reported on cash basis)</t>
  </si>
  <si>
    <t>Total Operating Costs as reported in the latest RRP submission (excluding depreciation &amp; amortisation)</t>
  </si>
  <si>
    <t xml:space="preserve">Difference </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</si>
  <si>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</si>
  <si>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</si>
  <si>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</si>
  <si>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</si>
  <si>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</si>
  <si>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</si>
  <si>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</si>
  <si>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</si>
  <si>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</si>
  <si>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</si>
  <si>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</si>
  <si>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</si>
  <si>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Difference</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</si>
  <si>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</si>
  <si>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</si>
  <si>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</si>
  <si>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</si>
  <si>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</si>
  <si>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</si>
  <si>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</si>
  <si>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</si>
  <si>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</si>
  <si>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</si>
  <si>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</si>
  <si>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</si>
  <si>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</si>
  <si>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</si>
  <si>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</si>
  <si>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</si>
  <si>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</si>
  <si>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[Cross Price Control]</t>
  </si>
  <si>
    <t>[other Enduring Value adjustment]</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</si>
  <si>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</si>
  <si>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</si>
  <si>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</si>
  <si>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</si>
  <si>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</si>
  <si>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</si>
  <si>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 xml:space="preserve">Totex allowance 
  </t>
  </si>
  <si>
    <t>Repex (only applicable for GD2)</t>
  </si>
  <si>
    <t>Latest Repex actuals/forecast</t>
  </si>
  <si>
    <t xml:space="preserve">Totex allowance 
 </t>
  </si>
  <si>
    <t>Totex Summary</t>
  </si>
  <si>
    <t>Total out(under) performance</t>
  </si>
  <si>
    <t>Customer share of performance</t>
  </si>
  <si>
    <t>Total</t>
  </si>
  <si>
    <t>Reconciliation to Totex</t>
  </si>
  <si>
    <t>Total Expenditure Per Accounts</t>
  </si>
  <si>
    <t>[Input description, add additional rows as required]</t>
  </si>
  <si>
    <t>Capex Incurred</t>
  </si>
  <si>
    <t>Other Operating Expenses (Opex)</t>
  </si>
  <si>
    <t>Opex Incurred (excluding Depreciation &amp; Amortisation)</t>
  </si>
  <si>
    <t>Total Expenditure Incurred</t>
  </si>
  <si>
    <t>Reconciling Items to Total Net costs after non-price control allocations</t>
  </si>
  <si>
    <t>Opex Reconciling Adjustments</t>
  </si>
  <si>
    <t>Total Opex adj. (excluding Depreciation &amp; Amortisation)</t>
  </si>
  <si>
    <t>Capex Reconciling Adjustments</t>
  </si>
  <si>
    <t xml:space="preserve">Total </t>
  </si>
  <si>
    <t>Total Reconciling Items</t>
  </si>
  <si>
    <t>Total Net costs after non-price control allocations</t>
  </si>
  <si>
    <t>Total Costs per latest RRP submission(all sectors except ED &amp; ESO)*</t>
  </si>
  <si>
    <t>licensee to provide cell reference to new RRP</t>
  </si>
  <si>
    <t>Total Costs per latest RRP submission (ED &amp; ESO)*</t>
  </si>
  <si>
    <t>Total Costs per latest RRP submission</t>
  </si>
  <si>
    <t>check</t>
  </si>
  <si>
    <t>FORMULA NEEDS CORRECTING i.e. currently says if there is a number in F169 report N/A?, I HAVE CORRECTED THE FORMULA IN D-F170</t>
  </si>
  <si>
    <t>Reconciling Items to Totex</t>
  </si>
  <si>
    <t>Total reconciling items not recognised in totex</t>
  </si>
  <si>
    <t>Reconciled Totex</t>
  </si>
  <si>
    <t>PCFM/ RRP reported Totex</t>
  </si>
  <si>
    <t>for ESO and NGET, this row should be inputted directly from the PCFM</t>
  </si>
  <si>
    <t>Not relevant for ESO</t>
  </si>
  <si>
    <t>*Licensee to provide a cell reference to the latest submitted RRP file from where the value is taken and note it in supporting comments/ narrative section below.</t>
  </si>
  <si>
    <t>R4 - Incentives and Other Revenue</t>
  </si>
  <si>
    <t>Output Incentives (Post Tax)</t>
  </si>
  <si>
    <t>Business Plan Incentive (per latest PCFM company-specific Input Sheet)</t>
  </si>
  <si>
    <t>Output Incentives  (per latest PCFM company-specific Input Sheet)</t>
  </si>
  <si>
    <t>h</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</si>
  <si>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</si>
  <si>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</si>
  <si>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</si>
  <si>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</si>
  <si>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NIAt</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</si>
  <si>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</si>
  <si>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</si>
  <si>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</si>
  <si>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</si>
  <si>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</si>
  <si>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</si>
  <si>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Carry Over RIIO-1 Network Innovation Allowance</t>
  </si>
  <si>
    <t>CNIAt</t>
  </si>
  <si>
    <t>Eligible NIA expenditure and Bid Preparation costs</t>
  </si>
  <si>
    <t>Allowed CNIA adjustment</t>
  </si>
  <si>
    <t>Carry-over Network innovation input for RORE</t>
  </si>
  <si>
    <t>Strategic Innovation Fund</t>
  </si>
  <si>
    <t>SIFt</t>
  </si>
  <si>
    <t>SIF Funding</t>
  </si>
  <si>
    <t>SIF Funding Return (Disallowed Expenditure only)</t>
  </si>
  <si>
    <t>Allowed SIF adjustment</t>
  </si>
  <si>
    <t>Strategic innovation input for RORE</t>
  </si>
  <si>
    <t xml:space="preserve">Incentives </t>
  </si>
  <si>
    <t>Actuals may be updated once all incentives are determined - 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</si>
  <si>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</si>
  <si>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</si>
  <si>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</si>
  <si>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</si>
  <si>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Regulatory Net Interest including forecast new financing/refinancing costs</t>
  </si>
  <si>
    <t>External Net Interest</t>
  </si>
  <si>
    <t>Intra-company Net Interest</t>
  </si>
  <si>
    <t>Memo: Net interest (RIIO-2) Definition that relates to non-cash principal inflation accretion on bonds and loans</t>
  </si>
  <si>
    <t>Inflation component of nominal finance cost</t>
  </si>
  <si>
    <t xml:space="preserve">In-period real finance cost (reg terms) at actual gearing </t>
  </si>
  <si>
    <t>Combined RPI-CPIH real to nominal prices conversion</t>
  </si>
  <si>
    <t>Factor</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</si>
  <si>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</si>
  <si>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</si>
  <si>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</si>
  <si>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</si>
  <si>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</si>
  <si>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</si>
  <si>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In-period real finance cost (reg terms) at actual gearing</t>
  </si>
  <si>
    <t>Adjustment to regulatory finance cost relating to variance from notional gearing</t>
  </si>
  <si>
    <t>In-period real finance cost (reg terms) at notional gearing</t>
  </si>
  <si>
    <t>Adjustments to be applied for performance assessment (at notional gearing)</t>
  </si>
  <si>
    <t>Cost of Debt Allowance</t>
  </si>
  <si>
    <t xml:space="preserve">The latest PCFM contains the allowed cost of debt rate (%) for the reporting year. </t>
  </si>
  <si>
    <t>Real Cost of Debt Allowance as per latest published PCFM (prior year AIP)</t>
  </si>
  <si>
    <t>Out(under) performance</t>
  </si>
  <si>
    <t xml:space="preserve">The real cost of debt is compared against the regulatory debt allowance (set in real terms) for an assessment of performance given the inflation protection provided by RAV indexation. </t>
  </si>
  <si>
    <t>Pre-Tax performance</t>
  </si>
  <si>
    <t>Pre-Tax Cost of Debt out(under)performance at actual gearing</t>
  </si>
  <si>
    <t>Pre-Tax Cost of Debt out(under)performance at notional gearing</t>
  </si>
  <si>
    <t>Pre-Tax Impact on out(under) performance relating to deviating from notional levels of gearing</t>
  </si>
  <si>
    <r>
      <rPr>
        <u/>
        <sz val="10"/>
        <rFont val="Gill Sans MT"/>
        <family val="2"/>
      </rPr>
      <t>Note:</t>
    </r>
    <r>
      <rPr>
        <sz val="10"/>
        <rFont val="Gill Sans MT"/>
        <family val="2"/>
      </rPr>
      <t xml:space="preserve"> Please report debt costs for each debt type, segregating each type between the income statement and the cash flow statement. Please report historical and expected costs for embedded debt &amp; associated products only (ie do not forecast refinancing or new debt issuance costs).</t>
    </r>
  </si>
  <si>
    <t>RIIO-2</t>
  </si>
  <si>
    <t>RIIO-3</t>
  </si>
  <si>
    <t>Column offset for debt sheets</t>
  </si>
  <si>
    <t>Years ending 31 March</t>
  </si>
  <si>
    <t>Income statement (P&amp;L) charge</t>
  </si>
  <si>
    <t>Debt instruments categories</t>
  </si>
  <si>
    <t>Cash Flow</t>
  </si>
  <si>
    <t>Analysis of financing costs as per income statement</t>
  </si>
  <si>
    <t>Income statement debits and cash out flows entered as +ve values, credits as -ve values</t>
  </si>
  <si>
    <t>£m</t>
  </si>
  <si>
    <t>Overdrafts</t>
  </si>
  <si>
    <t>Commercial Paper</t>
  </si>
  <si>
    <t>H-I.</t>
  </si>
  <si>
    <t>Derivatives</t>
  </si>
  <si>
    <t>Other adjustment (Overwrite)</t>
  </si>
  <si>
    <t>Sub Total: "Debt Interest Expense"</t>
  </si>
  <si>
    <t>Plus pensions: interest on scheme liabilities</t>
  </si>
  <si>
    <t>Plus unwinding of discount on provisions</t>
  </si>
  <si>
    <t>Plus debt redemption costs</t>
  </si>
  <si>
    <t>Plus Preference dividends</t>
  </si>
  <si>
    <t>Plus commitment fees</t>
  </si>
  <si>
    <t>Less Interest capitalised</t>
  </si>
  <si>
    <t xml:space="preserve">Plus losses on derivative financial instruments </t>
  </si>
  <si>
    <t>Other interest payable</t>
  </si>
  <si>
    <t>Total Interest Expense and Finance costs as per Income statement</t>
  </si>
  <si>
    <t>Analysis of interest income as per income statement (Interest Received as per P&amp;L)</t>
  </si>
  <si>
    <t>Cash and cash equivalents</t>
  </si>
  <si>
    <t>Available for sale investments</t>
  </si>
  <si>
    <t>External loans and receivables</t>
  </si>
  <si>
    <t>Sub total "debt interest paid"</t>
  </si>
  <si>
    <t>Plus pensions: expected return on scheme assets</t>
  </si>
  <si>
    <t>Plus other, non debt, elements of interest recd.</t>
  </si>
  <si>
    <t xml:space="preserve">Plus gains on derivative financial instruments </t>
  </si>
  <si>
    <t>Total Interest income as per income statement</t>
  </si>
  <si>
    <t>Net Interest Calculation</t>
  </si>
  <si>
    <t>Total Interest Expense &amp; Finance Costs</t>
  </si>
  <si>
    <t>Total Interest Income</t>
  </si>
  <si>
    <t>Net Interest Per Statutory Accounts</t>
  </si>
  <si>
    <t>Allocation of net interest (Per income statement. Transmission companies only)</t>
  </si>
  <si>
    <t>GSO System operator allocation (transmission companies only)</t>
  </si>
  <si>
    <t>Transmission or distribution allocation</t>
  </si>
  <si>
    <t>Conversion to Regulatory (RIIO-2) Definition of Net Interest</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</si>
  <si>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</si>
  <si>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</si>
  <si>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</si>
  <si>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</si>
  <si>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</si>
  <si>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</si>
  <si>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</si>
  <si>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</si>
  <si>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Add back Debt Issuance expenses</t>
  </si>
  <si>
    <t>Costs of early redemption on long term debt (excluding exceptional costs of buy backs associated with M&amp;A activity)</t>
  </si>
  <si>
    <t>Add accrual for inflation accretion on index-linked swaps (if applicable)</t>
  </si>
  <si>
    <t>Other Adjustments [please specify]</t>
  </si>
  <si>
    <t>Allocation of net interest (Per regulatory definition. Transmission companies only)</t>
  </si>
  <si>
    <t>System operator allocation (transmission companies only)</t>
  </si>
  <si>
    <t>Inputs to Tax Clawback Calculation</t>
  </si>
  <si>
    <t>Total Net Debt Per Regulatory (RIIO-2) Definition</t>
  </si>
  <si>
    <t>Analysis of financing costs as per cash flow statement</t>
  </si>
  <si>
    <t>Cash flow statement debits and cash out flows entered as +ve values, credits as -ve values</t>
  </si>
  <si>
    <t>Analysis of interest paid as per cash flow statement</t>
  </si>
  <si>
    <t>Sub Total: "debt interest paid"</t>
  </si>
  <si>
    <t>Plus other, non debt elements of interest paid</t>
  </si>
  <si>
    <t>RCF Commitment Fees</t>
  </si>
  <si>
    <t>Total Interest Paid as per cash flow statement</t>
  </si>
  <si>
    <t>Analysis of interest received as per cash flow statement</t>
  </si>
  <si>
    <t>Sub total "debt interest received"</t>
  </si>
  <si>
    <t>Plus pensions: interest received on scheme assets</t>
  </si>
  <si>
    <t xml:space="preserve">Plus interest received on derivative financial instruments </t>
  </si>
  <si>
    <t>Total Interest Received as per cash flow statement</t>
  </si>
  <si>
    <t>Net Interest Calculation (per cash flow statement)</t>
  </si>
  <si>
    <t>Interest &amp; Finance costs (cash outflow)</t>
  </si>
  <si>
    <t>Interest &amp; Finance costs (cash inflow)</t>
  </si>
  <si>
    <t>Net cash flow Statutory Accounts</t>
  </si>
  <si>
    <t>Allocation of net interest (Per cash flow statement. Transmission companies only)</t>
  </si>
  <si>
    <t>Summary of interest payments amounts by debt types (from debt calculation sheets)</t>
  </si>
  <si>
    <t>Pre derivative</t>
  </si>
  <si>
    <t>Fixed rate</t>
  </si>
  <si>
    <t>Floating rate</t>
  </si>
  <si>
    <t>RPI linked - excluding accretion</t>
  </si>
  <si>
    <t>CPI linked - excluding accretion</t>
  </si>
  <si>
    <t>CPIH linked - excluding accretion</t>
  </si>
  <si>
    <t>RPI linked - principal inflation accretion</t>
  </si>
  <si>
    <t>CPI linked - principal inflation accretion</t>
  </si>
  <si>
    <t>CPIH linked - principal inflation accretion</t>
  </si>
  <si>
    <t>Derivative</t>
  </si>
  <si>
    <t>Post derivative</t>
  </si>
  <si>
    <t>End of sheet</t>
  </si>
  <si>
    <t>Opening Cash, short term deposits and overdrafts (per Balance Sheet)</t>
  </si>
  <si>
    <t>Closing Cash, short term deposits and overdrafts (per Balance Sheet)</t>
  </si>
  <si>
    <t>Total Modelled Debt</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</si>
  <si>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</si>
  <si>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</si>
  <si>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</si>
  <si>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</si>
  <si>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</si>
  <si>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</si>
  <si>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Conversion from Regulatory (RIIO-2) Definition of Net Debt to Statutory Net Debt</t>
  </si>
  <si>
    <t>1. Fair value adjustments</t>
  </si>
  <si>
    <t>2. Accrued interest</t>
  </si>
  <si>
    <t>3. Derivatives - other than cross currency swaps</t>
  </si>
  <si>
    <t>4. Balancing value on cross currency swaps</t>
  </si>
  <si>
    <t>5. IFRS 16 Right of Use Lease Liability</t>
  </si>
  <si>
    <t>8. [Insert adjustment as necessary]</t>
  </si>
  <si>
    <t>9. [Insert adjustment as necessary]</t>
  </si>
  <si>
    <t>10. [Insert adjustment as necessary]</t>
  </si>
  <si>
    <t>Net Debt per Statutory Accounts</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</si>
  <si>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</si>
  <si>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</si>
  <si>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</si>
  <si>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</si>
  <si>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</si>
  <si>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</si>
  <si>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</si>
  <si>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</si>
  <si>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</si>
  <si>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</si>
  <si>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r>
      <rPr>
        <u/>
        <sz val="10"/>
        <rFont val="Gill Sans MT"/>
        <family val="2"/>
      </rPr>
      <t>Note:</t>
    </r>
    <r>
      <rPr>
        <sz val="10"/>
        <rFont val="Gill Sans MT"/>
        <family val="2"/>
      </rPr>
      <t xml:space="preserve"> Please report general information for each type of embedded debt only (ie do not forecast refinancing or new debt issuance). Please complete a separate row for each issuance (including tap issuance).</t>
    </r>
  </si>
  <si>
    <r>
      <rPr>
        <u/>
        <sz val="10"/>
        <rFont val="Gill Sans MT"/>
        <family val="2"/>
      </rPr>
      <t>Note:</t>
    </r>
    <r>
      <rPr>
        <sz val="10"/>
        <rFont val="Gill Sans MT"/>
        <family val="2"/>
      </rPr>
      <t xml:space="preserve"> Please report historical and expected book value (as per statutory accounts) as of each year-end for embedded debt only including any accretion value (ie do not forecast refinancing or new debt issuance levels)</t>
    </r>
  </si>
  <si>
    <t>Year start</t>
  </si>
  <si>
    <t>A.</t>
  </si>
  <si>
    <t>Schedule of cash, short term deposits and overdrafts (per Balance Sheet)</t>
  </si>
  <si>
    <t>Cash at bank and in hand (-ve)</t>
  </si>
  <si>
    <t>Amounts posted with banks as collateral under derivative arrangements (-ve)</t>
  </si>
  <si>
    <t>Short term deposits (-ve)</t>
  </si>
  <si>
    <t>Overdrafts (+ve)</t>
  </si>
  <si>
    <t>Amounts posted as collateral by banks under derivative arrangements (+ve)</t>
  </si>
  <si>
    <t>Restricted cash balances (-ive)</t>
  </si>
  <si>
    <t>1. [Insert adjustment as necessary]</t>
  </si>
  <si>
    <t>2. [Insert adjustment as necessary]</t>
  </si>
  <si>
    <t>3. [Insert adjustment as necessary]</t>
  </si>
  <si>
    <t>4. [Insert adjustment as necessary]</t>
  </si>
  <si>
    <t>5. [Insert adjustment as necessary]</t>
  </si>
  <si>
    <t>6. [Insert adjustment as necessary]</t>
  </si>
  <si>
    <t>7. [Insert adjustment as necessary]</t>
  </si>
  <si>
    <t>Total A.</t>
  </si>
  <si>
    <t>Derivatives?</t>
  </si>
  <si>
    <t>B.</t>
  </si>
  <si>
    <t>Bonds</t>
  </si>
  <si>
    <t>NO</t>
  </si>
  <si>
    <t>Total B.</t>
  </si>
  <si>
    <t>C.</t>
  </si>
  <si>
    <t>External Loans</t>
  </si>
  <si>
    <t>Total C.</t>
  </si>
  <si>
    <t>D.</t>
  </si>
  <si>
    <t>Private Placements</t>
  </si>
  <si>
    <t>Total D.</t>
  </si>
  <si>
    <t>E.</t>
  </si>
  <si>
    <t>Group company loans (licensee lender)</t>
  </si>
  <si>
    <t>Total E.</t>
  </si>
  <si>
    <t>F.</t>
  </si>
  <si>
    <t>Group company loans (licensee borrower)</t>
  </si>
  <si>
    <t>Total F.</t>
  </si>
  <si>
    <t>G.</t>
  </si>
  <si>
    <t>Group Loans from Finco back to back with finco bond issue</t>
  </si>
  <si>
    <t>Total G.</t>
  </si>
  <si>
    <t>H.</t>
  </si>
  <si>
    <t>Swaps Pay Leg</t>
  </si>
  <si>
    <t>YES</t>
  </si>
  <si>
    <t>Total H.</t>
  </si>
  <si>
    <t>I.</t>
  </si>
  <si>
    <t>Swaps Receive Leg</t>
  </si>
  <si>
    <t>Total I.</t>
  </si>
  <si>
    <t>J.</t>
  </si>
  <si>
    <t>Total J.</t>
  </si>
  <si>
    <t>Total Net Debt</t>
  </si>
  <si>
    <r>
      <rPr>
        <u/>
        <sz val="10"/>
        <rFont val="Gill Sans MT"/>
        <family val="2"/>
      </rPr>
      <t>Note:</t>
    </r>
    <r>
      <rPr>
        <sz val="10"/>
        <rFont val="Gill Sans MT"/>
        <family val="2"/>
      </rPr>
      <t xml:space="preserve"> Please provide additional commentary for each type of debt</t>
    </r>
  </si>
  <si>
    <t>Additional Commentary (for most recent year ended)</t>
  </si>
  <si>
    <t>H</t>
  </si>
  <si>
    <t>Unamortised Issue Costs</t>
  </si>
  <si>
    <t>Fixed asset investments not readily convertible to cash</t>
  </si>
  <si>
    <t>Preference shares</t>
  </si>
  <si>
    <t>Long term loans (Not for benefit of regulated business or distribution in nature)</t>
  </si>
  <si>
    <t>Discounts (premiums) for fixed rate debt</t>
  </si>
  <si>
    <t>11. [Insert adjustment as necessary]</t>
  </si>
  <si>
    <t>Total Net Debt Per Regulatory Definition</t>
  </si>
  <si>
    <r>
      <rPr>
        <u/>
        <sz val="10"/>
        <rFont val="Gill Sans MT"/>
        <family val="2"/>
      </rPr>
      <t>Note:</t>
    </r>
    <r>
      <rPr>
        <sz val="10"/>
        <rFont val="Gill Sans MT"/>
        <family val="2"/>
      </rPr>
      <t xml:space="preserve"> Please confirm overall outturn and expected exposure of embedded debt, pre &amp; post derivative instruments (as per "Total Net Debt" rather than "Total Net Debt Per Regulatory Definition")</t>
    </r>
  </si>
  <si>
    <t>Pre derivative average exposure to interest rate and inflation changes</t>
  </si>
  <si>
    <t>Proportion of net borrowings which are fixed rate</t>
  </si>
  <si>
    <t>Proportion of net borrowings which are floating rate</t>
  </si>
  <si>
    <t>Proportion of net borrowings which are RPI linked</t>
  </si>
  <si>
    <t>Proportion of net borrowings which are CPI linked</t>
  </si>
  <si>
    <t>Proportion of net borrowings which are CPIH linked</t>
  </si>
  <si>
    <t>Post derivative average exposure to interest rate and inflation changes</t>
  </si>
  <si>
    <t>Pre derivative average exposure to currency rates</t>
  </si>
  <si>
    <t>Proportion of net borrowings which are GBP based</t>
  </si>
  <si>
    <t>Proportion of net borrowings which are non GBP based</t>
  </si>
  <si>
    <t>Post derivative average exposure to currency rates</t>
  </si>
  <si>
    <t>Summary of debt amounts by debt types (from debt calculation sheets)</t>
  </si>
  <si>
    <t>RPI linked</t>
  </si>
  <si>
    <t>CPI linked</t>
  </si>
  <si>
    <t>CPIH linked</t>
  </si>
  <si>
    <t>R7 - Regulatory Asset Value (RAV)</t>
  </si>
  <si>
    <t>RAV per latest PCFM</t>
  </si>
  <si>
    <r>
      <t xml:space="preserve">Closing RAV </t>
    </r>
    <r>
      <rPr>
        <sz val="10"/>
        <rFont val="Verdana"/>
        <family val="2"/>
      </rPr>
      <t xml:space="preserve">per latest PCFM </t>
    </r>
  </si>
  <si>
    <t>Return&amp;RAV AP16</t>
  </si>
  <si>
    <t>Opening RAV (before transfers)</t>
  </si>
  <si>
    <t>Return&amp;RAV AP39</t>
  </si>
  <si>
    <t>Transfers</t>
  </si>
  <si>
    <t>Blank last year</t>
  </si>
  <si>
    <t>Opening RAV (after transfers)</t>
  </si>
  <si>
    <t>Net additions (after disposals)</t>
  </si>
  <si>
    <t>Return&amp;RAV AP42</t>
  </si>
  <si>
    <t>Net additions (after disposals) - enduring value adjustment</t>
  </si>
  <si>
    <t>Total Net Additions</t>
  </si>
  <si>
    <t>Depreciation</t>
  </si>
  <si>
    <t>Return&amp;RAV AP43</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</si>
  <si>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</si>
  <si>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</si>
  <si>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</si>
  <si>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</si>
  <si>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</si>
  <si>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</si>
  <si>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</si>
  <si>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</si>
  <si>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</si>
  <si>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</si>
  <si>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</si>
  <si>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</si>
  <si>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</si>
  <si>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</si>
  <si>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</si>
  <si>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</si>
  <si>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</si>
  <si>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</si>
  <si>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</si>
  <si>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</si>
  <si>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 after Regulatory Adjustments</t>
  </si>
  <si>
    <t xml:space="preserve">must match with worksheet R8a row 95 minus regulatory adjustments </t>
  </si>
  <si>
    <t>Adjustments to remove non-regulated tax liability</t>
  </si>
  <si>
    <t>Tax on non-regulated activities</t>
  </si>
  <si>
    <t>Metering</t>
  </si>
  <si>
    <t>De-minimus and Other activities</t>
  </si>
  <si>
    <t>Excluded services</t>
  </si>
  <si>
    <t>Non-regulated tax</t>
  </si>
  <si>
    <t>Other adjustments</t>
  </si>
  <si>
    <t>Tax on Other Revenue Allowances - Innovation and Incentives only</t>
  </si>
  <si>
    <t>Collected revenue adjustment ('k')</t>
  </si>
  <si>
    <t>Pension - timing adjustment</t>
  </si>
  <si>
    <t>Pension - disallowed contributions</t>
  </si>
  <si>
    <t>Tax on derivatives not disregarded</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</si>
  <si>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</si>
  <si>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</si>
  <si>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</si>
  <si>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</si>
  <si>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</si>
  <si>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</si>
  <si>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</si>
  <si>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</si>
  <si>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</si>
  <si>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</si>
  <si>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</si>
  <si>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</si>
  <si>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</si>
  <si>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</si>
  <si>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</si>
  <si>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</si>
  <si>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Dividends Reconciliation - Regulated Business to Accounts</t>
  </si>
  <si>
    <t>Dividend paid as per Statutory Accounts</t>
  </si>
  <si>
    <t>Less dividend paid not related to Regulated business</t>
  </si>
  <si>
    <t>[Insert adjustment as necessary]</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</si>
  <si>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</si>
  <si>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</si>
  <si>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</si>
  <si>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</si>
  <si>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</si>
  <si>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</si>
  <si>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</si>
  <si>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</si>
  <si>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</si>
  <si>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Steven Richard Fraser</t>
  </si>
  <si>
    <t>Anthony Oliver Bickerstaff</t>
  </si>
  <si>
    <t>Howard Neil Forster</t>
  </si>
  <si>
    <t>Fixed Pay</t>
  </si>
  <si>
    <t>Salary</t>
  </si>
  <si>
    <t>Bonus</t>
  </si>
  <si>
    <t>Benefits</t>
  </si>
  <si>
    <t>Pension</t>
  </si>
  <si>
    <t>Total Fixed Pay</t>
  </si>
  <si>
    <t>Allocation to Regulated Business</t>
  </si>
  <si>
    <t>Variable Pay</t>
  </si>
  <si>
    <t>Incentives</t>
  </si>
  <si>
    <t>Performance related Pay - STIP</t>
  </si>
  <si>
    <t>LTIP</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</si>
  <si>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</si>
  <si>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</si>
  <si>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</si>
  <si>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</si>
  <si>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</si>
  <si>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</si>
  <si>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</si>
  <si>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</si>
  <si>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</si>
  <si>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</si>
  <si>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</si>
  <si>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</si>
  <si>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</si>
  <si>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</si>
  <si>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</si>
  <si>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</si>
  <si>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</si>
  <si>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</si>
  <si>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</si>
  <si>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</si>
  <si>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</si>
  <si>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</si>
  <si>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</si>
  <si>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</si>
  <si>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</si>
  <si>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</si>
  <si>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 xml:space="preserve">R08a - Tax Reconciliation for RIIO-2 </t>
  </si>
  <si>
    <t>Company name</t>
  </si>
  <si>
    <t>Accounting year end</t>
  </si>
  <si>
    <r>
      <rPr>
        <b/>
        <sz val="9"/>
        <color theme="1"/>
        <rFont val="Verdana"/>
        <family val="2"/>
      </rPr>
      <t>Note:</t>
    </r>
    <r>
      <rPr>
        <sz val="9"/>
        <color theme="1"/>
        <rFont val="Verdana"/>
        <family val="2"/>
      </rPr>
      <t xml:space="preserve"> due to the timing of the CT600 submissions to HMRC, this sheet is to be reported with a one-year lag (i.e. inputs will relate to the previous reporting period).</t>
    </r>
  </si>
  <si>
    <t>Description of Tax Reconciliation Items</t>
  </si>
  <si>
    <t>Price base</t>
  </si>
  <si>
    <t>CT600/ CT computation filed with HMRC (Original Filing)</t>
  </si>
  <si>
    <t>CT600/ CT computation filed with HMRC (Re-filed)</t>
  </si>
  <si>
    <t>PCFM Reference</t>
  </si>
  <si>
    <t xml:space="preserve">PCFM 
Calculated Tax Allowance </t>
  </si>
  <si>
    <t>Difference  
PCFM vs CT600</t>
  </si>
  <si>
    <t>Materiality check</t>
  </si>
  <si>
    <t>Explanation of difference / Comments</t>
  </si>
  <si>
    <t>£m Nominal</t>
  </si>
  <si>
    <t>Enter CT600 Filing Dates (DD/MM/YYYY):</t>
  </si>
  <si>
    <t>Rate of Tax Applied</t>
  </si>
  <si>
    <t xml:space="preserve"> - Turnover per PLs v Calculated Revenue per PCFM (must match value in row 58 of R2)</t>
  </si>
  <si>
    <t>Nominal</t>
  </si>
  <si>
    <t xml:space="preserve"> - Revenue Tax Pool additions</t>
  </si>
  <si>
    <t xml:space="preserve"> - Adjustment #1 </t>
  </si>
  <si>
    <t xml:space="preserve"> - Adjustment #2 </t>
  </si>
  <si>
    <t xml:space="preserve"> - Operating expenses (excluding depreciation and amortisation)</t>
  </si>
  <si>
    <t>EBITDA</t>
  </si>
  <si>
    <t xml:space="preserve"> - Less net interest per P/L /  paid (interest coupon)</t>
  </si>
  <si>
    <t xml:space="preserve"> - Less net interest per P/L / paid (inflation coupon)</t>
  </si>
  <si>
    <t xml:space="preserve"> - Income from Fixed Asset Investments per financial statements</t>
  </si>
  <si>
    <t xml:space="preserve"> - Profit/ (Loss) on disposal of Fixed Assets per financial statements</t>
  </si>
  <si>
    <t xml:space="preserve"> - Depreciation </t>
  </si>
  <si>
    <t xml:space="preserve"> - Amortisation</t>
  </si>
  <si>
    <t xml:space="preserve"> - [insert rows as required]</t>
  </si>
  <si>
    <t>Profit/ (Loss) before taxation per accounts</t>
  </si>
  <si>
    <t xml:space="preserve">Tax Base (before Capital Allowances) </t>
  </si>
  <si>
    <t>REGULATORY ADJUSTMENTS</t>
  </si>
  <si>
    <t xml:space="preserve">Non regulated activity - adjustments for non regulatory </t>
  </si>
  <si>
    <t>Non regulated activity - adjustments for  cost recoveries</t>
  </si>
  <si>
    <t>Non regulated activity - adjustments for  timing adjustments</t>
  </si>
  <si>
    <t>Adjusted profit/ (loss) after Regulatory Adjustments</t>
  </si>
  <si>
    <t>TAX ADJUSTMENTS</t>
  </si>
  <si>
    <t>Disallowables/ Allowables and similar items</t>
  </si>
  <si>
    <t xml:space="preserve"> - Provisions adjustments</t>
  </si>
  <si>
    <t xml:space="preserve"> - Pensions adjustments</t>
  </si>
  <si>
    <t xml:space="preserve"> - Depreciation</t>
  </si>
  <si>
    <t xml:space="preserve"> - Other disallowable items</t>
  </si>
  <si>
    <t xml:space="preserve"> - Statutory pension adjustments for corporation tax purposes</t>
  </si>
  <si>
    <t xml:space="preserve"> - Deferred revenue expenditure</t>
  </si>
  <si>
    <t xml:space="preserve"> - Capitalised revenue expenditure</t>
  </si>
  <si>
    <t xml:space="preserve"> - Capitalised revenue expenditure allowed on accounts basis</t>
  </si>
  <si>
    <t xml:space="preserve"> - Capital allowances - expensed proceeds</t>
  </si>
  <si>
    <t xml:space="preserve"> - Transfer pricing adjustments</t>
  </si>
  <si>
    <t xml:space="preserve"> - Profit/ (loss) on disposal of fixed assets</t>
  </si>
  <si>
    <t>Capital Allowances</t>
  </si>
  <si>
    <t xml:space="preserve"> - General pool</t>
  </si>
  <si>
    <t xml:space="preserve"> - Special Rate pool</t>
  </si>
  <si>
    <t xml:space="preserve"> - Structures and Buildings pool</t>
  </si>
  <si>
    <t xml:space="preserve"> - Short Life Assets</t>
  </si>
  <si>
    <t xml:space="preserve"> - Intangible Assets</t>
  </si>
  <si>
    <t xml:space="preserve"> - R&amp;D Allowances</t>
  </si>
  <si>
    <t xml:space="preserve"> Interest Adjustments</t>
  </si>
  <si>
    <t xml:space="preserve"> - Corporate Interest Restriction adjustment</t>
  </si>
  <si>
    <t xml:space="preserve"> - Derivatives adjustment</t>
  </si>
  <si>
    <t xml:space="preserve"> - Non-trade loan relationship debits per adjustments</t>
  </si>
  <si>
    <t xml:space="preserve"> - Trade loan relationships debits tax adjustment (interest allowed when paid)</t>
  </si>
  <si>
    <t xml:space="preserve"> - Non-trade loan relationship credits per adjustments</t>
  </si>
  <si>
    <t xml:space="preserve"> - Non-trade loan relationship credits</t>
  </si>
  <si>
    <t>Taxable Profit before Tax Loss Adjustments</t>
  </si>
  <si>
    <t>Profits attributable to Corporation Tax (before tax clawback)</t>
  </si>
  <si>
    <t>TAX LOSS ADJUSTMENTS</t>
  </si>
  <si>
    <t>Regulatory Tax Losses</t>
  </si>
  <si>
    <t xml:space="preserve"> - Taxable losses brought forward</t>
  </si>
  <si>
    <t xml:space="preserve"> - In-year taxable loss</t>
  </si>
  <si>
    <t xml:space="preserve"> - Contributions to losses from clawback</t>
  </si>
  <si>
    <t xml:space="preserve"> - Adjustment to losses from tax trigger</t>
  </si>
  <si>
    <t xml:space="preserve"> - Profits used to offset outstanding losses (excluded from corporation tax)</t>
  </si>
  <si>
    <t xml:space="preserve"> - [Insert Further Adjustments as necessary]</t>
  </si>
  <si>
    <t>Profits Chargeable to Corporation Tax (i.e. after Tax Loss Adjustments)('PCTCT') (pre group relief)</t>
  </si>
  <si>
    <t>Profits attributable to Corporation Tax after tax losses (pre-group relief)</t>
  </si>
  <si>
    <t>Actual Corporation Tax Liability  (pre group relief)</t>
  </si>
  <si>
    <t>Calculated Tax Allowance (pre-group relief)</t>
  </si>
  <si>
    <t>Financial Year Ave RPI-CPIH</t>
  </si>
  <si>
    <t>From RFPR 'Data' Cell E26</t>
  </si>
  <si>
    <t xml:space="preserve">Calculated Tax Allowance </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</si>
  <si>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</si>
  <si>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</si>
  <si>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</si>
  <si>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</si>
  <si>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</si>
  <si>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</si>
  <si>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</si>
  <si>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</si>
  <si>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</si>
  <si>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</si>
  <si>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</si>
  <si>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</si>
  <si>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</si>
  <si>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</si>
  <si>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</si>
  <si>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</si>
  <si>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</si>
  <si>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</si>
  <si>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</si>
  <si>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</si>
  <si>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</si>
  <si>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</si>
  <si>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</si>
  <si>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</si>
  <si>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</si>
  <si>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</si>
  <si>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</si>
  <si>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</si>
  <si>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</si>
  <si>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Input sheets for R5a and R6a&gt;&gt;&gt;</t>
  </si>
  <si>
    <t>PCFM year ending</t>
  </si>
  <si>
    <t>Units</t>
  </si>
  <si>
    <t>Constant</t>
  </si>
  <si>
    <t>Inflation and interest rates input</t>
  </si>
  <si>
    <t>Price Base Year: (enter 2007 for 2006/07)</t>
  </si>
  <si>
    <t>FY ending</t>
  </si>
  <si>
    <t>Inflation  Forecasts (OBR)</t>
  </si>
  <si>
    <t>OBR publication date March 2024</t>
  </si>
  <si>
    <t>Calendar year forecast</t>
  </si>
  <si>
    <t>calendar year</t>
  </si>
  <si>
    <t>Retail Price Index (RPI) forecast</t>
  </si>
  <si>
    <t>Consumer Prices Index including housing costs (CPIH) forecast</t>
  </si>
  <si>
    <t>Price control annual inflation and price indices</t>
  </si>
  <si>
    <t>Financial year average RPI</t>
  </si>
  <si>
    <t>index value</t>
  </si>
  <si>
    <t>RPI inflation</t>
  </si>
  <si>
    <t>Financial year average CPIH</t>
  </si>
  <si>
    <t>CPIH inflation</t>
  </si>
  <si>
    <t>Interest rates input (derived from historic data and forward curves as of 30th April 2024)</t>
  </si>
  <si>
    <t>% nominal</t>
  </si>
  <si>
    <t>Monthly inflation rates and indices</t>
  </si>
  <si>
    <t>Month ending</t>
  </si>
  <si>
    <t>FYE</t>
  </si>
  <si>
    <t>CPIH Outturn</t>
  </si>
  <si>
    <t>RPI Outturn</t>
  </si>
  <si>
    <t>CPIH % forecast</t>
  </si>
  <si>
    <t>RPI % forecast</t>
  </si>
  <si>
    <t>Manual adjustemnt for pensions credit not included in RRP</t>
  </si>
  <si>
    <t>Adjusted regulated tax liability in respect of other 3 Networks</t>
  </si>
  <si>
    <t>Tax on finance costs not included within RIIO 2 definition</t>
  </si>
  <si>
    <t>Legacy allowed revenue</t>
  </si>
  <si>
    <t>Theft of gas and bad debts</t>
  </si>
  <si>
    <t>Provisions - cash basis</t>
  </si>
  <si>
    <t>Different regulatory treatment of costs</t>
  </si>
  <si>
    <t>21/22</t>
  </si>
  <si>
    <t xml:space="preserve">The difference of £1,710.1m is explained by:
Revenue not in PCFM of other 3 networks £1,759.9m
SoLR costs of -£101.9m were reclassed to revenue in the statutory accounts to match with the SoLR revenue
Timing differences on revenue collection of £46.6m
Other excluded services of £5.2m
Other adjustments of £0.3m
</t>
  </si>
  <si>
    <t>The difference between the opex in the CT600 and the revenue pool in the PCFM is £632.5m which is explained by:
Costs not in PCFM being other 3 Networks totalling £721.2m 
SoLR costs of -£100.9m were reclassed to revenue in the statutory accounts to match with the SoLR revenue.
Excluded costs of £31.8m
Adjustments for costs which have a different tax treatment in the PCFM total -£24.3m. 
There have been adjustments to remove the incremental element of established deficit payment of £8.8m and to recognise the pension scheme established deficit repair of -£3.7m.
Other small differences of -£0.5m</t>
  </si>
  <si>
    <t>The difference of £113.2m is explained by:
Interest relating to the other 3 networks of £300.7m
Adjustments for regulatory purposes also adjusted in tax comp of -£186.7m
Other regulatory adjustments on table R5 (finance costs not included in Riio2 definition)  -£4.2m
Difference between notional and actual interest costs of £5.8m
Adjustment for IFRS16 lease interest -£2.1m
Other small differences of - £0.3m</t>
  </si>
  <si>
    <t>There are different treatments for pensions between regulatory and statutory. Adjustments in the CT600 relate to deficit payments and pension strain and capitalised pensions. The regulatory adjustments for pensions are shown in the opex explanation above.  Overall at the Cadent level the difference was £23.3m tax £4.4m</t>
  </si>
  <si>
    <t>Depreciation is excluded from both CT600 and tax allowance</t>
  </si>
  <si>
    <t>Amortisation is excluded from both CT600 and tax allowance</t>
  </si>
  <si>
    <t>£60.8m relates to other three Networks capital allowances. £14.2m relates to other deferred revenue expenditure in the CT600 which have been included in revenue in prior periods in the PCFM (e.g. NRMP). The balance of the difference will relate to differences on the opening balance and differences on the depreciation period used to claim the deduction.</t>
  </si>
  <si>
    <t>Capital contributions are netted of capex for regulatory purposes so there is no contributions amortisation. In the CT 600 contributions are also netted of capex and so there is an adjustment made for the capex contributions amortisation to exclude it from taxable profits.</t>
  </si>
  <si>
    <t>Total adjustment with row 62 above is £13.7m re capital contributions in revenue. These are excluded from tax allowance as part of excluded services in the explanation of revenue differences above and the revenue adjustments in the other 3 Networks.</t>
  </si>
  <si>
    <t xml:space="preserve"> - Income adjustments (capital contributions amortisation)</t>
  </si>
  <si>
    <t xml:space="preserve"> - Income adjustments (non-qualifying capital contributions)</t>
  </si>
  <si>
    <t>- Capital items expensed (qualifying capital contributions)</t>
  </si>
  <si>
    <t xml:space="preserve"> - R&amp;D expenditure credit under s104A CTA 2009</t>
  </si>
  <si>
    <t xml:space="preserve"> - Timing accruals etc</t>
  </si>
  <si>
    <t xml:space="preserve"> - LR additional 50%</t>
  </si>
  <si>
    <t xml:space="preserve"> - R&amp;D acs</t>
  </si>
  <si>
    <t>Taken together with the difference of £16.7m on the intangible fixed asset the total difference is £103.6m. £48.2m related to other 3 Networks capital allowances. The balance of £55.4m arises due to the super deduction and other differences of treatment of expenditure for regulatory purposes</t>
  </si>
  <si>
    <t>£52.6m related to other 3 Networks capital allowances. The balance of £70.9m arises due to the superdeduction and other differences of treatment of expenditure for regulatory purposes</t>
  </si>
  <si>
    <t xml:space="preserve">There is no pool for intangible assets as it has been agreed that intangible fixed asset expenditure would be included in the general pool. The difference of £16.7m is included in the general pool explanation. </t>
  </si>
  <si>
    <t>This was identified as part of the difference above between the interest in the accounts and in the PCFM. It has been excluded from the CT600 and the tax allowance</t>
  </si>
  <si>
    <t>Relates to amortisation of a deemed gain on a loan transfer which took place in September 2016</t>
  </si>
  <si>
    <t xml:space="preserve"> - Annual Investment allowance</t>
  </si>
  <si>
    <t>- Discount unwind</t>
  </si>
  <si>
    <t xml:space="preserve"> - Income adjustments (Pension interest)</t>
  </si>
  <si>
    <t>The formula is wrong this should be positive as it is a reduction of the tax allowance not in the CT600. This is to reduce allowances for the FYAs in the year adjusted through the tax trigger.</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</si>
  <si>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</si>
  <si>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</si>
  <si>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</si>
  <si>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</si>
  <si>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</si>
  <si>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</si>
  <si>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Depreciation and Amortisation</t>
  </si>
  <si>
    <t>Other Operational Costs Incurred</t>
  </si>
  <si>
    <t>Total expenditure relating to excluded services (deminimis, excluded, consented and metering)</t>
  </si>
  <si>
    <t>Profit or Loss on Disposals</t>
  </si>
  <si>
    <t>Cadent total GSOP Payments</t>
  </si>
  <si>
    <t>Cash typical adjustments</t>
  </si>
  <si>
    <t>Cash typical adjustments (Provision utilisation)</t>
  </si>
  <si>
    <t>Atypical amounts (network specific)</t>
  </si>
  <si>
    <t>IFRS 16 Impact</t>
  </si>
  <si>
    <t>Incremental element of pension deficit recovery plan payment</t>
  </si>
  <si>
    <t>Bad debts</t>
  </si>
  <si>
    <t>Vulnerability UIOLI</t>
  </si>
  <si>
    <t>Theft of Gas Income Recoveries</t>
  </si>
  <si>
    <t>Supplier of last resort</t>
  </si>
  <si>
    <t>Established pension deficit recovery plan payment</t>
  </si>
  <si>
    <t>Shrinkage accruals</t>
  </si>
  <si>
    <t>Remove expensed repex</t>
  </si>
  <si>
    <t>NRMP Capex (capex adj)</t>
  </si>
  <si>
    <t>Xoserve amortisation (capex adj)</t>
  </si>
  <si>
    <t>Rounding across networks</t>
  </si>
  <si>
    <t>Transportation debt adj</t>
  </si>
  <si>
    <t>Total expenditure relating to other networks</t>
  </si>
  <si>
    <t>Connections income</t>
  </si>
  <si>
    <t>IFRS 16 Additions</t>
  </si>
  <si>
    <t>NIA Optinet</t>
  </si>
  <si>
    <t>Add expensed repex</t>
  </si>
  <si>
    <t>total capex expenditure relating to other networks</t>
  </si>
  <si>
    <t>Shrinkage</t>
  </si>
  <si>
    <t>Ofgem Licence</t>
  </si>
  <si>
    <t>Network Rates</t>
  </si>
  <si>
    <t>NTS exit costs</t>
  </si>
  <si>
    <t>Xoserve</t>
  </si>
  <si>
    <t>Network Innovation (ex IRM)</t>
  </si>
  <si>
    <t>Unfunded Network Innovation</t>
  </si>
  <si>
    <t>65:1</t>
  </si>
  <si>
    <t>49:1</t>
  </si>
  <si>
    <t>38:1</t>
  </si>
  <si>
    <t>Term Loan, Letter of Credit &amp; RCF Fees</t>
  </si>
  <si>
    <t>Debt Fees</t>
  </si>
  <si>
    <t>Derivatives not designated as hedges or ineligible for hedge accounting</t>
  </si>
  <si>
    <t>Other interest Expense</t>
  </si>
  <si>
    <t>RCF Interest</t>
  </si>
  <si>
    <t>Timing/ Calculation variance</t>
  </si>
  <si>
    <t>Fair Value Adjustment</t>
  </si>
  <si>
    <t>Less: Unwind of discount</t>
  </si>
  <si>
    <t>Less: Term Debt / Letter of Credit / RCF Fees</t>
  </si>
  <si>
    <t xml:space="preserve">losses/(gains) on derivative financial instruments </t>
  </si>
  <si>
    <t>Economic cost of changing capital structure in FY16/17</t>
  </si>
  <si>
    <t>Less finance costs relating to other three networks</t>
  </si>
  <si>
    <t>Less debt issuance costs relating to other three networks</t>
  </si>
  <si>
    <t>6. Unamortised Fees</t>
  </si>
  <si>
    <t>7. Net debt relating to other three networks</t>
  </si>
  <si>
    <t>ILS accretion</t>
  </si>
  <si>
    <t>Finance leases</t>
  </si>
  <si>
    <t>Ultimate sterling liability on CCX</t>
  </si>
  <si>
    <t>Net debt relating to other three networks</t>
  </si>
  <si>
    <t/>
  </si>
  <si>
    <t>Actuals</t>
  </si>
  <si>
    <t>Forecast</t>
  </si>
  <si>
    <t>Cumulative to 2024</t>
  </si>
  <si>
    <t>2021/22</t>
  </si>
  <si>
    <t>2022/23</t>
  </si>
  <si>
    <t>2023/24</t>
  </si>
  <si>
    <t>2024/25</t>
  </si>
  <si>
    <t>2025/26</t>
  </si>
  <si>
    <t>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</si>
</sst>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7">
    <numFmt numFmtId="43" formatCode="_-* #,##0.00_-;\-* #,##0.00_-;_-* &quot;-&quot;??_-;_-@_-"/>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_-;\-* #,##0.0_-;_-* &quot;-&quot;??_-;_-@_-"/>
    <numFmt numFmtId="171" formatCode="_-* #,##0.00\ _D_M_-;\-* #,##0.00\ _D_M_-;_-* &quot;-&quot;??\ _D_M_-;_-@_-"/>
    <numFmt numFmtId="172" formatCode="#,##0.00;[Red]\-#,##0.00;\-"/>
    <numFmt numFmtId="173" formatCode="#,##0.0_);\(#,##0.0\);\-_)"/>
    <numFmt numFmtId="174" formatCode="#,##0.0;[Red]\-#,##0.0;\-"/>
    <numFmt numFmtId="175" formatCode="0.0%"/>
    <numFmt numFmtId="176" formatCode="#,##0.0;[Red]\(#,##0.0\)"/>
    <numFmt numFmtId="177" formatCode="_(* #,##0.0_);_(* \(#,##0.0\);_(* &quot;-&quot;??_);_(@_)"/>
    <numFmt numFmtId="178" formatCode="0.0"/>
    <numFmt numFmtId="179" formatCode="[$-809]d\ mmmm\ yyyy;@"/>
    <numFmt numFmtId="180" formatCode="dd/mm/yyyy;@"/>
    <numFmt numFmtId="181" formatCode="_-* #,##0.000_-;\-* #,##0.000_-;_-* &quot;-&quot;??_-;_-@_-"/>
    <numFmt numFmtId="182" formatCode="_-* #,##0.0000_-;\-* #,##0.0000_-;_-* &quot;-&quot;??_-;_-@_-"/>
    <numFmt numFmtId="183" formatCode="0.000"/>
    <numFmt numFmtId="184" formatCode="#,##0.0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_-[$€-2]* #,##0.00_-;\-[$€-2]* #,##0.00_-;_-[$€-2]* &quot;-&quot;??_-"/>
    <numFmt numFmtId="195" formatCode="000\-00\-0000\ "/>
    <numFmt numFmtId="196" formatCode="_(* #,##0_);_(* \(#,##0\);_(* &quot;0&quot;_);_(@_)"/>
    <numFmt numFmtId="197" formatCode="#,##0.0_);\(#,##0.0\)"/>
    <numFmt numFmtId="198" formatCode="&quot;$&quot;_(#,##0.00_);&quot;$&quot;\(#,##0.00\)"/>
    <numFmt numFmtId="199" formatCode="_-&quot;$&quot;* #,##0.0_-;\-&quot;$&quot;* #,##0.0_-;_-&quot;$&quot;* &quot;-&quot;??_-;_-@_-"/>
    <numFmt numFmtId="200" formatCode="#,##0_);\(#,##0\);&quot;-  &quot;;&quot; &quot;@&quot; &quot;"/>
    <numFmt numFmtId="201" formatCode="#,##0.0_)\x;\(#,##0.0\)\x"/>
    <numFmt numFmtId="202" formatCode="&quot;$&quot;#,##0"/>
    <numFmt numFmtId="203" formatCode="#,##0.0_)_x;\(#,##0.0\)_x"/>
    <numFmt numFmtId="204" formatCode="_(&quot;$&quot;* #,##0_);_(&quot;$&quot;* \(#,##0\);_(&quot;$&quot;* &quot;-&quot;??_);_(@_)"/>
    <numFmt numFmtId="205" formatCode="0.0_)\%;\(0.0\)\%"/>
    <numFmt numFmtId="206" formatCode="#,##0.0_)_%;\(#,##0.0\)_%"/>
    <numFmt numFmtId="207" formatCode="_(&quot;$&quot;* #,##0.0_);_(&quot;$&quot;* \(#,##0.0\);_(&quot;$&quot;* &quot;-&quot;?_);_(@_)"/>
    <numFmt numFmtId="208" formatCode="#,##0.0_);[Red]\(#,##0.0\)"/>
    <numFmt numFmtId="209" formatCode="_-&quot;£&quot;* #,##0.0_-;_-&quot;£&quot;* \(#,##0.0\)"/>
    <numFmt numFmtId="210" formatCode="\£\ #,##0_);[Red]\(\£\ #,##0\)"/>
    <numFmt numFmtId="211" formatCode="#,##0.00;[Red]\(#,##0.00\);\-"/>
    <numFmt numFmtId="212" formatCode="\¥\ #,##0_);[Red]\(\¥\ #,##0\)"/>
    <numFmt numFmtId="213" formatCode="_-\€* #,##0.0_-;_-\€* \(#,##0.0\)"/>
    <numFmt numFmtId="214" formatCode="#,##0;\(#,##0\)"/>
    <numFmt numFmtId="215" formatCode="0;[Red]\(0\);\-"/>
    <numFmt numFmtId="216" formatCode="#,##0;[Red]\(#,##0\);\-"/>
    <numFmt numFmtId="217" formatCode="#,##0,_);[Red]\(#,##0,\)"/>
    <numFmt numFmtId="218" formatCode="0.0;\(0.0\);\-"/>
    <numFmt numFmtId="219" formatCode="0.00;\(0.00\);\-"/>
    <numFmt numFmtId="220" formatCode="0.00;[Red]\(0.00\);\-"/>
    <numFmt numFmtId="221" formatCode="0.000;\(0.000\);\-"/>
    <numFmt numFmtId="222" formatCode="0\A"/>
    <numFmt numFmtId="223" formatCode="m\-d\-yy"/>
    <numFmt numFmtId="224" formatCode="0.0_)"/>
    <numFmt numFmtId="225" formatCode="_ &quot;R&quot;\ * #,##0_ ;_ &quot;R&quot;\ * \-#,##0_ ;_ &quot;R&quot;\ * &quot;-&quot;_ ;_ @_ "/>
    <numFmt numFmtId="226" formatCode="0.00\ "/>
    <numFmt numFmtId="227" formatCode="#,##0.0,,,&quot;bn&quot;"/>
    <numFmt numFmtId="228" formatCode="0.0%_);[Red]\(0.0%\)"/>
    <numFmt numFmtId="229" formatCode="0.0%;\(0.0\)%"/>
    <numFmt numFmtId="230" formatCode="0&quot; bp&quot;"/>
    <numFmt numFmtId="231" formatCode="_(* #,##0.0_);_(* \(#,##0.0\);_(* &quot;-&quot;?_);@_)"/>
    <numFmt numFmtId="232" formatCode="\•\ \ @"/>
    <numFmt numFmtId="233" formatCode="#,##0_);[Red]\(#,##0\);&quot;-&quot;_);[Blue]&quot;Error-&quot;@"/>
    <numFmt numFmtId="234" formatCode="#,##0.0_);[Red]\(#,##0.0\);&quot;-&quot;_);[Blue]&quot;Error-&quot;@"/>
    <numFmt numFmtId="235" formatCode="#,##0.00_);[Red]\(#,##0.00\);&quot;-&quot;_);[Blue]&quot;Error-&quot;@"/>
    <numFmt numFmtId="236" formatCode="&quot;£&quot;* #,##0_);[Red]&quot;£&quot;* \(#,##0\);&quot;£&quot;* &quot;-&quot;_);[Blue]&quot;Error-&quot;@"/>
    <numFmt numFmtId="237" formatCode="&quot;£&quot;* #,##0.0_);[Red]&quot;£&quot;* \(#,##0.0\);&quot;£&quot;* &quot;-&quot;_);[Blue]&quot;Error-&quot;@"/>
    <numFmt numFmtId="238" formatCode="&quot;£&quot;* #,##0.00_);[Red]&quot;£&quot;* \(#,##0.00\);&quot;£&quot;* &quot;-&quot;_);[Blue]&quot;Error-&quot;@"/>
    <numFmt numFmtId="239" formatCode="dd\ mmm\ yyyy_)"/>
    <numFmt numFmtId="240" formatCode="dd/mm/yy_)"/>
    <numFmt numFmtId="241" formatCode="0%_);[Red]\-0%_);0%_);[Blue]&quot;Error-&quot;@"/>
    <numFmt numFmtId="242" formatCode="0.0%_);[Red]\-0.0%_);0.0%_);[Blue]&quot;Error-&quot;@"/>
    <numFmt numFmtId="243" formatCode="0.00%_);[Red]\-0.00%_);0.00%_);[Blue]&quot;Error-&quot;@"/>
    <numFmt numFmtId="244" formatCode="_-* #,##0_-;* \(#,##0\)_-;_-@_-"/>
    <numFmt numFmtId="245" formatCode="0.000_)"/>
    <numFmt numFmtId="246" formatCode="#,##0.000;[Red]\(#,##0.000\);\-"/>
    <numFmt numFmtId="247" formatCode="#,##0_%_);\(#,##0\)_%;**;@_%_)"/>
    <numFmt numFmtId="248" formatCode="#,##0.000_ ;\-#,##0.000\ "/>
    <numFmt numFmtId="249" formatCode="\$#,##0.0,,,&quot;bn&quot;"/>
    <numFmt numFmtId="250" formatCode="0.0_x_)_);&quot;NM&quot;_x_)_);0.0_x_)_);@_%_)"/>
    <numFmt numFmtId="251" formatCode="0.0\ \x;\(0.0\ \x\)"/>
    <numFmt numFmtId="252" formatCode="0.0_ ;\(0.0\)_ \ "/>
    <numFmt numFmtId="253" formatCode="#,##0.0_);\(#,##0.0\);&quot;--&quot;_)"/>
    <numFmt numFmtId="254" formatCode="#,##0.00_);\(#,##0.00\);&quot;--&quot;_)"/>
    <numFmt numFmtId="255" formatCode="General_)"/>
    <numFmt numFmtId="256" formatCode="#,##0.0"/>
    <numFmt numFmtId="257" formatCode="_(&quot;£&quot;* #,##0.00_);_(&quot;£&quot;* \(#,##0.00\);_(&quot;£&quot;* &quot;-&quot;??_);_(@_)"/>
    <numFmt numFmtId="258" formatCode="m/d"/>
    <numFmt numFmtId="259" formatCode="0.0\ \ \x\ ;\(0.0\)\ \ \x\ "/>
    <numFmt numFmtId="260" formatCode="@\ \ \ \ \ "/>
    <numFmt numFmtId="261" formatCode="\ \ _•\–\ \ \ \ @"/>
    <numFmt numFmtId="262" formatCode="000"/>
    <numFmt numFmtId="263" formatCode="#,##0.00;[Red]\(#,##0.00\)"/>
    <numFmt numFmtId="264" formatCode="d\-mmm\-yyyy"/>
    <numFmt numFmtId="265" formatCode="&quot;$&quot;#,##0.0;[Red]&quot;$&quot;#,##0.0"/>
    <numFmt numFmtId="266" formatCode="dd/mmm/yyyy_);;&quot;-  &quot;;&quot; &quot;@"/>
    <numFmt numFmtId="267" formatCode="dd/mmm/yyyy_);;&quot;-  &quot;;&quot; &quot;@&quot; &quot;"/>
    <numFmt numFmtId="268" formatCode="dd/mmm/yy_);;&quot;-  &quot;;&quot; &quot;@"/>
    <numFmt numFmtId="269" formatCode="dd/mmm/yy_);;&quot;-  &quot;;&quot; &quot;@&quot; &quot;"/>
    <numFmt numFmtId="270" formatCode="0.00,,;[Red]\(0.00,,\);\-"/>
    <numFmt numFmtId="271" formatCode="_(* #,##0_);_(* \(#,##0\);_(* &quot;&quot;\ \-\ &quot;&quot;_);_(@_)"/>
    <numFmt numFmtId="272" formatCode="_-* #,##0\ _D_M_-;\-* #,##0\ _D_M_-;_-* &quot;-&quot;\ _D_M_-;_-@_-"/>
    <numFmt numFmtId="273" formatCode="#,##0.00_)\ \ \ \ \ ;\(#,##0.00\)\ \ \ \ \ "/>
    <numFmt numFmtId="274" formatCode="&quot;$&quot;#,##0.00_)\ \ \ \ \ ;\(&quot;$&quot;#,##0.00\)\ \ \ \ \ "/>
    <numFmt numFmtId="275" formatCode="&quot;$&quot;#,##0.00\A\ \ \ \ ;\(&quot;$&quot;#,##0.00\A\)\ \ \ \ "/>
    <numFmt numFmtId="276" formatCode="&quot;$&quot;#,##0.00&quot;E&quot;\ \ \ \ ;\(&quot;$&quot;#,##0.00&quot;E&quot;\)\ \ \ \ "/>
    <numFmt numFmtId="277" formatCode="#,##0.00\A\ \ \ \ ;\(#,##0.00\A\)\ \ \ \ "/>
    <numFmt numFmtId="278" formatCode="#,##0.00&quot;E&quot;\ \ \ \ ;\(#,##0.00&quot;E&quot;\)\ \ \ \ "/>
    <numFmt numFmtId="279" formatCode="\€#,##0.0,,,&quot;bn&quot;"/>
    <numFmt numFmtId="280" formatCode="\€#,##0.0,,&quot;m&quot;"/>
    <numFmt numFmtId="281" formatCode="\€#,##0.0,&quot;k&quot;"/>
    <numFmt numFmtId="282" formatCode="[Magenta]&quot;Err&quot;;[Magenta]&quot;Err&quot;;[Blue]&quot;OK&quot;"/>
    <numFmt numFmtId="283" formatCode="[Blue]&quot;,&quot;;;[Red]&quot;/&quot;"/>
    <numFmt numFmtId="284" formatCode="General\ &quot;.&quot;"/>
    <numFmt numFmtId="285" formatCode="#,##0_);[Red]\(#,##0\);\-_)"/>
    <numFmt numFmtId="286" formatCode="0.0_)%;\(0.0%\);0.0_)%"/>
    <numFmt numFmtId="287" formatCode="#,##0_);\(#,##0\);\-_)"/>
    <numFmt numFmtId="288" formatCode="0.0_)%;[Red]\(0.0%\);0.0_)%"/>
    <numFmt numFmtId="289" formatCode="[Red][&gt;1]&quot;&gt;100 %&quot;;[Red]\(0.0%\);0.0_)%"/>
    <numFmt numFmtId="290" formatCode="#,##0.0000_);\(#,##0.0000\);&quot;-  &quot;;&quot; &quot;@"/>
    <numFmt numFmtId="291" formatCode="#,##0.0000_);\(#,##0.0000\);&quot;-  &quot;;&quot; &quot;@&quot; &quot;"/>
    <numFmt numFmtId="292" formatCode="0%\ \ \ \ \ \ \ "/>
    <numFmt numFmtId="293" formatCode="\£#,##0.00"/>
    <numFmt numFmtId="294" formatCode="\£#,##0.0,,,&quot;bn&quot;"/>
    <numFmt numFmtId="295" formatCode="\£#,##0.0,,&quot;m&quot;"/>
    <numFmt numFmtId="296" formatCode="\£#,##0.0,&quot;k&quot;"/>
    <numFmt numFmtId="297" formatCode="0.00%;\(0.00%\)"/>
    <numFmt numFmtId="298" formatCode="0.00_)"/>
    <numFmt numFmtId="299" formatCode="\ ;\ ;"/>
    <numFmt numFmtId="300" formatCode="_-* #,##0_-;\-* #,##0_-;_-* &quot;-&quot;??_-;_-@_-"/>
    <numFmt numFmtId="301" formatCode="#,##0.0;\(#,##0.0\);\-"/>
    <numFmt numFmtId="302" formatCode="&quot;$&quot;#,##0\ &quot;MM&quot;;\(&quot;$&quot;#,##0.00\ &quot;MM&quot;\)"/>
    <numFmt numFmtId="303" formatCode="_(&quot;$&quot;* #,##0_)\ &quot;millions&quot;;_(&quot;$&quot;* \(#,##0\)&quot; millions&quot;"/>
    <numFmt numFmtId="304" formatCode="#,##0.0,,&quot;m&quot;"/>
    <numFmt numFmtId="305" formatCode="#,##0\ &quot;MM&quot;"/>
    <numFmt numFmtId="306" formatCode="&quot;Cr$&quot;#,##0_);[Red]\(&quot;Cr$&quot;#,##0\)"/>
    <numFmt numFmtId="307" formatCode="&quot;Cr$&quot;#,##0.00_);[Red]\(&quot;Cr$&quot;#,##0.00\)"/>
    <numFmt numFmtId="308" formatCode="mmm\-yyyy"/>
    <numFmt numFmtId="309" formatCode="0.0\x"/>
    <numFmt numFmtId="310" formatCode="0.0\ \x"/>
    <numFmt numFmtId="311" formatCode="0%_);\(0%\);0%_);@_%_)"/>
    <numFmt numFmtId="312" formatCode="[Blue]#,##0;[Red]\(#,##0\);\-"/>
    <numFmt numFmtId="313" formatCode="[Blue]#,##0.0;[Red]\(#,##0.0\);\-"/>
    <numFmt numFmtId="314" formatCode="[Blue]#,##0.00;[Red]\(#,##0.00\);\-"/>
    <numFmt numFmtId="315" formatCode="[Blue]#,##0.000;[Red]\(#,##0.000\);\-"/>
    <numFmt numFmtId="316" formatCode="#,##0_);\-#,##0_);\-_)"/>
    <numFmt numFmtId="317" formatCode="#,##0.00_);\-#,##0.00_);\-_)"/>
    <numFmt numFmtId="318" formatCode="#,##0.0;[Red]\(#,##0.0\);\-"/>
    <numFmt numFmtId="319" formatCode="#,##0_ ;[Red]\(#,##0\);\-\ "/>
    <numFmt numFmtId="320" formatCode="#,##0;[Red]\(#,##0\)"/>
    <numFmt numFmtId="321" formatCode="0.0\ \ \ \ \ \ "/>
    <numFmt numFmtId="322" formatCode="0.0%\ \ \ \ \ "/>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0.0;\-#,##0.0;\-;@"/>
    <numFmt numFmtId="353" formatCode="#,##0;\-#,##0;\-"/>
    <numFmt numFmtId="355" formatCode="0.000%"/>
    <numFmt numFmtId="359" formatCode="0.0000%"/>
    <numFmt numFmtId="361" formatCode="#,##0.00_);\(#,##0.00\);\-_)"/>
    <numFmt numFmtId="362" formatCode="#,##0.00%_);\(#,##0.00%\);\-_)"/>
    <numFmt numFmtId="363" formatCode="yyyy/mm"/>
    <numFmt numFmtId="364" formatCode="0.0000"/>
  </numFmts>
  <fonts count="298">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8"/>
      <color theme="1"/>
      <name val="Gill Sans MT"/>
      <family val="2"/>
    </font>
    <font>
      <sz val="9"/>
      <color theme="1"/>
      <name val="Verdana"/>
      <family val="2"/>
    </font>
    <font>
      <b/>
      <sz val="12"/>
      <color theme="1"/>
      <name val="Verdana"/>
      <family val="2"/>
    </font>
    <font>
      <sz val="12"/>
      <color theme="1"/>
      <name val="Verdana"/>
      <family val="2"/>
    </font>
    <font>
      <i/>
      <sz val="12"/>
      <color theme="1"/>
      <name val="Verdana"/>
      <family val="2"/>
    </font>
    <font>
      <u/>
      <sz val="10"/>
      <name val="Gill Sans MT"/>
      <family val="2"/>
    </font>
    <font>
      <b/>
      <i/>
      <sz val="10"/>
      <name val="Verdana"/>
      <family val="2"/>
    </font>
    <font>
      <sz val="10"/>
      <color indexed="12"/>
      <name val="Verdana"/>
      <family val="2"/>
    </font>
    <font>
      <b/>
      <sz val="12"/>
      <name val="Verdana"/>
      <family val="2"/>
    </font>
    <font>
      <i/>
      <sz val="10"/>
      <name val="Verdana"/>
      <family val="2"/>
    </font>
    <font>
      <sz val="10"/>
      <color rgb="FF3E3E3E"/>
      <name val="Verdana"/>
      <family val="2"/>
    </font>
    <font>
      <b/>
      <sz val="11"/>
      <name val="Verdana"/>
      <family val="2"/>
    </font>
    <font>
      <sz val="11"/>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11"/>
      <color theme="1"/>
      <name val="Calibri"/>
      <family val="2"/>
      <scheme val="minor"/>
    </font>
    <font>
      <sz val="11"/>
      <name val="Calibri"/>
      <family val="2"/>
      <scheme val="minor"/>
    </font>
    <font>
      <b/>
      <i/>
      <sz val="11"/>
      <color theme="1"/>
      <name val="Calibri"/>
      <family val="2"/>
      <scheme val="minor"/>
    </font>
    <font>
      <i/>
      <sz val="11"/>
      <color theme="1"/>
      <name val="Calibri"/>
      <family val="2"/>
      <scheme val="minor"/>
    </font>
    <font>
      <i/>
      <sz val="11"/>
      <name val="Calibri"/>
      <family val="2"/>
      <scheme val="minor"/>
    </font>
    <font>
      <b/>
      <sz val="9"/>
      <color theme="0" tint="-0.34998626667073579"/>
      <name val="CG Omega"/>
      <family val="2"/>
    </font>
    <font>
      <b/>
      <sz val="10"/>
      <name val="Gill Sans MT"/>
      <family val="2"/>
    </font>
    <font>
      <b/>
      <sz val="11"/>
      <name val="Calibri"/>
      <family val="2"/>
      <scheme val="minor"/>
    </font>
    <font>
      <b/>
      <sz val="9"/>
      <color theme="1"/>
      <name val="Verdana"/>
      <family val="2"/>
    </font>
    <font>
      <b/>
      <sz val="10"/>
      <color theme="0" tint="-0.34998626667073579"/>
      <name val="Verdana"/>
      <family val="2"/>
    </font>
    <font>
      <b/>
      <i/>
      <sz val="11"/>
      <name val="Calibri"/>
      <family val="2"/>
      <scheme val="minor"/>
    </font>
    <font>
      <b/>
      <sz val="16"/>
      <color theme="0" tint="-4.9989318521683403E-2"/>
      <name val="Verdana"/>
      <family val="2"/>
    </font>
    <font>
      <sz val="10"/>
      <color theme="0" tint="-4.9989318521683403E-2"/>
      <name val="Verdana"/>
      <family val="2"/>
    </font>
    <font>
      <b/>
      <sz val="10"/>
      <color theme="0"/>
      <name val="Verdana"/>
      <family val="2"/>
    </font>
    <font>
      <b/>
      <sz val="12"/>
      <name val="Calibri"/>
      <family val="2"/>
      <scheme val="minor"/>
    </font>
    <font>
      <sz val="12"/>
      <name val="Calibri"/>
      <family val="2"/>
      <scheme val="minor"/>
    </font>
  </fonts>
  <fills count="143">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3" tint="0.79998168889431442"/>
        <bgColor indexed="64"/>
      </patternFill>
    </fill>
    <fill>
      <patternFill patternType="solid">
        <fgColor theme="2" tint="-0.749992370372631"/>
        <bgColor indexed="64"/>
      </patternFill>
    </fill>
    <fill>
      <patternFill patternType="solid">
        <fgColor rgb="FF366092"/>
        <bgColor indexed="64"/>
      </patternFill>
    </fill>
    <fill>
      <patternFill patternType="darkUp">
        <fgColor theme="0" tint="-0.14996795556505021"/>
        <bgColor indexed="65"/>
      </patternFill>
    </fill>
    <fill>
      <patternFill patternType="solid">
        <fgColor theme="2"/>
        <bgColor indexed="64"/>
      </patternFill>
    </fill>
    <fill>
      <patternFill patternType="mediumGray">
        <bgColor indexed="26"/>
      </patternFill>
    </fill>
    <fill>
      <patternFill patternType="solid">
        <fgColor rgb="FFFFFF00"/>
        <bgColor indexed="64"/>
      </patternFill>
    </fill>
    <fill>
      <patternFill patternType="solid">
        <fgColor theme="5" tint="0.59999389629810485"/>
        <bgColor indexed="64"/>
      </patternFill>
    </fill>
  </fills>
  <borders count="219">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theme="0" tint="-0.499984740745262"/>
      </left>
      <right/>
      <top style="thin">
        <color indexed="64"/>
      </top>
      <bottom style="thin">
        <color indexed="64"/>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right/>
      <top style="hair">
        <color theme="0" tint="-0.499984740745262"/>
      </top>
      <bottom style="hair">
        <color theme="0" tint="-0.499984740745262"/>
      </bottom>
      <diagonal/>
    </border>
    <border>
      <left/>
      <right/>
      <top style="hair">
        <color theme="0" tint="-0.499984740745262"/>
      </top>
      <bottom/>
      <diagonal/>
    </border>
    <border>
      <left/>
      <right/>
      <top/>
      <bottom style="hair">
        <color theme="0" tint="-0.499984740745262"/>
      </bottom>
      <diagonal/>
    </border>
    <border>
      <left style="thin">
        <color theme="0" tint="-0.499984740745262"/>
      </left>
      <right/>
      <top style="thin">
        <color theme="0" tint="-0.499984740745262"/>
      </top>
      <bottom/>
      <diagonal/>
    </border>
    <border>
      <left style="dotted">
        <color indexed="64"/>
      </left>
      <right/>
      <top/>
      <bottom/>
      <diagonal/>
    </border>
    <border>
      <left style="dotted">
        <color indexed="64"/>
      </left>
      <right style="thin">
        <color theme="0" tint="-0.499984740745262"/>
      </right>
      <top style="thin">
        <color indexed="64"/>
      </top>
      <bottom style="thin">
        <color theme="0" tint="-0.499984740745262"/>
      </bottom>
      <diagonal/>
    </border>
    <border>
      <left style="dotted">
        <color indexed="64"/>
      </left>
      <right style="thin">
        <color theme="0" tint="-0.499984740745262"/>
      </right>
      <top style="thin">
        <color theme="0" tint="-0.499984740745262"/>
      </top>
      <bottom style="thin">
        <color theme="0" tint="-0.499984740745262"/>
      </bottom>
      <diagonal/>
    </border>
    <border>
      <left style="dotted">
        <color indexed="64"/>
      </left>
      <right style="thin">
        <color theme="0" tint="-0.499984740745262"/>
      </right>
      <top style="thin">
        <color theme="0" tint="-0.499984740745262"/>
      </top>
      <bottom style="thin">
        <color indexed="64"/>
      </bottom>
      <diagonal/>
    </border>
    <border>
      <left style="dotted">
        <color indexed="64"/>
      </left>
      <right style="thin">
        <color theme="0" tint="-0.499984740745262"/>
      </right>
      <top/>
      <bottom style="thin">
        <color indexed="64"/>
      </bottom>
      <diagonal/>
    </border>
    <border>
      <left style="dotted">
        <color indexed="64"/>
      </left>
      <right style="thin">
        <color theme="0" tint="-0.499984740745262"/>
      </right>
      <top style="thin">
        <color indexed="64"/>
      </top>
      <bottom style="thin">
        <color indexed="64"/>
      </bottom>
      <diagonal/>
    </border>
    <border>
      <left style="dotted">
        <color indexed="64"/>
      </left>
      <right style="thin">
        <color theme="0" tint="-0.499984740745262"/>
      </right>
      <top style="thin">
        <color theme="0" tint="-0.499984740745262"/>
      </top>
      <bottom/>
      <diagonal/>
    </border>
    <border>
      <left style="dotted">
        <color indexed="64"/>
      </left>
      <right style="thin">
        <color indexed="64"/>
      </right>
      <top style="thin">
        <color indexed="64"/>
      </top>
      <bottom style="thin">
        <color indexed="64"/>
      </bottom>
      <diagonal/>
    </border>
    <border>
      <left style="thin">
        <color theme="0" tint="-0.499984740745262"/>
      </left>
      <right/>
      <top/>
      <bottom style="thin">
        <color theme="0" tint="-0.499984740745262"/>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right style="thin">
        <color theme="0" tint="-0.499984740745262"/>
      </right>
      <top/>
      <bottom/>
      <diagonal/>
    </border>
    <border>
      <left style="thin">
        <color indexed="64"/>
      </left>
      <right style="thin">
        <color theme="0" tint="-0.499984740745262"/>
      </right>
      <top style="medium">
        <color indexed="64"/>
      </top>
      <bottom style="thin">
        <color indexed="64"/>
      </bottom>
      <diagonal/>
    </border>
    <border>
      <left style="thin">
        <color theme="0" tint="-0.499984740745262"/>
      </left>
      <right style="thin">
        <color theme="0" tint="-0.499984740745262"/>
      </right>
      <top style="medium">
        <color indexed="64"/>
      </top>
      <bottom style="thin">
        <color indexed="64"/>
      </bottom>
      <diagonal/>
    </border>
    <border>
      <left style="thin">
        <color theme="0" tint="-0.499984740745262"/>
      </left>
      <right/>
      <top style="medium">
        <color indexed="64"/>
      </top>
      <bottom style="thin">
        <color indexed="64"/>
      </bottom>
      <diagonal/>
    </border>
    <border>
      <left style="dotted">
        <color indexed="64"/>
      </left>
      <right style="thin">
        <color theme="0" tint="-0.499984740745262"/>
      </right>
      <top style="medium">
        <color indexed="64"/>
      </top>
      <bottom style="thin">
        <color indexed="64"/>
      </bottom>
      <diagonal/>
    </border>
    <border>
      <left style="thin">
        <color theme="0" tint="-0.499984740745262"/>
      </left>
      <right/>
      <top style="thin">
        <color theme="0" tint="-0.499984740745262"/>
      </top>
      <bottom style="medium">
        <color indexed="64"/>
      </bottom>
      <diagonal/>
    </border>
    <border>
      <left style="dotted">
        <color indexed="64"/>
      </left>
      <right style="thin">
        <color theme="0" tint="-0.499984740745262"/>
      </right>
      <top style="thin">
        <color theme="0" tint="-0.499984740745262"/>
      </top>
      <bottom style="medium">
        <color indexed="64"/>
      </bottom>
      <diagonal/>
    </border>
    <border>
      <left/>
      <right style="dotted">
        <color indexed="64"/>
      </right>
      <top style="thin">
        <color indexed="64"/>
      </top>
      <bottom/>
      <diagonal/>
    </border>
    <border>
      <left/>
      <right/>
      <top style="thin">
        <color theme="0" tint="-0.499984740745262"/>
      </top>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auto="1"/>
      </left>
      <right style="thin">
        <color auto="1"/>
      </right>
      <top/>
      <bottom/>
      <diagonal/>
    </border>
    <border>
      <left style="thin">
        <color auto="1"/>
      </left>
      <right/>
      <top/>
      <bottom/>
      <diagonal/>
    </border>
    <border>
      <left style="thin">
        <color theme="0"/>
      </left>
      <right style="thin">
        <color indexed="64"/>
      </right>
      <top style="thin">
        <color theme="0"/>
      </top>
      <bottom style="thin">
        <color theme="0"/>
      </bottom>
      <diagonal/>
    </border>
    <border>
      <left/>
      <right style="thin">
        <color theme="0" tint="-0.499984740745262"/>
      </right>
      <top/>
      <bottom style="thin">
        <color indexed="64"/>
      </bottom>
      <diagonal/>
    </border>
    <border>
      <left/>
      <right style="dashed">
        <color indexed="64"/>
      </right>
      <top style="thin">
        <color indexed="64"/>
      </top>
      <bottom style="thin">
        <color indexed="64"/>
      </bottom>
      <diagonal/>
    </border>
    <border>
      <left style="thin">
        <color theme="0" tint="-0.499984740745262"/>
      </left>
      <right style="dashed">
        <color indexed="64"/>
      </right>
      <top/>
      <bottom style="thin">
        <color indexed="64"/>
      </bottom>
      <diagonal/>
    </border>
    <border>
      <left/>
      <right style="dashed">
        <color indexed="64"/>
      </right>
      <top/>
      <bottom/>
      <diagonal/>
    </border>
    <border>
      <left style="thin">
        <color theme="0" tint="-0.499984740745262"/>
      </left>
      <right style="dashed">
        <color indexed="64"/>
      </right>
      <top style="thin">
        <color indexed="64"/>
      </top>
      <bottom style="thin">
        <color indexed="64"/>
      </bottom>
      <diagonal/>
    </border>
    <border>
      <left style="thin">
        <color theme="0" tint="-0.499984740745262"/>
      </left>
      <right style="dashed">
        <color indexed="64"/>
      </right>
      <top style="thin">
        <color theme="0" tint="-0.499984740745262"/>
      </top>
      <bottom style="thin">
        <color indexed="64"/>
      </bottom>
      <diagonal/>
    </border>
    <border>
      <left style="thin">
        <color theme="0" tint="-0.499984740745262"/>
      </left>
      <right style="dashed">
        <color indexed="64"/>
      </right>
      <top style="thin">
        <color indexed="64"/>
      </top>
      <bottom style="thin">
        <color theme="0" tint="-0.499984740745262"/>
      </bottom>
      <diagonal/>
    </border>
    <border>
      <left style="thin">
        <color theme="0" tint="-0.499984740745262"/>
      </left>
      <right style="dashed">
        <color indexed="64"/>
      </right>
      <top style="thin">
        <color theme="0" tint="-0.499984740745262"/>
      </top>
      <bottom style="thin">
        <color theme="0" tint="-0.499984740745262"/>
      </bottom>
      <diagonal/>
    </border>
    <border>
      <left/>
      <right style="dashed">
        <color indexed="64"/>
      </right>
      <top style="thin">
        <color theme="0" tint="-0.499984740745262"/>
      </top>
      <bottom style="thin">
        <color theme="0" tint="-0.499984740745262"/>
      </bottom>
      <diagonal/>
    </border>
    <border>
      <left style="thin">
        <color indexed="64"/>
      </left>
      <right style="dashed">
        <color indexed="64"/>
      </right>
      <top style="thin">
        <color theme="0" tint="-0.499984740745262"/>
      </top>
      <bottom style="thin">
        <color theme="0" tint="-0.499984740745262"/>
      </bottom>
      <diagonal/>
    </border>
    <border>
      <left style="thin">
        <color theme="0" tint="-0.499984740745262"/>
      </left>
      <right style="dashed">
        <color indexed="64"/>
      </right>
      <top style="thin">
        <color theme="0" tint="-0.499984740745262"/>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theme="0" tint="-0.499984740745262"/>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medium">
        <color rgb="FF000000"/>
      </bottom>
      <diagonal/>
    </border>
    <border>
      <left style="thin">
        <color theme="0" tint="-0.499984740745262"/>
      </left>
      <right style="medium">
        <color indexed="64"/>
      </right>
      <top style="medium">
        <color rgb="FF000000"/>
      </top>
      <bottom style="medium">
        <color rgb="FF000000"/>
      </bottom>
      <diagonal/>
    </border>
    <border>
      <left style="medium">
        <color indexed="64"/>
      </left>
      <right style="thin">
        <color theme="0" tint="-0.499984740745262"/>
      </right>
      <top style="thin">
        <color indexed="64"/>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indexed="64"/>
      </left>
      <right style="thin">
        <color theme="0" tint="-0.499984740745262"/>
      </right>
      <top style="medium">
        <color indexed="64"/>
      </top>
      <bottom style="medium">
        <color rgb="FF000000"/>
      </bottom>
      <diagonal/>
    </border>
    <border>
      <left style="thin">
        <color rgb="FF000000"/>
      </left>
      <right style="thin">
        <color rgb="FF000000"/>
      </right>
      <top style="medium">
        <color indexed="64"/>
      </top>
      <bottom style="medium">
        <color rgb="FF000000"/>
      </bottom>
      <diagonal/>
    </border>
    <border>
      <left style="thin">
        <color theme="0" tint="-0.499984740745262"/>
      </left>
      <right style="thin">
        <color theme="0" tint="-0.499984740745262"/>
      </right>
      <top style="medium">
        <color indexed="64"/>
      </top>
      <bottom style="medium">
        <color rgb="FF000000"/>
      </bottom>
      <diagonal/>
    </border>
    <border>
      <left style="thin">
        <color theme="0" tint="-0.499984740745262"/>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thin">
        <color theme="0" tint="-0.499984740745262"/>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s>
  <cellStyleXfs count="51707">
    <xf numFmtId="0" fontId="0" fillId="0" borderId="0"/>
    <xf numFmtId="169" fontId="8" fillId="0" borderId="0" applyFont="0" applyFill="0" applyBorder="0" applyAlignment="0" applyProtection="0"/>
    <xf numFmtId="169" fontId="10" fillId="0" borderId="0" applyFont="0" applyFill="0" applyBorder="0" applyAlignment="0" applyProtection="0"/>
    <xf numFmtId="0" fontId="10" fillId="0" borderId="0"/>
    <xf numFmtId="0" fontId="13" fillId="0" borderId="0"/>
    <xf numFmtId="0" fontId="10" fillId="0" borderId="0"/>
    <xf numFmtId="171" fontId="10" fillId="0" borderId="0" applyFont="0" applyFill="0" applyBorder="0" applyAlignment="0" applyProtection="0"/>
    <xf numFmtId="0" fontId="13" fillId="0" borderId="0"/>
    <xf numFmtId="0" fontId="13" fillId="0" borderId="0"/>
    <xf numFmtId="0" fontId="13" fillId="0" borderId="0"/>
    <xf numFmtId="0" fontId="13" fillId="0" borderId="0"/>
    <xf numFmtId="0" fontId="14" fillId="4" borderId="0" applyNumberFormat="0" applyBorder="0" applyAlignment="0" applyProtection="0"/>
    <xf numFmtId="0" fontId="14" fillId="5" borderId="0" applyNumberFormat="0" applyBorder="0" applyAlignment="0" applyProtection="0"/>
    <xf numFmtId="0" fontId="15"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5"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5" fillId="12"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5" fillId="5"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9" fontId="11" fillId="0" borderId="0" applyFont="0" applyFill="0" applyBorder="0" applyAlignment="0" applyProtection="0"/>
    <xf numFmtId="4" fontId="17" fillId="18" borderId="3" applyNumberFormat="0" applyProtection="0">
      <alignment vertical="center"/>
    </xf>
    <xf numFmtId="4" fontId="18" fillId="18" borderId="3" applyNumberFormat="0" applyProtection="0">
      <alignment vertical="center"/>
    </xf>
    <xf numFmtId="4" fontId="17" fillId="18" borderId="3" applyNumberFormat="0" applyProtection="0">
      <alignment horizontal="left" vertical="center" indent="1"/>
    </xf>
    <xf numFmtId="0" fontId="17" fillId="18" borderId="3" applyNumberFormat="0" applyProtection="0">
      <alignment horizontal="left" vertical="top" indent="1"/>
    </xf>
    <xf numFmtId="4" fontId="17" fillId="19" borderId="0" applyNumberFormat="0" applyProtection="0">
      <alignment horizontal="left" vertical="center" indent="1"/>
    </xf>
    <xf numFmtId="4" fontId="19" fillId="20" borderId="3" applyNumberFormat="0" applyProtection="0">
      <alignment horizontal="right" vertical="center"/>
    </xf>
    <xf numFmtId="4" fontId="19" fillId="21" borderId="3" applyNumberFormat="0" applyProtection="0">
      <alignment horizontal="right" vertical="center"/>
    </xf>
    <xf numFmtId="4" fontId="19" fillId="22" borderId="3" applyNumberFormat="0" applyProtection="0">
      <alignment horizontal="right" vertical="center"/>
    </xf>
    <xf numFmtId="4" fontId="19" fillId="23" borderId="3" applyNumberFormat="0" applyProtection="0">
      <alignment horizontal="right" vertical="center"/>
    </xf>
    <xf numFmtId="4" fontId="19" fillId="24" borderId="3" applyNumberFormat="0" applyProtection="0">
      <alignment horizontal="right" vertical="center"/>
    </xf>
    <xf numFmtId="4" fontId="19" fillId="25" borderId="3" applyNumberFormat="0" applyProtection="0">
      <alignment horizontal="right" vertical="center"/>
    </xf>
    <xf numFmtId="4" fontId="19" fillId="26" borderId="3" applyNumberFormat="0" applyProtection="0">
      <alignment horizontal="right" vertical="center"/>
    </xf>
    <xf numFmtId="4" fontId="19" fillId="27" borderId="3" applyNumberFormat="0" applyProtection="0">
      <alignment horizontal="right" vertical="center"/>
    </xf>
    <xf numFmtId="4" fontId="19" fillId="28" borderId="3" applyNumberFormat="0" applyProtection="0">
      <alignment horizontal="right" vertical="center"/>
    </xf>
    <xf numFmtId="4" fontId="17" fillId="29" borderId="4" applyNumberFormat="0" applyProtection="0">
      <alignment horizontal="left" vertical="center" indent="1"/>
    </xf>
    <xf numFmtId="4" fontId="19" fillId="30" borderId="0" applyNumberFormat="0" applyProtection="0">
      <alignment horizontal="left" vertical="center" indent="1"/>
    </xf>
    <xf numFmtId="4" fontId="20" fillId="31" borderId="0" applyNumberFormat="0" applyProtection="0">
      <alignment horizontal="left" vertical="center" indent="1"/>
    </xf>
    <xf numFmtId="4" fontId="19" fillId="19" borderId="3" applyNumberFormat="0" applyProtection="0">
      <alignment horizontal="right" vertical="center"/>
    </xf>
    <xf numFmtId="4" fontId="19" fillId="30" borderId="0" applyNumberFormat="0" applyProtection="0">
      <alignment horizontal="left" vertical="center" indent="1"/>
    </xf>
    <xf numFmtId="4" fontId="19" fillId="19" borderId="0"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top" indent="1"/>
    </xf>
    <xf numFmtId="0" fontId="10" fillId="33" borderId="1" applyNumberFormat="0">
      <protection locked="0"/>
    </xf>
    <xf numFmtId="4" fontId="19" fillId="34" borderId="3" applyNumberFormat="0" applyProtection="0">
      <alignment vertical="center"/>
    </xf>
    <xf numFmtId="4" fontId="21" fillId="34" borderId="3" applyNumberFormat="0" applyProtection="0">
      <alignment vertical="center"/>
    </xf>
    <xf numFmtId="4" fontId="19" fillId="34" borderId="3" applyNumberFormat="0" applyProtection="0">
      <alignment horizontal="left" vertical="center" indent="1"/>
    </xf>
    <xf numFmtId="0" fontId="19" fillId="34" borderId="3" applyNumberFormat="0" applyProtection="0">
      <alignment horizontal="left" vertical="top" indent="1"/>
    </xf>
    <xf numFmtId="4" fontId="19" fillId="30" borderId="3" applyNumberFormat="0" applyProtection="0">
      <alignment horizontal="right" vertical="center"/>
    </xf>
    <xf numFmtId="4" fontId="21" fillId="30" borderId="3" applyNumberFormat="0" applyProtection="0">
      <alignment horizontal="right" vertical="center"/>
    </xf>
    <xf numFmtId="4" fontId="19" fillId="19" borderId="3" applyNumberFormat="0" applyProtection="0">
      <alignment horizontal="left" vertical="center" indent="1"/>
    </xf>
    <xf numFmtId="0" fontId="19" fillId="19" borderId="3" applyNumberFormat="0" applyProtection="0">
      <alignment horizontal="left" vertical="top" indent="1"/>
    </xf>
    <xf numFmtId="4" fontId="22" fillId="35" borderId="0" applyNumberFormat="0" applyProtection="0">
      <alignment horizontal="left" vertical="center" indent="1"/>
    </xf>
    <xf numFmtId="4" fontId="23" fillId="30" borderId="3" applyNumberFormat="0" applyProtection="0">
      <alignment horizontal="right" vertical="center"/>
    </xf>
    <xf numFmtId="0" fontId="24" fillId="0" borderId="0" applyNumberFormat="0" applyFill="0" applyBorder="0" applyAlignment="0" applyProtection="0"/>
    <xf numFmtId="0" fontId="10" fillId="0" borderId="0"/>
    <xf numFmtId="9" fontId="25" fillId="0" borderId="0" applyFont="0" applyFill="0" applyBorder="0" applyAlignment="0" applyProtection="0"/>
    <xf numFmtId="0" fontId="8" fillId="0" borderId="0"/>
    <xf numFmtId="0" fontId="10" fillId="33" borderId="6" applyNumberFormat="0">
      <protection locked="0"/>
    </xf>
    <xf numFmtId="9" fontId="8" fillId="0" borderId="0" applyFont="0" applyFill="0" applyBorder="0" applyAlignment="0" applyProtection="0"/>
    <xf numFmtId="0" fontId="10" fillId="0" borderId="0"/>
    <xf numFmtId="0" fontId="8" fillId="0" borderId="0"/>
    <xf numFmtId="0" fontId="10" fillId="0" borderId="0"/>
    <xf numFmtId="172" fontId="8" fillId="3" borderId="6">
      <alignment vertical="center"/>
      <protection locked="0"/>
    </xf>
    <xf numFmtId="172" fontId="8" fillId="43" borderId="6">
      <alignment vertical="center"/>
    </xf>
    <xf numFmtId="9" fontId="13" fillId="0" borderId="0" applyFont="0" applyFill="0" applyBorder="0" applyAlignment="0" applyProtection="0"/>
    <xf numFmtId="0" fontId="26" fillId="0" borderId="0">
      <alignment vertical="top"/>
    </xf>
    <xf numFmtId="0" fontId="13" fillId="0" borderId="0"/>
    <xf numFmtId="0" fontId="8" fillId="0" borderId="0"/>
    <xf numFmtId="0" fontId="29" fillId="0" borderId="0"/>
    <xf numFmtId="0" fontId="10" fillId="0" borderId="0"/>
    <xf numFmtId="0" fontId="10" fillId="0" borderId="0"/>
    <xf numFmtId="0" fontId="26" fillId="0" borderId="0"/>
    <xf numFmtId="172" fontId="8" fillId="3" borderId="6">
      <alignment vertical="center"/>
      <protection locked="0"/>
    </xf>
    <xf numFmtId="0" fontId="35" fillId="0" borderId="0" applyNumberFormat="0" applyFill="0" applyBorder="0" applyAlignment="0" applyProtection="0"/>
    <xf numFmtId="0" fontId="26" fillId="0" borderId="0"/>
    <xf numFmtId="173" fontId="38" fillId="48" borderId="0" applyBorder="0">
      <alignment vertical="center"/>
    </xf>
    <xf numFmtId="169" fontId="8" fillId="0" borderId="0" applyFont="0" applyFill="0" applyBorder="0" applyAlignment="0" applyProtection="0"/>
    <xf numFmtId="173" fontId="39" fillId="49" borderId="0"/>
    <xf numFmtId="0" fontId="13" fillId="0" borderId="0"/>
    <xf numFmtId="0" fontId="29" fillId="0" borderId="0"/>
    <xf numFmtId="0" fontId="8" fillId="0" borderId="0"/>
    <xf numFmtId="0" fontId="8"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10" fillId="0" borderId="0">
      <alignment vertical="top"/>
    </xf>
    <xf numFmtId="185" fontId="10" fillId="0" borderId="0">
      <alignment vertical="top"/>
    </xf>
    <xf numFmtId="186" fontId="44" fillId="0" borderId="0"/>
    <xf numFmtId="187" fontId="10" fillId="0" borderId="0"/>
    <xf numFmtId="187" fontId="10" fillId="0" borderId="0"/>
    <xf numFmtId="187" fontId="10" fillId="0" borderId="0"/>
    <xf numFmtId="187" fontId="10" fillId="0" borderId="0"/>
    <xf numFmtId="187" fontId="10" fillId="0" borderId="0"/>
    <xf numFmtId="185" fontId="45" fillId="0" borderId="0"/>
    <xf numFmtId="186" fontId="44" fillId="0" borderId="0"/>
    <xf numFmtId="187" fontId="10" fillId="0" borderId="0"/>
    <xf numFmtId="187" fontId="10" fillId="0" borderId="0"/>
    <xf numFmtId="187" fontId="10" fillId="0" borderId="0"/>
    <xf numFmtId="187" fontId="10" fillId="0" borderId="0"/>
    <xf numFmtId="187" fontId="10" fillId="0" borderId="0"/>
    <xf numFmtId="188" fontId="46" fillId="0" borderId="0" applyFont="0" applyFill="0" applyBorder="0" applyAlignment="0" applyProtection="0">
      <protection locked="0"/>
    </xf>
    <xf numFmtId="189" fontId="45" fillId="0" borderId="0">
      <alignment horizontal="right"/>
    </xf>
    <xf numFmtId="190" fontId="45" fillId="46" borderId="0"/>
    <xf numFmtId="191" fontId="45" fillId="46" borderId="0"/>
    <xf numFmtId="192" fontId="45" fillId="46" borderId="0"/>
    <xf numFmtId="193" fontId="45" fillId="46" borderId="0">
      <alignment horizontal="right"/>
    </xf>
    <xf numFmtId="0" fontId="13" fillId="0" borderId="0"/>
    <xf numFmtId="179" fontId="13" fillId="0" borderId="0"/>
    <xf numFmtId="179"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4"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185" fontId="10" fillId="0" borderId="0"/>
    <xf numFmtId="0" fontId="10" fillId="0" borderId="0"/>
    <xf numFmtId="185" fontId="13"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3" fillId="0" borderId="0"/>
    <xf numFmtId="0" fontId="10" fillId="0" borderId="0"/>
    <xf numFmtId="0" fontId="10" fillId="0" borderId="0"/>
    <xf numFmtId="0" fontId="13" fillId="0" borderId="0"/>
    <xf numFmtId="0" fontId="13" fillId="0" borderId="0"/>
    <xf numFmtId="0" fontId="10" fillId="0" borderId="0"/>
    <xf numFmtId="0" fontId="13" fillId="0" borderId="0"/>
    <xf numFmtId="0" fontId="13" fillId="0" borderId="0"/>
    <xf numFmtId="185" fontId="13" fillId="0" borderId="0"/>
    <xf numFmtId="0" fontId="10" fillId="0" borderId="0"/>
    <xf numFmtId="0" fontId="10" fillId="0" borderId="0"/>
    <xf numFmtId="0" fontId="10" fillId="0" borderId="0"/>
    <xf numFmtId="19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185" fontId="10" fillId="0" borderId="0" applyBorder="0"/>
    <xf numFmtId="185" fontId="47" fillId="0" borderId="0" applyNumberFormat="0" applyFont="0" applyFill="0" applyBorder="0" applyAlignment="0" applyProtection="0"/>
    <xf numFmtId="167" fontId="10" fillId="0" borderId="0" applyFont="0" applyFill="0" applyBorder="0" applyAlignment="0" applyProtection="0"/>
    <xf numFmtId="185" fontId="42" fillId="0" borderId="0" applyNumberFormat="0" applyFill="0" applyBorder="0" applyAlignment="0" applyProtection="0">
      <alignment vertical="top"/>
      <protection locked="0"/>
    </xf>
    <xf numFmtId="16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6" fontId="48" fillId="0" borderId="0">
      <alignment horizontal="right" vertical="center"/>
    </xf>
    <xf numFmtId="0" fontId="49" fillId="0" borderId="0"/>
    <xf numFmtId="0" fontId="49" fillId="0" borderId="0"/>
    <xf numFmtId="0" fontId="49" fillId="0" borderId="0"/>
    <xf numFmtId="0" fontId="49" fillId="0" borderId="0"/>
    <xf numFmtId="0" fontId="49" fillId="0" borderId="0"/>
    <xf numFmtId="0" fontId="10" fillId="0" borderId="0"/>
    <xf numFmtId="0" fontId="10" fillId="0" borderId="0"/>
    <xf numFmtId="185"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38" fontId="50" fillId="0" borderId="0" applyFont="0" applyFill="0" applyBorder="0" applyAlignment="0" applyProtection="0"/>
    <xf numFmtId="38" fontId="50" fillId="0" borderId="0" applyFont="0" applyFill="0" applyBorder="0" applyAlignment="0" applyProtection="0"/>
    <xf numFmtId="185" fontId="49" fillId="0" borderId="0"/>
    <xf numFmtId="185" fontId="10" fillId="0" borderId="0" applyFont="0" applyFill="0" applyBorder="0" applyAlignment="0" applyProtection="0"/>
    <xf numFmtId="185" fontId="49" fillId="0" borderId="0"/>
    <xf numFmtId="185" fontId="49" fillId="0" borderId="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applyFont="0" applyFill="0" applyBorder="0" applyAlignment="0" applyProtection="0"/>
    <xf numFmtId="0" fontId="49" fillId="0" borderId="0"/>
    <xf numFmtId="185" fontId="10" fillId="0" borderId="0"/>
    <xf numFmtId="185" fontId="10"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8" fontId="50" fillId="0" borderId="0" applyFont="0" applyFill="0" applyBorder="0" applyAlignment="0" applyProtection="0"/>
    <xf numFmtId="197" fontId="10" fillId="0" borderId="0" applyFont="0" applyFill="0" applyBorder="0" applyAlignment="0" applyProtection="0"/>
    <xf numFmtId="185" fontId="44" fillId="0" borderId="0" applyFont="0" applyFill="0" applyBorder="0" applyAlignment="0" applyProtection="0"/>
    <xf numFmtId="197" fontId="10" fillId="0" borderId="0" applyFont="0" applyFill="0" applyBorder="0" applyAlignment="0" applyProtection="0"/>
    <xf numFmtId="185" fontId="10" fillId="0" borderId="0"/>
    <xf numFmtId="185" fontId="10" fillId="0" borderId="0"/>
    <xf numFmtId="0" fontId="10" fillId="0" borderId="0"/>
    <xf numFmtId="185" fontId="49" fillId="0" borderId="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98" fontId="10" fillId="0" borderId="0" applyFont="0" applyFill="0" applyBorder="0" applyAlignment="0" applyProtection="0"/>
    <xf numFmtId="185" fontId="44" fillId="0" borderId="0" applyFont="0" applyFill="0" applyBorder="0" applyAlignment="0" applyProtection="0"/>
    <xf numFmtId="199"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39" fontId="10" fillId="0" borderId="0" applyFont="0" applyFill="0" applyBorder="0" applyAlignment="0" applyProtection="0"/>
    <xf numFmtId="185" fontId="44" fillId="0" borderId="0" applyFont="0" applyFill="0" applyBorder="0" applyAlignment="0" applyProtection="0"/>
    <xf numFmtId="39" fontId="10" fillId="0" borderId="0" applyFont="0" applyFill="0" applyBorder="0" applyAlignment="0" applyProtection="0"/>
    <xf numFmtId="185"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49" fillId="0" borderId="0"/>
    <xf numFmtId="185" fontId="42" fillId="0" borderId="0"/>
    <xf numFmtId="185" fontId="42" fillId="0" borderId="0"/>
    <xf numFmtId="38" fontId="50" fillId="0" borderId="0" applyAlignment="0" applyProtection="0"/>
    <xf numFmtId="38" fontId="50" fillId="0" borderId="0" applyFont="0" applyBorder="0" applyAlignment="0" applyProtection="0"/>
    <xf numFmtId="200" fontId="10" fillId="0" borderId="0" applyFont="0" applyFill="0" applyBorder="0" applyProtection="0">
      <alignment vertical="top"/>
    </xf>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49"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49" fillId="0" borderId="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38" fontId="41" fillId="0" borderId="0" applyAlignment="0" applyProtection="0"/>
    <xf numFmtId="0" fontId="10" fillId="0" borderId="0" applyFont="0" applyFill="0" applyBorder="0" applyAlignment="0" applyProtection="0"/>
    <xf numFmtId="200" fontId="10" fillId="0" borderId="0" applyFont="0" applyFill="0" applyBorder="0" applyProtection="0">
      <alignment vertical="top"/>
    </xf>
    <xf numFmtId="38" fontId="41" fillId="0" borderId="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185" fontId="49" fillId="0" borderId="0"/>
    <xf numFmtId="201" fontId="10" fillId="0" borderId="0" applyFont="0" applyFill="0" applyBorder="0" applyAlignment="0" applyProtection="0"/>
    <xf numFmtId="185" fontId="44" fillId="0" borderId="0" applyFont="0" applyFill="0" applyBorder="0" applyAlignment="0" applyProtection="0"/>
    <xf numFmtId="202" fontId="10" fillId="0" borderId="0" applyFont="0" applyFill="0" applyBorder="0" applyAlignment="0" applyProtection="0"/>
    <xf numFmtId="201"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185" fontId="44" fillId="0" borderId="0" applyFont="0" applyFill="0" applyBorder="0" applyAlignment="0" applyProtection="0"/>
    <xf numFmtId="204" fontId="10" fillId="0" borderId="0" applyFont="0" applyFill="0" applyBorder="0" applyAlignment="0" applyProtection="0"/>
    <xf numFmtId="203" fontId="10" fillId="0" borderId="0" applyFont="0" applyFill="0" applyBorder="0" applyAlignment="0" applyProtection="0"/>
    <xf numFmtId="204" fontId="10" fillId="0" borderId="0" applyFont="0" applyFill="0" applyBorder="0" applyAlignment="0" applyProtection="0"/>
    <xf numFmtId="0" fontId="10" fillId="0" borderId="0" applyFont="0" applyFill="0" applyBorder="0" applyAlignment="0" applyProtection="0"/>
    <xf numFmtId="185" fontId="49" fillId="0" borderId="0"/>
    <xf numFmtId="185" fontId="49" fillId="0" borderId="0"/>
    <xf numFmtId="185" fontId="10" fillId="0" borderId="0"/>
    <xf numFmtId="0" fontId="10" fillId="0" borderId="0" applyFont="0" applyFill="0" applyBorder="0" applyAlignment="0" applyProtection="0"/>
    <xf numFmtId="185" fontId="49" fillId="0" borderId="0"/>
    <xf numFmtId="38" fontId="41" fillId="0" borderId="0" applyAlignment="0" applyProtection="0"/>
    <xf numFmtId="185" fontId="10" fillId="0" borderId="0"/>
    <xf numFmtId="185" fontId="10" fillId="0" borderId="0"/>
    <xf numFmtId="38" fontId="50" fillId="0" borderId="0" applyFont="0" applyFill="0" applyBorder="0" applyAlignment="0" applyProtection="0"/>
    <xf numFmtId="38" fontId="50" fillId="0" borderId="0" applyFont="0" applyFill="0" applyBorder="0" applyAlignment="0" applyProtection="0"/>
    <xf numFmtId="205" fontId="10" fillId="0" borderId="0" applyFont="0" applyFill="0" applyBorder="0" applyAlignment="0" applyProtection="0"/>
    <xf numFmtId="185" fontId="44" fillId="0" borderId="0" applyFont="0" applyFill="0" applyBorder="0" applyAlignment="0" applyProtection="0"/>
    <xf numFmtId="181" fontId="10" fillId="0" borderId="0" applyFont="0" applyFill="0" applyBorder="0" applyAlignment="0" applyProtection="0"/>
    <xf numFmtId="205" fontId="10" fillId="0" borderId="0" applyFont="0" applyFill="0" applyBorder="0" applyAlignment="0" applyProtection="0"/>
    <xf numFmtId="181" fontId="10" fillId="0" borderId="0" applyFont="0" applyFill="0" applyBorder="0" applyAlignment="0" applyProtection="0"/>
    <xf numFmtId="206" fontId="10" fillId="0" borderId="0" applyFont="0" applyFill="0" applyBorder="0" applyAlignment="0" applyProtection="0"/>
    <xf numFmtId="185" fontId="44" fillId="0" borderId="0" applyFont="0" applyFill="0" applyBorder="0" applyAlignment="0" applyProtection="0"/>
    <xf numFmtId="207" fontId="10" fillId="0" borderId="0" applyFont="0" applyFill="0" applyBorder="0" applyAlignment="0" applyProtection="0"/>
    <xf numFmtId="206" fontId="10" fillId="0" borderId="0" applyFont="0" applyFill="0" applyBorder="0" applyAlignment="0" applyProtection="0"/>
    <xf numFmtId="207" fontId="10" fillId="0" borderId="0" applyFont="0" applyFill="0" applyBorder="0" applyAlignment="0" applyProtection="0"/>
    <xf numFmtId="185" fontId="51" fillId="0" borderId="0"/>
    <xf numFmtId="185" fontId="51" fillId="0" borderId="0"/>
    <xf numFmtId="185" fontId="51" fillId="0" borderId="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49" fillId="0" borderId="0"/>
    <xf numFmtId="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85" fontId="52" fillId="0" borderId="0" applyNumberFormat="0" applyFill="0" applyBorder="0" applyProtection="0">
      <alignment horizontal="left"/>
    </xf>
    <xf numFmtId="185" fontId="53" fillId="0" borderId="0" applyNumberFormat="0" applyFill="0" applyBorder="0" applyProtection="0">
      <alignment horizontal="centerContinuous"/>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51" fillId="0" borderId="0"/>
    <xf numFmtId="185" fontId="51" fillId="0" borderId="0"/>
    <xf numFmtId="208" fontId="54" fillId="0" borderId="0"/>
    <xf numFmtId="185" fontId="42" fillId="0" borderId="0"/>
    <xf numFmtId="185" fontId="42" fillId="0" borderId="0"/>
    <xf numFmtId="185" fontId="51" fillId="0" borderId="0"/>
    <xf numFmtId="185" fontId="51" fillId="0" borderId="0"/>
    <xf numFmtId="185" fontId="51" fillId="0" borderId="0"/>
    <xf numFmtId="0" fontId="10" fillId="0" borderId="0" applyFont="0" applyFill="0" applyBorder="0" applyAlignment="0" applyProtection="0"/>
    <xf numFmtId="185" fontId="10" fillId="0" borderId="0"/>
    <xf numFmtId="185" fontId="49" fillId="0" borderId="0"/>
    <xf numFmtId="208" fontId="5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209" fontId="55" fillId="0" borderId="0" applyFont="0" applyFill="0" applyBorder="0" applyAlignment="0" applyProtection="0"/>
    <xf numFmtId="210" fontId="42" fillId="0" borderId="0" applyFont="0" applyFill="0" applyBorder="0" applyAlignment="0" applyProtection="0"/>
    <xf numFmtId="211" fontId="56" fillId="0" borderId="0"/>
    <xf numFmtId="212" fontId="42" fillId="0" borderId="0" applyFont="0" applyFill="0" applyBorder="0" applyAlignment="0" applyProtection="0"/>
    <xf numFmtId="213" fontId="55" fillId="0" borderId="0" applyFont="0" applyFill="0" applyBorder="0" applyAlignment="0" applyProtection="0"/>
    <xf numFmtId="0" fontId="13" fillId="0" borderId="0"/>
    <xf numFmtId="0" fontId="10" fillId="0" borderId="0"/>
    <xf numFmtId="0" fontId="10" fillId="0" borderId="0"/>
    <xf numFmtId="0" fontId="10" fillId="0" borderId="0"/>
    <xf numFmtId="19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3" fillId="0" borderId="0"/>
    <xf numFmtId="0" fontId="13" fillId="0" borderId="0"/>
    <xf numFmtId="0" fontId="13" fillId="0" borderId="0"/>
    <xf numFmtId="0" fontId="10" fillId="0" borderId="0"/>
    <xf numFmtId="0" fontId="13" fillId="0" borderId="0"/>
    <xf numFmtId="0" fontId="10" fillId="0" borderId="0"/>
    <xf numFmtId="0" fontId="10" fillId="0" borderId="0"/>
    <xf numFmtId="0" fontId="10" fillId="0" borderId="0"/>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185" fontId="10" fillId="0" borderId="0"/>
    <xf numFmtId="214" fontId="10" fillId="0" borderId="0" applyBorder="0"/>
    <xf numFmtId="0" fontId="10" fillId="0" borderId="0"/>
    <xf numFmtId="0" fontId="10" fillId="0" borderId="0"/>
    <xf numFmtId="185" fontId="10" fillId="0" borderId="0" applyBorder="0"/>
    <xf numFmtId="214" fontId="10" fillId="0" borderId="0" applyBorder="0"/>
    <xf numFmtId="208" fontId="54" fillId="0" borderId="0"/>
    <xf numFmtId="215" fontId="56" fillId="0" borderId="0"/>
    <xf numFmtId="215" fontId="57" fillId="0" borderId="0"/>
    <xf numFmtId="216" fontId="56" fillId="0" borderId="0"/>
    <xf numFmtId="217" fontId="46" fillId="0" borderId="0" applyFont="0" applyFill="0" applyBorder="0" applyAlignment="0" applyProtection="0">
      <protection locked="0"/>
    </xf>
    <xf numFmtId="218" fontId="58" fillId="0" borderId="0"/>
    <xf numFmtId="185" fontId="57" fillId="0" borderId="0"/>
    <xf numFmtId="218" fontId="59" fillId="0" borderId="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194" fontId="60" fillId="56"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94" fontId="60" fillId="20"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194" fontId="60" fillId="57"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194" fontId="60" fillId="59"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194" fontId="60" fillId="60" borderId="0" applyNumberFormat="0" applyBorder="0" applyAlignment="0" applyProtection="0"/>
    <xf numFmtId="219" fontId="56" fillId="0" borderId="0"/>
    <xf numFmtId="220" fontId="57" fillId="0" borderId="0"/>
    <xf numFmtId="219" fontId="61" fillId="0" borderId="0"/>
    <xf numFmtId="0" fontId="10" fillId="0" borderId="0"/>
    <xf numFmtId="0" fontId="10" fillId="0" borderId="0"/>
    <xf numFmtId="221" fontId="56" fillId="0" borderId="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94" fontId="60" fillId="21"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94" fontId="60" fillId="2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194" fontId="60" fillId="23"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194" fontId="63" fillId="62"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94" fontId="63" fillId="21"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94" fontId="63" fillId="28"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94" fontId="63" fillId="24" borderId="0" applyNumberFormat="0" applyBorder="0" applyAlignment="0" applyProtection="0"/>
    <xf numFmtId="0" fontId="44" fillId="0" borderId="0"/>
    <xf numFmtId="0" fontId="14" fillId="65" borderId="0" applyNumberFormat="0" applyBorder="0" applyAlignment="0" applyProtection="0"/>
    <xf numFmtId="0" fontId="14" fillId="12"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194" fontId="63" fillId="67" borderId="0" applyNumberFormat="0" applyBorder="0" applyAlignment="0" applyProtection="0"/>
    <xf numFmtId="0" fontId="14" fillId="68" borderId="0" applyNumberFormat="0" applyBorder="0" applyAlignment="0" applyProtection="0"/>
    <xf numFmtId="0" fontId="14" fillId="11"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194" fontId="63" fillId="22" borderId="0" applyNumberFormat="0" applyBorder="0" applyAlignment="0" applyProtection="0"/>
    <xf numFmtId="0" fontId="14" fillId="70" borderId="0" applyNumberFormat="0" applyBorder="0" applyAlignment="0" applyProtection="0"/>
    <xf numFmtId="0" fontId="14" fillId="71"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194" fontId="63" fillId="26" borderId="0" applyNumberFormat="0" applyBorder="0" applyAlignment="0" applyProtection="0"/>
    <xf numFmtId="0" fontId="14" fillId="68" borderId="0" applyNumberFormat="0" applyBorder="0" applyAlignment="0" applyProtection="0"/>
    <xf numFmtId="0" fontId="14" fillId="9"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94" fontId="63" fillId="25" borderId="0" applyNumberFormat="0" applyBorder="0" applyAlignment="0" applyProtection="0"/>
    <xf numFmtId="222" fontId="64" fillId="0" borderId="9">
      <alignment horizontal="centerContinuous"/>
    </xf>
    <xf numFmtId="223" fontId="65" fillId="40" borderId="12">
      <alignment horizontal="center" vertical="center"/>
    </xf>
    <xf numFmtId="214" fontId="46" fillId="0" borderId="0" applyFont="0" applyFill="0" applyBorder="0" applyAlignment="0" applyProtection="0"/>
    <xf numFmtId="185" fontId="46" fillId="0" borderId="0" applyFont="0" applyFill="0" applyBorder="0" applyAlignment="0" applyProtection="0"/>
    <xf numFmtId="208" fontId="66" fillId="0" borderId="0" applyNumberFormat="0" applyFont="0" applyFill="0" applyBorder="0" applyProtection="0">
      <alignment horizontal="center"/>
    </xf>
    <xf numFmtId="224" fontId="67" fillId="0" borderId="0">
      <alignment horizontal="left"/>
    </xf>
    <xf numFmtId="0" fontId="58" fillId="0" borderId="0"/>
    <xf numFmtId="225" fontId="68" fillId="0" borderId="0" applyFont="0" applyFill="0" applyBorder="0" applyAlignment="0" applyProtection="0"/>
    <xf numFmtId="185" fontId="46" fillId="0" borderId="0" applyFont="0" applyFill="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1" fillId="55"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194" fontId="73" fillId="20" borderId="0" applyNumberFormat="0" applyBorder="0" applyAlignment="0" applyProtection="0"/>
    <xf numFmtId="226" fontId="74" fillId="75" borderId="7" applyNumberFormat="0" applyBorder="0" applyAlignment="0">
      <alignment horizontal="centerContinuous" vertical="center"/>
      <protection hidden="1"/>
    </xf>
    <xf numFmtId="1" fontId="75" fillId="76" borderId="10" applyNumberFormat="0" applyBorder="0" applyAlignment="0">
      <alignment horizontal="center" vertical="top" wrapText="1"/>
      <protection hidden="1"/>
    </xf>
    <xf numFmtId="227" fontId="10" fillId="0" borderId="0" applyFont="0" applyFill="0" applyBorder="0" applyAlignment="0" applyProtection="0"/>
    <xf numFmtId="197" fontId="10" fillId="0" borderId="0" applyNumberFormat="0" applyFont="0" applyAlignment="0" applyProtection="0"/>
    <xf numFmtId="185" fontId="76" fillId="77" borderId="0">
      <alignment horizontal="left"/>
    </xf>
    <xf numFmtId="228" fontId="77" fillId="0" borderId="0" applyFill="0" applyBorder="0" applyAlignment="0" applyProtection="0"/>
    <xf numFmtId="2" fontId="78" fillId="50" borderId="11" applyProtection="0">
      <alignment horizontal="left"/>
      <protection locked="0"/>
    </xf>
    <xf numFmtId="185" fontId="65" fillId="40" borderId="0" applyNumberFormat="0" applyFont="0" applyAlignment="0">
      <alignment horizontal="center"/>
    </xf>
    <xf numFmtId="229" fontId="79" fillId="40" borderId="0" applyFont="0" applyFill="0" applyBorder="0" applyAlignment="0" applyProtection="0"/>
    <xf numFmtId="185" fontId="80" fillId="0" borderId="0" applyNumberFormat="0" applyFill="0" applyBorder="0" applyAlignment="0" applyProtection="0"/>
    <xf numFmtId="185" fontId="81" fillId="0" borderId="9" applyNumberFormat="0" applyFill="0" applyAlignment="0" applyProtection="0"/>
    <xf numFmtId="185" fontId="56" fillId="0" borderId="0"/>
    <xf numFmtId="230" fontId="82" fillId="45" borderId="0" applyFont="0" applyFill="0" applyBorder="0" applyAlignment="0" applyProtection="0"/>
    <xf numFmtId="231" fontId="44" fillId="0" borderId="0" applyAlignment="0" applyProtection="0"/>
    <xf numFmtId="49" fontId="54" fillId="0" borderId="0" applyNumberFormat="0" applyAlignment="0" applyProtection="0">
      <alignment horizontal="left"/>
    </xf>
    <xf numFmtId="49" fontId="83" fillId="0" borderId="13" applyNumberFormat="0" applyAlignment="0" applyProtection="0">
      <alignment horizontal="left" wrapText="1"/>
    </xf>
    <xf numFmtId="49" fontId="84" fillId="0" borderId="0" applyAlignment="0" applyProtection="0">
      <alignment horizontal="left"/>
    </xf>
    <xf numFmtId="232" fontId="42" fillId="0" borderId="0" applyFont="0" applyFill="0" applyBorder="0" applyAlignment="0" applyProtection="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6" fillId="0" borderId="0"/>
    <xf numFmtId="233" fontId="44" fillId="0" borderId="0"/>
    <xf numFmtId="234" fontId="44" fillId="0" borderId="0"/>
    <xf numFmtId="235" fontId="44" fillId="0" borderId="0"/>
    <xf numFmtId="233" fontId="44" fillId="0" borderId="8"/>
    <xf numFmtId="234" fontId="44" fillId="0" borderId="8"/>
    <xf numFmtId="234" fontId="44" fillId="0" borderId="8"/>
    <xf numFmtId="235" fontId="44" fillId="0" borderId="8"/>
    <xf numFmtId="235" fontId="44" fillId="0" borderId="8"/>
    <xf numFmtId="233" fontId="44" fillId="0" borderId="8"/>
    <xf numFmtId="233" fontId="44" fillId="0" borderId="8"/>
    <xf numFmtId="233" fontId="44" fillId="0" borderId="0"/>
    <xf numFmtId="236" fontId="44" fillId="0" borderId="0"/>
    <xf numFmtId="185" fontId="46" fillId="0" borderId="0" applyFill="0" applyBorder="0" applyAlignment="0"/>
    <xf numFmtId="237" fontId="44" fillId="0" borderId="0"/>
    <xf numFmtId="238" fontId="44" fillId="0" borderId="0"/>
    <xf numFmtId="236" fontId="44" fillId="0" borderId="8"/>
    <xf numFmtId="237" fontId="44" fillId="0" borderId="8"/>
    <xf numFmtId="237" fontId="44" fillId="0" borderId="8"/>
    <xf numFmtId="238" fontId="44" fillId="0" borderId="8"/>
    <xf numFmtId="238" fontId="44" fillId="0" borderId="8"/>
    <xf numFmtId="236" fontId="44" fillId="0" borderId="8"/>
    <xf numFmtId="236" fontId="44" fillId="0" borderId="8"/>
    <xf numFmtId="236" fontId="44" fillId="0" borderId="0"/>
    <xf numFmtId="239" fontId="44" fillId="0" borderId="0">
      <alignment horizontal="right"/>
      <protection locked="0"/>
    </xf>
    <xf numFmtId="240" fontId="44" fillId="0" borderId="0">
      <alignment horizontal="right"/>
      <protection locked="0"/>
    </xf>
    <xf numFmtId="241" fontId="44" fillId="0" borderId="0"/>
    <xf numFmtId="242" fontId="44" fillId="0" borderId="0"/>
    <xf numFmtId="243" fontId="44" fillId="0" borderId="0"/>
    <xf numFmtId="241" fontId="44" fillId="0" borderId="8"/>
    <xf numFmtId="242" fontId="44" fillId="0" borderId="8"/>
    <xf numFmtId="242" fontId="44" fillId="0" borderId="8"/>
    <xf numFmtId="243" fontId="44" fillId="0" borderId="8"/>
    <xf numFmtId="243" fontId="44" fillId="0" borderId="8"/>
    <xf numFmtId="241" fontId="44" fillId="0" borderId="8"/>
    <xf numFmtId="241" fontId="44" fillId="0" borderId="8"/>
    <xf numFmtId="241" fontId="44" fillId="0" borderId="0"/>
    <xf numFmtId="244" fontId="10" fillId="46" borderId="0"/>
    <xf numFmtId="185" fontId="10" fillId="0" borderId="0">
      <alignment vertical="center"/>
    </xf>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194" fontId="89" fillId="61" borderId="14" applyNumberFormat="0" applyAlignment="0" applyProtection="0"/>
    <xf numFmtId="194" fontId="89" fillId="61" borderId="14" applyNumberFormat="0" applyAlignment="0" applyProtection="0"/>
    <xf numFmtId="38" fontId="90" fillId="0" borderId="0" applyNumberFormat="0" applyFill="0" applyBorder="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194" fontId="92" fillId="79" borderId="15" applyNumberFormat="0" applyAlignment="0" applyProtection="0"/>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7" fontId="65" fillId="0" borderId="9">
      <alignment horizontal="center"/>
    </xf>
    <xf numFmtId="37" fontId="65" fillId="0" borderId="0">
      <alignment horizontal="center" vertical="center" wrapText="1"/>
    </xf>
    <xf numFmtId="1" fontId="93" fillId="0" borderId="16">
      <alignment vertical="top"/>
    </xf>
    <xf numFmtId="178" fontId="94" fillId="0" borderId="0" applyBorder="0">
      <alignment horizontal="right"/>
    </xf>
    <xf numFmtId="178" fontId="94" fillId="0" borderId="17" applyAlignment="0">
      <alignment horizontal="right"/>
    </xf>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38" fontId="10" fillId="0" borderId="0" applyFont="0" applyFill="0" applyBorder="0" applyAlignment="0" applyProtection="0"/>
    <xf numFmtId="208" fontId="46" fillId="0" borderId="0" applyFont="0" applyFill="0" applyBorder="0" applyAlignment="0" applyProtection="0">
      <protection locked="0"/>
    </xf>
    <xf numFmtId="40" fontId="46" fillId="0" borderId="0" applyFont="0" applyFill="0" applyBorder="0" applyAlignment="0" applyProtection="0">
      <protection locked="0"/>
    </xf>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0" fontId="10" fillId="0" borderId="0" applyNumberFormat="0" applyFont="0" applyBorder="0" applyAlignment="0"/>
    <xf numFmtId="211" fontId="56" fillId="0" borderId="0"/>
    <xf numFmtId="246" fontId="58" fillId="0" borderId="0"/>
    <xf numFmtId="185" fontId="95" fillId="0" borderId="0" applyFont="0" applyFill="0" applyBorder="0" applyAlignment="0" applyProtection="0">
      <alignment horizontal="right"/>
    </xf>
    <xf numFmtId="247" fontId="95" fillId="0" borderId="0" applyFont="0" applyFill="0" applyBorder="0" applyAlignment="0" applyProtection="0"/>
    <xf numFmtId="185" fontId="95" fillId="0" borderId="0" applyFont="0" applyFill="0" applyBorder="0" applyAlignment="0" applyProtection="0">
      <alignment horizontal="right"/>
    </xf>
    <xf numFmtId="0"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246" fontId="13" fillId="0" borderId="0" applyFont="0" applyFill="0" applyBorder="0" applyAlignment="0" applyProtection="0"/>
    <xf numFmtId="179" fontId="13" fillId="0" borderId="0" applyFont="0" applyFill="0" applyBorder="0" applyAlignment="0" applyProtection="0"/>
    <xf numFmtId="197" fontId="13" fillId="0" borderId="0" applyFont="0" applyFill="0" applyBorder="0" applyAlignment="0" applyProtection="0"/>
    <xf numFmtId="179"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248" fontId="13" fillId="0" borderId="0" applyFont="0" applyFill="0" applyBorder="0" applyAlignment="0" applyProtection="0"/>
    <xf numFmtId="249" fontId="13" fillId="0" borderId="0" applyFont="0" applyFill="0" applyBorder="0" applyAlignment="0" applyProtection="0"/>
    <xf numFmtId="249" fontId="13" fillId="0" borderId="0" applyFont="0" applyFill="0" applyBorder="0" applyAlignment="0" applyProtection="0"/>
    <xf numFmtId="178" fontId="13" fillId="0" borderId="0" applyFont="0" applyFill="0" applyBorder="0" applyAlignment="0" applyProtection="0"/>
    <xf numFmtId="193"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250"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251" fontId="10" fillId="0" borderId="0" applyFont="0" applyFill="0" applyBorder="0" applyAlignment="0" applyProtection="0"/>
    <xf numFmtId="169" fontId="19"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0"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52" fontId="10" fillId="0" borderId="0" applyFont="0" applyFill="0" applyBorder="0" applyAlignment="0" applyProtection="0"/>
    <xf numFmtId="38" fontId="42" fillId="0" borderId="0" applyFill="0" applyBorder="0" applyProtection="0">
      <alignment horizontal="center"/>
    </xf>
    <xf numFmtId="185" fontId="96" fillId="0" borderId="0">
      <protection locked="0"/>
    </xf>
    <xf numFmtId="253" fontId="10" fillId="0" borderId="0" applyBorder="0"/>
    <xf numFmtId="254" fontId="54" fillId="0" borderId="0" applyBorder="0"/>
    <xf numFmtId="255" fontId="10" fillId="0" borderId="0" applyFill="0" applyBorder="0">
      <alignment horizontal="left"/>
    </xf>
    <xf numFmtId="185" fontId="97" fillId="0" borderId="0" applyNumberFormat="0" applyAlignment="0">
      <alignment horizontal="left"/>
    </xf>
    <xf numFmtId="37" fontId="10" fillId="80" borderId="0" applyFont="0" applyBorder="0" applyAlignment="0" applyProtection="0"/>
    <xf numFmtId="197" fontId="51" fillId="80" borderId="0" applyFont="0" applyBorder="0" applyAlignment="0" applyProtection="0"/>
    <xf numFmtId="39" fontId="51" fillId="80" borderId="0" applyFont="0" applyBorder="0" applyAlignment="0" applyProtection="0"/>
    <xf numFmtId="256" fontId="98" fillId="0" borderId="0"/>
    <xf numFmtId="164" fontId="46" fillId="0" borderId="0" applyFont="0" applyFill="0" applyBorder="0" applyAlignment="0" applyProtection="0">
      <protection locked="0"/>
    </xf>
    <xf numFmtId="165" fontId="46" fillId="0" borderId="0" applyFont="0" applyFill="0" applyBorder="0" applyAlignment="0" applyProtection="0">
      <protection locked="0"/>
    </xf>
    <xf numFmtId="166" fontId="10" fillId="0" borderId="0">
      <alignment horizontal="right"/>
    </xf>
    <xf numFmtId="185" fontId="95" fillId="0" borderId="0" applyFont="0" applyFill="0" applyBorder="0" applyAlignment="0" applyProtection="0">
      <alignment horizontal="right"/>
    </xf>
    <xf numFmtId="257" fontId="29" fillId="0" borderId="0" applyFont="0" applyFill="0" applyBorder="0" applyAlignment="0" applyProtection="0"/>
    <xf numFmtId="258" fontId="10" fillId="0" borderId="0" applyFont="0" applyFill="0" applyBorder="0" applyAlignment="0" applyProtection="0"/>
    <xf numFmtId="185" fontId="95" fillId="0" borderId="0" applyFont="0" applyFill="0" applyBorder="0" applyAlignment="0" applyProtection="0">
      <alignment horizontal="right"/>
    </xf>
    <xf numFmtId="257" fontId="14" fillId="0" borderId="0" applyFont="0" applyFill="0" applyBorder="0" applyAlignment="0" applyProtection="0"/>
    <xf numFmtId="255" fontId="10" fillId="0" borderId="0" applyFont="0" applyFill="0" applyBorder="0" applyAlignment="0" applyProtection="0"/>
    <xf numFmtId="257" fontId="14" fillId="0" borderId="0" applyFont="0" applyFill="0" applyBorder="0" applyAlignment="0" applyProtection="0"/>
    <xf numFmtId="257" fontId="14" fillId="0" borderId="0" applyFont="0" applyFill="0" applyBorder="0" applyAlignment="0" applyProtection="0"/>
    <xf numFmtId="259" fontId="10" fillId="0" borderId="0" applyFont="0" applyFill="0" applyBorder="0" applyAlignment="0" applyProtection="0"/>
    <xf numFmtId="185" fontId="10" fillId="0" borderId="0" applyFont="0" applyFill="0" applyBorder="0" applyAlignment="0" applyProtection="0"/>
    <xf numFmtId="49" fontId="99" fillId="81" borderId="0" applyAlignment="0" applyProtection="0">
      <alignment vertical="center"/>
    </xf>
    <xf numFmtId="260" fontId="45" fillId="46" borderId="11">
      <alignment horizontal="right"/>
    </xf>
    <xf numFmtId="261" fontId="42" fillId="0" borderId="0" applyFont="0" applyFill="0" applyBorder="0" applyAlignment="0" applyProtection="0"/>
    <xf numFmtId="233" fontId="44" fillId="45" borderId="18">
      <protection locked="0"/>
    </xf>
    <xf numFmtId="234" fontId="44" fillId="45" borderId="18">
      <protection locked="0"/>
    </xf>
    <xf numFmtId="235" fontId="44" fillId="45" borderId="18">
      <protection locked="0"/>
    </xf>
    <xf numFmtId="233" fontId="44" fillId="45" borderId="18">
      <protection locked="0"/>
    </xf>
    <xf numFmtId="236" fontId="44" fillId="45" borderId="18">
      <protection locked="0"/>
    </xf>
    <xf numFmtId="237" fontId="44" fillId="45" borderId="18">
      <protection locked="0"/>
    </xf>
    <xf numFmtId="238" fontId="44" fillId="45" borderId="18">
      <protection locked="0"/>
    </xf>
    <xf numFmtId="236" fontId="44" fillId="45" borderId="18">
      <protection locked="0"/>
    </xf>
    <xf numFmtId="239" fontId="44" fillId="37" borderId="18">
      <alignment horizontal="right"/>
      <protection locked="0"/>
    </xf>
    <xf numFmtId="240" fontId="44" fillId="37" borderId="18">
      <alignment horizontal="right"/>
      <protection locked="0"/>
    </xf>
    <xf numFmtId="0" fontId="44" fillId="82" borderId="18">
      <alignment horizontal="left"/>
      <protection locked="0"/>
    </xf>
    <xf numFmtId="49" fontId="44" fillId="38" borderId="18">
      <alignment horizontal="left" vertical="top" wrapText="1"/>
      <protection locked="0"/>
    </xf>
    <xf numFmtId="241" fontId="44" fillId="45" borderId="18">
      <protection locked="0"/>
    </xf>
    <xf numFmtId="242" fontId="44" fillId="45" borderId="18">
      <protection locked="0"/>
    </xf>
    <xf numFmtId="243" fontId="44" fillId="45" borderId="18">
      <protection locked="0"/>
    </xf>
    <xf numFmtId="241" fontId="44" fillId="45" borderId="18">
      <protection locked="0"/>
    </xf>
    <xf numFmtId="49" fontId="44" fillId="38" borderId="18">
      <alignment horizontal="left"/>
      <protection locked="0"/>
    </xf>
    <xf numFmtId="262" fontId="44" fillId="45" borderId="18">
      <alignment horizontal="left" indent="1"/>
      <protection locked="0"/>
    </xf>
    <xf numFmtId="263" fontId="10" fillId="45" borderId="19"/>
    <xf numFmtId="263" fontId="10" fillId="45" borderId="19"/>
    <xf numFmtId="263" fontId="10" fillId="45" borderId="19"/>
    <xf numFmtId="263" fontId="10" fillId="45" borderId="19"/>
    <xf numFmtId="263" fontId="10" fillId="45" borderId="19"/>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185" fontId="95" fillId="0" borderId="0" applyFont="0" applyFill="0" applyBorder="0" applyAlignment="0" applyProtection="0"/>
    <xf numFmtId="265" fontId="10" fillId="0" borderId="0" applyFont="0" applyFill="0" applyBorder="0" applyAlignment="0" applyProtection="0"/>
    <xf numFmtId="185" fontId="95" fillId="0" borderId="0" applyFont="0" applyFill="0" applyBorder="0" applyAlignment="0" applyProtection="0"/>
    <xf numFmtId="185" fontId="94" fillId="50" borderId="0">
      <alignment horizontal="left"/>
    </xf>
    <xf numFmtId="264" fontId="10" fillId="0" borderId="0" applyFill="0" applyBorder="0"/>
    <xf numFmtId="14" fontId="10" fillId="0" borderId="0"/>
    <xf numFmtId="266" fontId="10" fillId="0" borderId="0" applyFont="0" applyFill="0" applyBorder="0" applyAlignment="0" applyProtection="0"/>
    <xf numFmtId="267" fontId="10" fillId="0" borderId="0" applyFont="0" applyFill="0" applyBorder="0" applyProtection="0">
      <alignment vertical="top"/>
    </xf>
    <xf numFmtId="267" fontId="10" fillId="0" borderId="0" applyFont="0" applyFill="0" applyBorder="0" applyProtection="0">
      <alignment vertical="top"/>
    </xf>
    <xf numFmtId="267" fontId="10" fillId="0" borderId="0" applyFont="0" applyFill="0" applyBorder="0" applyProtection="0">
      <alignment vertical="top"/>
    </xf>
    <xf numFmtId="268" fontId="10" fillId="0" borderId="0" applyFont="0" applyFill="0" applyBorder="0" applyAlignment="0" applyProtection="0"/>
    <xf numFmtId="267" fontId="10" fillId="0" borderId="0" applyFont="0" applyFill="0" applyBorder="0" applyProtection="0">
      <alignment vertical="top"/>
    </xf>
    <xf numFmtId="268" fontId="10" fillId="0" borderId="0" applyFont="0" applyFill="0" applyBorder="0" applyAlignment="0" applyProtection="0"/>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16" fontId="58" fillId="0" borderId="0">
      <alignment horizontal="right"/>
    </xf>
    <xf numFmtId="211" fontId="58" fillId="0" borderId="0">
      <alignment horizontal="right"/>
      <protection locked="0"/>
    </xf>
    <xf numFmtId="211" fontId="58" fillId="0" borderId="0"/>
    <xf numFmtId="270" fontId="58" fillId="0" borderId="0">
      <alignment horizontal="right"/>
      <protection locked="0"/>
    </xf>
    <xf numFmtId="211" fontId="59" fillId="0" borderId="0"/>
    <xf numFmtId="271" fontId="54" fillId="83" borderId="0" applyAlignment="0" applyProtection="0">
      <alignment horizontal="right"/>
    </xf>
    <xf numFmtId="272" fontId="10" fillId="0" borderId="0" applyFont="0" applyFill="0" applyBorder="0" applyAlignment="0" applyProtection="0"/>
    <xf numFmtId="171" fontId="10" fillId="0" borderId="0" applyFont="0" applyFill="0" applyBorder="0" applyAlignment="0" applyProtection="0"/>
    <xf numFmtId="208" fontId="66" fillId="46" borderId="0" applyNumberFormat="0" applyFont="0" applyBorder="0" applyAlignment="0" applyProtection="0"/>
    <xf numFmtId="165" fontId="42" fillId="0" borderId="0" applyFill="0" applyBorder="0" applyProtection="0">
      <alignment horizontal="center"/>
    </xf>
    <xf numFmtId="164" fontId="42" fillId="0" borderId="0">
      <alignment horizontal="center"/>
    </xf>
    <xf numFmtId="165" fontId="42" fillId="0" borderId="0" applyFill="0" applyBorder="0" applyProtection="0">
      <alignment horizontal="center"/>
    </xf>
    <xf numFmtId="255" fontId="100" fillId="0" borderId="0">
      <alignment horizontal="center"/>
    </xf>
    <xf numFmtId="185" fontId="95" fillId="0" borderId="20" applyNumberFormat="0" applyFont="0" applyFill="0" applyAlignment="0" applyProtection="0"/>
    <xf numFmtId="214" fontId="101" fillId="0" borderId="21"/>
    <xf numFmtId="215" fontId="58" fillId="0" borderId="0"/>
    <xf numFmtId="38" fontId="50" fillId="0" borderId="0" applyFont="0" applyFill="0" applyBorder="0" applyAlignment="0" applyProtection="0"/>
    <xf numFmtId="185" fontId="102" fillId="0" borderId="0" applyFont="0" applyFill="0" applyBorder="0" applyAlignment="0" applyProtection="0"/>
    <xf numFmtId="185" fontId="103" fillId="0" borderId="0" applyNumberFormat="0" applyAlignment="0">
      <alignment horizontal="left"/>
    </xf>
    <xf numFmtId="273" fontId="45" fillId="0" borderId="0"/>
    <xf numFmtId="274" fontId="45" fillId="0" borderId="0"/>
    <xf numFmtId="275" fontId="45" fillId="0" borderId="0"/>
    <xf numFmtId="276" fontId="45" fillId="0" borderId="0"/>
    <xf numFmtId="277" fontId="45" fillId="0" borderId="0"/>
    <xf numFmtId="278" fontId="45" fillId="0" borderId="0"/>
    <xf numFmtId="194" fontId="5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79" fontId="10" fillId="0" borderId="0" applyFont="0" applyFill="0" applyBorder="0" applyAlignment="0" applyProtection="0"/>
    <xf numFmtId="280" fontId="10" fillId="0" borderId="0" applyFont="0" applyFill="0" applyBorder="0" applyAlignment="0" applyProtection="0"/>
    <xf numFmtId="281" fontId="10" fillId="0" borderId="0" applyFont="0" applyFill="0" applyBorder="0" applyAlignment="0" applyProtection="0"/>
    <xf numFmtId="185" fontId="10" fillId="0" borderId="0" applyFon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194" fontId="106" fillId="0" borderId="0" applyNumberFormat="0" applyFill="0" applyBorder="0" applyAlignment="0" applyProtection="0"/>
    <xf numFmtId="0" fontId="42" fillId="79" borderId="0" applyNumberFormat="0" applyFont="0" applyBorder="0" applyAlignment="0" applyProtection="0"/>
    <xf numFmtId="0" fontId="42" fillId="79" borderId="0" applyNumberFormat="0" applyFont="0" applyBorder="0" applyAlignment="0" applyProtection="0"/>
    <xf numFmtId="0" fontId="107" fillId="0" borderId="0" applyNumberFormat="0" applyFill="0" applyBorder="0" applyAlignment="0" applyProtection="0"/>
    <xf numFmtId="282" fontId="108" fillId="0" borderId="0" applyFill="0" applyBorder="0"/>
    <xf numFmtId="15" fontId="19" fillId="0" borderId="0" applyFill="0" applyBorder="0" applyProtection="0">
      <alignment horizontal="center"/>
    </xf>
    <xf numFmtId="0" fontId="42" fillId="20" borderId="0" applyNumberFormat="0" applyFont="0" applyBorder="0" applyAlignment="0" applyProtection="0"/>
    <xf numFmtId="0" fontId="42" fillId="20" borderId="0" applyNumberFormat="0" applyFont="0" applyBorder="0" applyAlignment="0" applyProtection="0"/>
    <xf numFmtId="283" fontId="109" fillId="0" borderId="0" applyFill="0" applyBorder="0" applyProtection="0"/>
    <xf numFmtId="284" fontId="20" fillId="61" borderId="2" applyAlignment="0" applyProtection="0"/>
    <xf numFmtId="284" fontId="20" fillId="61" borderId="2" applyAlignment="0" applyProtection="0"/>
    <xf numFmtId="285" fontId="110" fillId="0" borderId="0" applyNumberFormat="0" applyFill="0" applyBorder="0" applyAlignment="0" applyProtection="0"/>
    <xf numFmtId="285" fontId="111" fillId="0" borderId="0" applyNumberFormat="0" applyFill="0" applyBorder="0" applyAlignment="0" applyProtection="0"/>
    <xf numFmtId="15" fontId="107" fillId="45" borderId="18">
      <alignment horizontal="center"/>
      <protection locked="0"/>
    </xf>
    <xf numFmtId="286" fontId="107" fillId="45" borderId="18" applyAlignment="0">
      <protection locked="0"/>
    </xf>
    <xf numFmtId="287" fontId="107" fillId="45" borderId="18" applyAlignment="0">
      <protection locked="0"/>
    </xf>
    <xf numFmtId="287" fontId="19" fillId="0" borderId="0" applyFill="0" applyBorder="0" applyAlignment="0" applyProtection="0"/>
    <xf numFmtId="288" fontId="19" fillId="0" borderId="0" applyFill="0" applyBorder="0" applyAlignment="0" applyProtection="0"/>
    <xf numFmtId="288" fontId="19" fillId="0" borderId="0" applyFill="0" applyBorder="0" applyAlignment="0" applyProtection="0"/>
    <xf numFmtId="289" fontId="19" fillId="0" borderId="0" applyFill="0" applyBorder="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28" borderId="0" applyNumberFormat="0" applyFont="0" applyBorder="0" applyAlignment="0" applyProtection="0"/>
    <xf numFmtId="0" fontId="42" fillId="28" borderId="0" applyNumberFormat="0" applyFont="0" applyBorder="0" applyAlignment="0" applyProtection="0"/>
    <xf numFmtId="167" fontId="10" fillId="0" borderId="0" applyFont="0" applyFill="0" applyBorder="0" applyAlignment="0" applyProtection="0"/>
    <xf numFmtId="169" fontId="10" fillId="0" borderId="0" applyFont="0" applyFill="0" applyBorder="0" applyAlignment="0" applyProtection="0"/>
    <xf numFmtId="290" fontId="10" fillId="0" borderId="0" applyFont="0" applyFill="0" applyBorder="0" applyAlignment="0" applyProtection="0"/>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1" fontId="112" fillId="84" borderId="24" applyNumberFormat="0" applyBorder="0" applyAlignment="0">
      <alignment horizontal="centerContinuous" vertical="center"/>
      <protection locked="0"/>
    </xf>
    <xf numFmtId="185" fontId="96" fillId="0" borderId="0">
      <protection locked="0"/>
    </xf>
    <xf numFmtId="255" fontId="113" fillId="0" borderId="0"/>
    <xf numFmtId="255" fontId="113" fillId="0" borderId="0"/>
    <xf numFmtId="185" fontId="114" fillId="0" borderId="0"/>
    <xf numFmtId="185" fontId="115" fillId="0" borderId="0" applyFill="0" applyBorder="0" applyProtection="0">
      <alignment horizontal="left"/>
    </xf>
    <xf numFmtId="4" fontId="116" fillId="0" borderId="0">
      <protection locked="0"/>
    </xf>
    <xf numFmtId="0" fontId="99" fillId="19" borderId="0" applyAlignment="0" applyProtection="0">
      <alignment horizontal="right" vertical="center"/>
    </xf>
    <xf numFmtId="256" fontId="117" fillId="0" borderId="0"/>
    <xf numFmtId="274" fontId="45" fillId="0" borderId="25"/>
    <xf numFmtId="292" fontId="45" fillId="46" borderId="11">
      <alignment horizontal="right"/>
    </xf>
    <xf numFmtId="293" fontId="10" fillId="0" borderId="0" applyFont="0" applyFill="0" applyBorder="0" applyAlignment="0" applyProtection="0"/>
    <xf numFmtId="294" fontId="118" fillId="0" borderId="0" applyFont="0" applyFill="0" applyBorder="0" applyAlignment="0" applyProtection="0"/>
    <xf numFmtId="295" fontId="10" fillId="0" borderId="0" applyFont="0" applyFill="0" applyBorder="0" applyAlignment="0" applyProtection="0"/>
    <xf numFmtId="296" fontId="118"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194" fontId="120" fillId="57" borderId="0" applyNumberFormat="0" applyBorder="0" applyAlignment="0" applyProtection="0"/>
    <xf numFmtId="2" fontId="121" fillId="50" borderId="11" applyProtection="0">
      <alignment horizontal="left"/>
      <protection locked="0"/>
    </xf>
    <xf numFmtId="38" fontId="54" fillId="46" borderId="0" applyNumberFormat="0" applyBorder="0" applyAlignment="0" applyProtection="0"/>
    <xf numFmtId="0" fontId="10" fillId="61" borderId="0" applyNumberFormat="0" applyFont="0" applyBorder="0" applyAlignment="0" applyProtection="0"/>
    <xf numFmtId="297" fontId="94" fillId="36" borderId="26" applyNumberFormat="0" applyFont="0" applyAlignment="0"/>
    <xf numFmtId="185" fontId="95" fillId="0" borderId="0" applyFont="0" applyFill="0" applyBorder="0" applyAlignment="0" applyProtection="0">
      <alignment horizontal="right"/>
    </xf>
    <xf numFmtId="185" fontId="122" fillId="0" borderId="0" applyProtection="0">
      <alignment horizontal="right"/>
    </xf>
    <xf numFmtId="185" fontId="79" fillId="0" borderId="27" applyNumberFormat="0" applyAlignment="0" applyProtection="0">
      <alignment horizontal="left" vertical="center"/>
    </xf>
    <xf numFmtId="185" fontId="79" fillId="0" borderId="28">
      <alignment horizontal="left" vertical="center"/>
    </xf>
    <xf numFmtId="2" fontId="75" fillId="76" borderId="0" applyAlignment="0">
      <alignment horizontal="right"/>
      <protection locked="0"/>
    </xf>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194" fontId="125" fillId="0" borderId="30"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194" fontId="128" fillId="0" borderId="31"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194" fontId="131" fillId="0" borderId="32" applyNumberFormat="0" applyFill="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194" fontId="131" fillId="0" borderId="0" applyNumberFormat="0" applyFill="0" applyBorder="0" applyAlignment="0" applyProtection="0"/>
    <xf numFmtId="185" fontId="42" fillId="0" borderId="0">
      <protection locked="0"/>
    </xf>
    <xf numFmtId="185" fontId="42" fillId="0" borderId="0">
      <protection locked="0"/>
    </xf>
    <xf numFmtId="298" fontId="132" fillId="0" borderId="0">
      <alignment horizontal="right"/>
    </xf>
    <xf numFmtId="299" fontId="62" fillId="0" borderId="0" applyAlignment="0">
      <alignment horizontal="right"/>
      <protection hidden="1"/>
    </xf>
    <xf numFmtId="185" fontId="107" fillId="0" borderId="33" applyNumberFormat="0" applyFill="0" applyAlignment="0" applyProtection="0"/>
    <xf numFmtId="208" fontId="133" fillId="0" borderId="0" applyNumberFormat="0" applyBorder="0" applyAlignment="0" applyProtection="0">
      <alignment horizontal="right" wrapText="1"/>
    </xf>
    <xf numFmtId="0" fontId="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94" fontId="137"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194" fontId="141" fillId="0" borderId="0" applyNumberFormat="0" applyFill="0" applyBorder="0" applyAlignment="0" applyProtection="0">
      <alignment vertical="top"/>
      <protection locked="0"/>
    </xf>
    <xf numFmtId="185" fontId="142" fillId="0" borderId="0">
      <alignment wrapText="1"/>
    </xf>
    <xf numFmtId="10" fontId="54" fillId="36" borderId="26" applyNumberFormat="0" applyBorder="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194" fontId="145" fillId="60" borderId="34" applyNumberFormat="0" applyAlignment="0" applyProtection="0"/>
    <xf numFmtId="194" fontId="145" fillId="60" borderId="34" applyNumberFormat="0" applyAlignment="0" applyProtection="0"/>
    <xf numFmtId="0" fontId="54" fillId="0" borderId="0" applyNumberFormat="0" applyFill="0" applyBorder="0" applyAlignment="0">
      <protection locked="0"/>
    </xf>
    <xf numFmtId="0" fontId="146" fillId="34" borderId="0"/>
    <xf numFmtId="244" fontId="65" fillId="86" borderId="0">
      <protection locked="0"/>
    </xf>
    <xf numFmtId="300" fontId="42" fillId="0" borderId="0"/>
    <xf numFmtId="0" fontId="147" fillId="0" borderId="0"/>
    <xf numFmtId="38" fontId="148" fillId="0" borderId="0"/>
    <xf numFmtId="38" fontId="149" fillId="0" borderId="0"/>
    <xf numFmtId="38" fontId="150" fillId="0" borderId="0"/>
    <xf numFmtId="38" fontId="151" fillId="0" borderId="0"/>
    <xf numFmtId="0" fontId="68" fillId="0" borderId="0"/>
    <xf numFmtId="0" fontId="68" fillId="0" borderId="0"/>
    <xf numFmtId="0" fontId="68" fillId="0" borderId="0"/>
    <xf numFmtId="0" fontId="44" fillId="0" borderId="0"/>
    <xf numFmtId="0" fontId="152" fillId="0" borderId="0"/>
    <xf numFmtId="0" fontId="153" fillId="0" borderId="0">
      <alignment horizontal="center"/>
    </xf>
    <xf numFmtId="301" fontId="154" fillId="0" borderId="0" applyFont="0" applyFill="0" applyBorder="0" applyAlignment="0" applyProtection="0"/>
    <xf numFmtId="185" fontId="10" fillId="0" borderId="0" applyNumberFormat="0" applyFont="0" applyFill="0" applyBorder="0" applyProtection="0">
      <alignment horizontal="left" vertical="center"/>
    </xf>
    <xf numFmtId="173" fontId="37" fillId="2" borderId="0"/>
    <xf numFmtId="173" fontId="38" fillId="53" borderId="0"/>
    <xf numFmtId="185" fontId="54" fillId="46" borderId="0"/>
    <xf numFmtId="38" fontId="155" fillId="0" borderId="0" applyNumberFormat="0" applyFill="0" applyBorder="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194" fontId="158" fillId="0" borderId="36" applyNumberFormat="0" applyFill="0" applyAlignment="0" applyProtection="0"/>
    <xf numFmtId="0" fontId="99" fillId="87" borderId="0" applyAlignment="0" applyProtection="0">
      <alignment horizontal="right" vertical="center"/>
    </xf>
    <xf numFmtId="201" fontId="55" fillId="0" borderId="0" applyFont="0" applyFill="0" applyBorder="0" applyAlignment="0" applyProtection="0">
      <alignment horizontal="right"/>
    </xf>
    <xf numFmtId="302"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303"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40" fontId="159" fillId="0" borderId="0">
      <alignment horizontal="right"/>
    </xf>
    <xf numFmtId="37" fontId="160" fillId="0" borderId="0"/>
    <xf numFmtId="185" fontId="161" fillId="0" borderId="0">
      <alignment vertical="center"/>
    </xf>
    <xf numFmtId="185" fontId="10" fillId="0" borderId="0" applyNumberFormat="0" applyFill="0" applyBorder="0" applyAlignment="0" applyProtection="0"/>
    <xf numFmtId="169"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4" fontId="10" fillId="0" borderId="0" applyFont="0" applyFill="0" applyBorder="0" applyAlignment="0" applyProtection="0"/>
    <xf numFmtId="305" fontId="45" fillId="0" borderId="0">
      <alignment horizontal="right"/>
    </xf>
    <xf numFmtId="185" fontId="162" fillId="0" borderId="17"/>
    <xf numFmtId="306" fontId="50" fillId="0" borderId="0" applyFont="0" applyFill="0" applyBorder="0" applyAlignment="0" applyProtection="0"/>
    <xf numFmtId="307" fontId="5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8" fontId="54" fillId="36" borderId="0">
      <alignment horizontal="center"/>
    </xf>
    <xf numFmtId="309" fontId="42" fillId="0" borderId="0" applyFill="0" applyBorder="0" applyProtection="0">
      <alignment horizontal="center"/>
    </xf>
    <xf numFmtId="310" fontId="42" fillId="0" borderId="0" applyFont="0" applyFill="0" applyBorder="0" applyAlignment="0" applyProtection="0">
      <alignment horizontal="centerContinuous"/>
      <protection locked="0"/>
    </xf>
    <xf numFmtId="49" fontId="163" fillId="81" borderId="0" applyAlignment="0" applyProtection="0">
      <alignment horizontal="centerContinuous" vertical="center"/>
    </xf>
    <xf numFmtId="311" fontId="54" fillId="0" borderId="0" applyFont="0" applyFill="0" applyBorder="0" applyAlignment="0" applyProtection="0">
      <alignment horizontal="right"/>
    </xf>
    <xf numFmtId="0" fontId="82" fillId="0" borderId="0">
      <alignment horizontal="right"/>
    </xf>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194" fontId="165" fillId="18" borderId="0" applyNumberFormat="0" applyBorder="0" applyAlignment="0" applyProtection="0"/>
    <xf numFmtId="37" fontId="166" fillId="0" borderId="0"/>
    <xf numFmtId="298" fontId="167" fillId="0" borderId="0"/>
    <xf numFmtId="312" fontId="46" fillId="0" borderId="0"/>
    <xf numFmtId="312" fontId="46" fillId="0" borderId="9"/>
    <xf numFmtId="312" fontId="46" fillId="0" borderId="37"/>
    <xf numFmtId="312" fontId="46" fillId="0" borderId="0"/>
    <xf numFmtId="313" fontId="58" fillId="0" borderId="0"/>
    <xf numFmtId="314" fontId="58" fillId="0" borderId="0"/>
    <xf numFmtId="315" fontId="58" fillId="0" borderId="0"/>
    <xf numFmtId="316" fontId="54" fillId="0" borderId="0"/>
    <xf numFmtId="317" fontId="54" fillId="0" borderId="0"/>
    <xf numFmtId="38" fontId="10" fillId="0" borderId="0" applyFont="0" applyFill="0" applyBorder="0" applyAlignment="0" applyProtection="0"/>
    <xf numFmtId="0" fontId="8" fillId="0" borderId="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8"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3" fillId="0" borderId="0"/>
    <xf numFmtId="0" fontId="14"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4" fillId="0" borderId="0"/>
    <xf numFmtId="0" fontId="14" fillId="0" borderId="0"/>
    <xf numFmtId="0" fontId="10"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25"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13" fillId="0" borderId="0"/>
    <xf numFmtId="0" fontId="13" fillId="0" borderId="0"/>
    <xf numFmtId="0" fontId="13" fillId="0" borderId="0"/>
    <xf numFmtId="0" fontId="13" fillId="0" borderId="0"/>
    <xf numFmtId="0" fontId="13" fillId="0" borderId="0"/>
    <xf numFmtId="185"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xf numFmtId="0" fontId="10" fillId="0" borderId="0"/>
    <xf numFmtId="0" fontId="13" fillId="0" borderId="0" applyFont="0" applyFill="0" applyBorder="0" applyAlignment="0" applyProtection="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3" fillId="0" borderId="0"/>
    <xf numFmtId="0" fontId="13" fillId="0" borderId="0" applyFont="0" applyFill="0" applyBorder="0" applyAlignment="0" applyProtection="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11"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1" fillId="0" borderId="0"/>
    <xf numFmtId="194" fontId="11"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7" fillId="0" borderId="0"/>
    <xf numFmtId="0" fontId="10" fillId="0" borderId="0"/>
    <xf numFmtId="185" fontId="10"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194"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9" fontId="8" fillId="0" borderId="0"/>
    <xf numFmtId="179" fontId="25" fillId="0" borderId="0"/>
    <xf numFmtId="179" fontId="25" fillId="0" borderId="0"/>
    <xf numFmtId="179" fontId="25" fillId="0" borderId="0"/>
    <xf numFmtId="179" fontId="25" fillId="0" borderId="0"/>
    <xf numFmtId="179" fontId="25"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8" fillId="0" borderId="0"/>
    <xf numFmtId="0" fontId="29" fillId="0" borderId="0" applyFill="0" applyBorder="0" applyAlignment="0" applyProtection="0"/>
    <xf numFmtId="0" fontId="29"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applyFill="0" applyBorder="0" applyAlignment="0" applyProtection="0"/>
    <xf numFmtId="0" fontId="29"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xf numFmtId="0" fontId="10" fillId="0" borderId="0"/>
    <xf numFmtId="0" fontId="8" fillId="0" borderId="0"/>
    <xf numFmtId="0" fontId="8" fillId="0" borderId="0"/>
    <xf numFmtId="0" fontId="8" fillId="0" borderId="0"/>
    <xf numFmtId="0" fontId="8" fillId="0" borderId="0"/>
    <xf numFmtId="0" fontId="25" fillId="0" borderId="0"/>
    <xf numFmtId="0" fontId="10" fillId="0" borderId="0"/>
    <xf numFmtId="0" fontId="10" fillId="0" borderId="0"/>
    <xf numFmtId="0" fontId="8" fillId="0" borderId="0"/>
    <xf numFmtId="0" fontId="10"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9" fillId="0" borderId="0"/>
    <xf numFmtId="0" fontId="10" fillId="0" borderId="0" applyNumberFormat="0" applyFont="0" applyFill="0" applyBorder="0" applyAlignment="0" applyProtection="0"/>
    <xf numFmtId="0" fontId="19" fillId="0" borderId="0"/>
    <xf numFmtId="0" fontId="19" fillId="0" borderId="0"/>
    <xf numFmtId="0" fontId="19" fillId="0" borderId="0"/>
    <xf numFmtId="0" fontId="7" fillId="0" borderId="0"/>
    <xf numFmtId="0" fontId="29" fillId="0" borderId="0"/>
    <xf numFmtId="0" fontId="29" fillId="0" borderId="0"/>
    <xf numFmtId="0" fontId="10" fillId="0" borderId="0" applyNumberFormat="0" applyFont="0" applyFill="0" applyBorder="0" applyAlignment="0" applyProtection="0"/>
    <xf numFmtId="0" fontId="29" fillId="0" borderId="0"/>
    <xf numFmtId="0" fontId="13" fillId="0" borderId="0"/>
    <xf numFmtId="0" fontId="13" fillId="0" borderId="0"/>
    <xf numFmtId="0" fontId="13" fillId="0" borderId="0"/>
    <xf numFmtId="0" fontId="13" fillId="0" borderId="0"/>
    <xf numFmtId="0" fontId="8" fillId="0" borderId="0"/>
    <xf numFmtId="0" fontId="8" fillId="0" borderId="0"/>
    <xf numFmtId="0" fontId="8" fillId="0" borderId="0"/>
    <xf numFmtId="0" fontId="8" fillId="0" borderId="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8"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26"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318" fontId="56" fillId="0" borderId="37"/>
    <xf numFmtId="0" fontId="107" fillId="0" borderId="0" applyFill="0" applyBorder="0">
      <protection locked="0"/>
    </xf>
    <xf numFmtId="185" fontId="10" fillId="0" borderId="0"/>
    <xf numFmtId="185" fontId="169" fillId="0" borderId="0"/>
    <xf numFmtId="185" fontId="170" fillId="0" borderId="0"/>
    <xf numFmtId="185" fontId="171" fillId="0" borderId="0"/>
    <xf numFmtId="185" fontId="172" fillId="0" borderId="0"/>
    <xf numFmtId="185" fontId="51" fillId="0" borderId="0"/>
    <xf numFmtId="38" fontId="173" fillId="0" borderId="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194" fontId="10" fillId="34" borderId="38" applyNumberFormat="0" applyFont="0" applyAlignment="0" applyProtection="0"/>
    <xf numFmtId="194" fontId="10" fillId="34" borderId="38" applyNumberFormat="0" applyFont="0" applyAlignment="0" applyProtection="0"/>
    <xf numFmtId="0" fontId="174" fillId="83" borderId="0" applyAlignment="0" applyProtection="0">
      <alignment horizontal="left" vertical="top" wrapText="1"/>
    </xf>
    <xf numFmtId="285" fontId="10" fillId="45" borderId="39" applyFont="0" applyFill="0" applyBorder="0" applyAlignment="0" applyProtection="0">
      <protection locked="0"/>
    </xf>
    <xf numFmtId="37" fontId="10" fillId="0" borderId="0"/>
    <xf numFmtId="319" fontId="41" fillId="50" borderId="40" applyNumberFormat="0">
      <alignment vertical="center"/>
    </xf>
    <xf numFmtId="319" fontId="41" fillId="88" borderId="40" applyNumberFormat="0">
      <alignment vertical="center"/>
    </xf>
    <xf numFmtId="319" fontId="41" fillId="40" borderId="40" applyNumberFormat="0">
      <alignment vertical="center"/>
    </xf>
    <xf numFmtId="319" fontId="41" fillId="38" borderId="40" applyNumberFormat="0">
      <alignment vertical="center"/>
    </xf>
    <xf numFmtId="319" fontId="41" fillId="89" borderId="40" applyNumberFormat="0">
      <alignment vertical="center"/>
    </xf>
    <xf numFmtId="319" fontId="41" fillId="46" borderId="40" applyNumberFormat="0">
      <alignment vertical="center"/>
    </xf>
    <xf numFmtId="319" fontId="41" fillId="90" borderId="40" applyNumberFormat="0">
      <alignment vertical="center"/>
    </xf>
    <xf numFmtId="319" fontId="41" fillId="80" borderId="40" applyNumberFormat="0">
      <alignment vertical="center"/>
    </xf>
    <xf numFmtId="319" fontId="41" fillId="91" borderId="40" applyNumberFormat="0">
      <alignment vertical="center"/>
    </xf>
    <xf numFmtId="319" fontId="41" fillId="92" borderId="40" applyNumberFormat="0">
      <alignment vertical="center"/>
    </xf>
    <xf numFmtId="319" fontId="175" fillId="45" borderId="40">
      <protection locked="0"/>
    </xf>
    <xf numFmtId="319" fontId="175" fillId="37" borderId="40">
      <protection locked="0"/>
    </xf>
    <xf numFmtId="319" fontId="176" fillId="37" borderId="41" applyNumberFormat="0" applyFont="0" applyFill="0" applyAlignment="0" applyProtection="0">
      <protection locked="0"/>
    </xf>
    <xf numFmtId="319" fontId="82" fillId="0" borderId="0" applyNumberFormat="0" applyFill="0">
      <alignment horizontal="left" vertical="top"/>
    </xf>
    <xf numFmtId="0" fontId="177" fillId="93" borderId="0" applyNumberFormat="0">
      <alignment horizontal="left" vertical="center" indent="1"/>
    </xf>
    <xf numFmtId="0" fontId="178" fillId="94" borderId="0" applyNumberFormat="0">
      <alignment vertical="center"/>
    </xf>
    <xf numFmtId="0" fontId="79" fillId="46" borderId="0">
      <alignment vertical="center"/>
    </xf>
    <xf numFmtId="0" fontId="179" fillId="0" borderId="42">
      <alignment vertical="center"/>
    </xf>
    <xf numFmtId="0" fontId="40" fillId="95" borderId="26" applyNumberFormat="0" applyFont="0" applyAlignment="0">
      <alignment vertical="center"/>
    </xf>
    <xf numFmtId="0" fontId="40" fillId="45" borderId="26" applyNumberFormat="0" applyFont="0" applyAlignment="0">
      <alignment vertical="center"/>
    </xf>
    <xf numFmtId="0" fontId="40" fillId="37" borderId="26" applyNumberFormat="0" applyFont="0" applyAlignment="0">
      <alignment vertical="center"/>
    </xf>
    <xf numFmtId="0" fontId="40" fillId="96" borderId="26" applyNumberFormat="0" applyFont="0" applyAlignment="0">
      <alignment vertical="center"/>
    </xf>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97" borderId="0">
      <alignment horizontal="right"/>
    </xf>
    <xf numFmtId="0" fontId="180" fillId="0" borderId="0">
      <alignment horizontal="left"/>
    </xf>
    <xf numFmtId="3" fontId="181" fillId="0" borderId="0" applyFill="0" applyBorder="0" applyAlignment="0" applyProtection="0"/>
    <xf numFmtId="185" fontId="182" fillId="12" borderId="43" applyNumberFormat="0" applyBorder="0" applyAlignment="0">
      <alignment horizontal="center"/>
      <protection hidden="1"/>
    </xf>
    <xf numFmtId="185" fontId="183" fillId="0" borderId="43" applyNumberFormat="0" applyBorder="0" applyAlignment="0">
      <alignment horizontal="center"/>
      <protection locked="0"/>
    </xf>
    <xf numFmtId="2" fontId="184" fillId="50" borderId="11">
      <alignment horizontal="left"/>
    </xf>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194" fontId="186" fillId="61" borderId="44" applyNumberFormat="0" applyAlignment="0" applyProtection="0"/>
    <xf numFmtId="194" fontId="186" fillId="61" borderId="44" applyNumberFormat="0" applyAlignment="0" applyProtection="0"/>
    <xf numFmtId="40" fontId="19" fillId="33" borderId="0">
      <alignment horizontal="right"/>
    </xf>
    <xf numFmtId="185" fontId="187" fillId="98" borderId="0">
      <alignment horizontal="center"/>
    </xf>
    <xf numFmtId="185" fontId="188" fillId="99" borderId="0"/>
    <xf numFmtId="185" fontId="189" fillId="33" borderId="0" applyBorder="0">
      <alignment horizontal="centerContinuous"/>
    </xf>
    <xf numFmtId="185" fontId="190" fillId="99" borderId="0" applyBorder="0">
      <alignment horizontal="centerContinuous"/>
    </xf>
    <xf numFmtId="320" fontId="10" fillId="0" borderId="0"/>
    <xf numFmtId="320" fontId="10" fillId="0" borderId="0"/>
    <xf numFmtId="320" fontId="10" fillId="0" borderId="0"/>
    <xf numFmtId="320" fontId="10" fillId="0" borderId="0"/>
    <xf numFmtId="176" fontId="10" fillId="0" borderId="0"/>
    <xf numFmtId="176" fontId="10" fillId="0" borderId="0"/>
    <xf numFmtId="176" fontId="10" fillId="0" borderId="0"/>
    <xf numFmtId="176" fontId="10" fillId="0" borderId="0"/>
    <xf numFmtId="176" fontId="10" fillId="0" borderId="0"/>
    <xf numFmtId="320" fontId="10" fillId="0" borderId="0"/>
    <xf numFmtId="185" fontId="42" fillId="100" borderId="0" applyNumberFormat="0" applyFont="0" applyBorder="0" applyAlignment="0"/>
    <xf numFmtId="1" fontId="191" fillId="0" borderId="0" applyProtection="0">
      <alignment horizontal="right" vertical="center"/>
    </xf>
    <xf numFmtId="197" fontId="192" fillId="0" borderId="0">
      <alignment horizontal="left"/>
    </xf>
    <xf numFmtId="321" fontId="45" fillId="0" borderId="0"/>
    <xf numFmtId="322" fontId="45" fillId="0" borderId="0"/>
    <xf numFmtId="166" fontId="10" fillId="0" borderId="0" applyFont="0" applyFill="0" applyBorder="0" applyAlignment="0" applyProtection="0"/>
    <xf numFmtId="168" fontId="10" fillId="0" borderId="0" applyFont="0" applyFill="0" applyBorder="0" applyAlignment="0" applyProtection="0"/>
    <xf numFmtId="175" fontId="46" fillId="0" borderId="0" applyFont="0" applyFill="0" applyBorder="0" applyAlignment="0" applyProtection="0">
      <protection locked="0"/>
    </xf>
    <xf numFmtId="10" fontId="46" fillId="0" borderId="0" applyFont="0" applyFill="0" applyBorder="0" applyAlignment="0" applyProtection="0">
      <protection locked="0"/>
    </xf>
    <xf numFmtId="10" fontId="10"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9"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23" fontId="58" fillId="0" borderId="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324" fontId="65" fillId="80" borderId="0" applyBorder="0" applyAlignment="0">
      <protection locked="0"/>
    </xf>
    <xf numFmtId="9" fontId="58" fillId="0" borderId="0"/>
    <xf numFmtId="175" fontId="58" fillId="0" borderId="0"/>
    <xf numFmtId="10" fontId="58" fillId="0" borderId="0"/>
    <xf numFmtId="325" fontId="10" fillId="0" borderId="0" applyFont="0" applyFill="0" applyBorder="0" applyAlignment="0" applyProtection="0"/>
    <xf numFmtId="326" fontId="56" fillId="0" borderId="0"/>
    <xf numFmtId="327" fontId="56" fillId="0" borderId="0"/>
    <xf numFmtId="327" fontId="58" fillId="0" borderId="0"/>
    <xf numFmtId="328" fontId="10" fillId="0" borderId="0" applyBorder="0">
      <alignment horizontal="right"/>
    </xf>
    <xf numFmtId="329" fontId="54" fillId="0" borderId="0" applyBorder="0"/>
    <xf numFmtId="10" fontId="10" fillId="50" borderId="0"/>
    <xf numFmtId="185" fontId="10" fillId="0" borderId="0">
      <protection locked="0"/>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330" fontId="8" fillId="101" borderId="6">
      <alignment vertical="center"/>
    </xf>
    <xf numFmtId="0"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2"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0" fontId="10" fillId="32" borderId="3" applyNumberFormat="0" applyProtection="0">
      <alignment horizontal="left" vertical="center" indent="1"/>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2"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101" borderId="6">
      <alignment vertical="center"/>
    </xf>
    <xf numFmtId="33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101" borderId="6">
      <alignment vertical="center"/>
    </xf>
    <xf numFmtId="331" fontId="25"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332" fontId="45" fillId="0" borderId="0">
      <alignment horizontal="right"/>
    </xf>
    <xf numFmtId="40" fontId="10" fillId="0" borderId="0"/>
    <xf numFmtId="1" fontId="193" fillId="46" borderId="0">
      <alignment horizontal="center"/>
    </xf>
    <xf numFmtId="185" fontId="50" fillId="0" borderId="0" applyNumberFormat="0" applyFont="0" applyFill="0" applyBorder="0" applyAlignment="0" applyProtection="0">
      <alignment horizontal="left"/>
    </xf>
    <xf numFmtId="15" fontId="50" fillId="0" borderId="0" applyFont="0" applyFill="0" applyBorder="0" applyAlignment="0" applyProtection="0"/>
    <xf numFmtId="4" fontId="50" fillId="0" borderId="0" applyFont="0" applyFill="0" applyBorder="0" applyAlignment="0" applyProtection="0"/>
    <xf numFmtId="185" fontId="194" fillId="0" borderId="17">
      <alignment horizontal="center"/>
    </xf>
    <xf numFmtId="3" fontId="50" fillId="0" borderId="0" applyFont="0" applyFill="0" applyBorder="0" applyAlignment="0" applyProtection="0"/>
    <xf numFmtId="185" fontId="50" fillId="102" borderId="0" applyNumberFormat="0" applyFont="0" applyBorder="0" applyAlignment="0" applyProtection="0"/>
    <xf numFmtId="333" fontId="45" fillId="46" borderId="0"/>
    <xf numFmtId="334" fontId="21" fillId="46" borderId="0" applyFill="0"/>
    <xf numFmtId="185" fontId="195" fillId="0" borderId="0">
      <alignment horizontal="left" indent="7"/>
    </xf>
    <xf numFmtId="185" fontId="21" fillId="0" borderId="0" applyFill="0">
      <alignment horizontal="left" indent="7"/>
    </xf>
    <xf numFmtId="334" fontId="65" fillId="0" borderId="28">
      <alignment horizontal="right"/>
    </xf>
    <xf numFmtId="185" fontId="65" fillId="0" borderId="26" applyNumberFormat="0" applyFont="0" applyBorder="0">
      <alignment horizontal="right"/>
    </xf>
    <xf numFmtId="185" fontId="196" fillId="0" borderId="0" applyFill="0"/>
    <xf numFmtId="185" fontId="65" fillId="0" borderId="0" applyFill="0"/>
    <xf numFmtId="334" fontId="18" fillId="0" borderId="28" applyFill="0"/>
    <xf numFmtId="185" fontId="10" fillId="0" borderId="0" applyNumberFormat="0" applyFont="0" applyBorder="0" applyAlignment="0"/>
    <xf numFmtId="185" fontId="197" fillId="0" borderId="0" applyFill="0">
      <alignment horizontal="left" indent="1"/>
    </xf>
    <xf numFmtId="185" fontId="18" fillId="0" borderId="0">
      <alignment horizontal="left" indent="1"/>
    </xf>
    <xf numFmtId="334" fontId="65" fillId="0" borderId="28" applyFill="0"/>
    <xf numFmtId="185" fontId="10" fillId="0" borderId="0" applyNumberFormat="0" applyFont="0" applyFill="0" applyBorder="0" applyAlignment="0"/>
    <xf numFmtId="185" fontId="196" fillId="0" borderId="0" applyFill="0">
      <alignment horizontal="left" indent="2"/>
    </xf>
    <xf numFmtId="185" fontId="65" fillId="0" borderId="0" applyFill="0">
      <alignment horizontal="left" indent="2"/>
    </xf>
    <xf numFmtId="334" fontId="18" fillId="0" borderId="28" applyFill="0"/>
    <xf numFmtId="185" fontId="10" fillId="0" borderId="0" applyNumberFormat="0" applyFont="0" applyBorder="0" applyAlignment="0"/>
    <xf numFmtId="185" fontId="197" fillId="0" borderId="0">
      <alignment horizontal="left" indent="3"/>
    </xf>
    <xf numFmtId="185" fontId="18" fillId="0" borderId="0" applyFill="0">
      <alignment horizontal="left" indent="3"/>
    </xf>
    <xf numFmtId="334" fontId="65" fillId="0" borderId="28" applyFill="0"/>
    <xf numFmtId="185" fontId="10" fillId="0" borderId="0" applyNumberFormat="0" applyFont="0" applyBorder="0" applyAlignment="0"/>
    <xf numFmtId="185" fontId="196" fillId="0" borderId="0">
      <alignment horizontal="left" indent="4"/>
    </xf>
    <xf numFmtId="185" fontId="65" fillId="0" borderId="0" applyFill="0">
      <alignment horizontal="left" indent="4"/>
    </xf>
    <xf numFmtId="334" fontId="18" fillId="0" borderId="28" applyFill="0"/>
    <xf numFmtId="185" fontId="10" fillId="0" borderId="0" applyNumberFormat="0" applyFont="0" applyBorder="0" applyAlignment="0"/>
    <xf numFmtId="185" fontId="197" fillId="0" borderId="0">
      <alignment horizontal="left" indent="5"/>
    </xf>
    <xf numFmtId="185" fontId="18" fillId="0" borderId="0" applyFill="0">
      <alignment horizontal="left" indent="5"/>
    </xf>
    <xf numFmtId="334" fontId="65" fillId="0" borderId="28" applyFill="0"/>
    <xf numFmtId="185" fontId="10" fillId="0" borderId="0" applyNumberFormat="0" applyFont="0" applyFill="0" applyBorder="0" applyAlignment="0"/>
    <xf numFmtId="185" fontId="65" fillId="0" borderId="0" applyFill="0">
      <alignment horizontal="left" indent="6"/>
    </xf>
    <xf numFmtId="335" fontId="45" fillId="46" borderId="11">
      <alignment horizontal="right"/>
    </xf>
    <xf numFmtId="0" fontId="198" fillId="0" borderId="0"/>
    <xf numFmtId="14" fontId="199" fillId="0" borderId="0" applyNumberFormat="0" applyFill="0" applyBorder="0" applyAlignment="0" applyProtection="0">
      <alignment horizontal="left"/>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4"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3" borderId="26">
      <alignment vertical="center"/>
    </xf>
    <xf numFmtId="331" fontId="25"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43" borderId="26">
      <alignment vertical="center"/>
    </xf>
    <xf numFmtId="331" fontId="25"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336" fontId="25" fillId="0" borderId="0">
      <protection locked="0"/>
    </xf>
    <xf numFmtId="338" fontId="200"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2" fillId="0" borderId="46">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20"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203"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4" fontId="204" fillId="45"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4" fontId="204" fillId="103" borderId="0" applyNumberFormat="0" applyProtection="0">
      <alignment horizontal="left" vertical="center" indent="1"/>
    </xf>
    <xf numFmtId="4" fontId="204" fillId="103" borderId="0" applyNumberFormat="0" applyProtection="0">
      <alignment horizontal="left" vertical="center" indent="1"/>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204" fillId="104"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204" fillId="89"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204" fillId="86"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204" fillId="38"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204" fillId="90"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204" fillId="37"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204" fillId="91"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204" fillId="105"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4" fillId="97"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 fillId="106" borderId="4" applyNumberFormat="0" applyProtection="0">
      <alignment horizontal="left" vertical="center" indent="1"/>
    </xf>
    <xf numFmtId="4" fontId="20" fillId="106" borderId="4" applyNumberFormat="0" applyProtection="0">
      <alignment horizontal="left" vertical="center" indent="1"/>
    </xf>
    <xf numFmtId="4" fontId="20" fillId="40" borderId="0" applyNumberFormat="0" applyProtection="0">
      <alignment horizontal="left" vertical="center" indent="1"/>
    </xf>
    <xf numFmtId="4" fontId="20" fillId="40" borderId="0" applyNumberFormat="0" applyProtection="0">
      <alignment horizontal="left" vertical="center" indent="1"/>
    </xf>
    <xf numFmtId="4" fontId="20" fillId="103" borderId="0" applyNumberFormat="0" applyProtection="0">
      <alignment horizontal="left" vertical="center" indent="1"/>
    </xf>
    <xf numFmtId="4" fontId="20" fillId="103" borderId="0" applyNumberFormat="0" applyProtection="0">
      <alignment horizontal="left" vertical="center" indent="1"/>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204" fillId="40"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19" fillId="30" borderId="0" applyNumberFormat="0" applyProtection="0">
      <alignment horizontal="left" vertical="center" indent="1"/>
    </xf>
    <xf numFmtId="4" fontId="54" fillId="30" borderId="47" applyNumberFormat="0" applyProtection="0">
      <alignment horizontal="left" vertical="center" indent="1"/>
    </xf>
    <xf numFmtId="4" fontId="19" fillId="19" borderId="0" applyNumberFormat="0" applyProtection="0">
      <alignment horizontal="left" vertical="center" indent="1"/>
    </xf>
    <xf numFmtId="4" fontId="54" fillId="19" borderId="47"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54" fillId="61" borderId="48" applyNumberFormat="0" applyProtection="0">
      <alignment horizontal="left" vertical="center"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54"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54" fillId="83" borderId="48" applyNumberFormat="0" applyProtection="0">
      <alignment horizontal="left" vertical="center"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54"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54" fillId="32" borderId="48" applyNumberFormat="0" applyProtection="0">
      <alignment horizontal="left" vertical="center"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54"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54" fillId="30" borderId="48" applyNumberFormat="0" applyProtection="0">
      <alignment horizontal="left" vertical="center"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54" fillId="30" borderId="3" applyNumberFormat="0" applyProtection="0">
      <alignment horizontal="left" vertical="top" indent="1"/>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54" fillId="33" borderId="49" applyNumberFormat="0">
      <protection locked="0"/>
    </xf>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205"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4" fontId="20" fillId="40" borderId="51"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205"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4" fontId="20" fillId="40"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185" fontId="54" fillId="109" borderId="6"/>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06" fillId="107" borderId="3" applyNumberFormat="0" applyProtection="0">
      <alignment horizontal="right" vertical="center"/>
    </xf>
    <xf numFmtId="38" fontId="207" fillId="0" borderId="52">
      <alignment horizontal="center"/>
    </xf>
    <xf numFmtId="185" fontId="208" fillId="110" borderId="0"/>
    <xf numFmtId="185" fontId="79" fillId="0" borderId="0"/>
    <xf numFmtId="38" fontId="50" fillId="0" borderId="0" applyFont="0" applyFill="0" applyBorder="0" applyAlignment="0" applyProtection="0"/>
    <xf numFmtId="40" fontId="147" fillId="0" borderId="0" applyFont="0" applyFill="0" applyBorder="0" applyAlignment="0" applyProtection="0"/>
    <xf numFmtId="318" fontId="56" fillId="111" borderId="0" applyFont="0"/>
    <xf numFmtId="185" fontId="209" fillId="0" borderId="0"/>
    <xf numFmtId="0" fontId="10" fillId="0" borderId="0" applyNumberFormat="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 fontId="10" fillId="0" borderId="0"/>
    <xf numFmtId="185" fontId="50" fillId="0" borderId="0">
      <alignment textRotation="90"/>
    </xf>
    <xf numFmtId="0" fontId="99" fillId="81" borderId="0" applyAlignment="0" applyProtection="0">
      <alignment horizontal="right" vertical="center"/>
    </xf>
    <xf numFmtId="195" fontId="59" fillId="0" borderId="0">
      <alignment vertical="center"/>
    </xf>
    <xf numFmtId="0" fontId="10" fillId="112" borderId="0"/>
    <xf numFmtId="339" fontId="19" fillId="0" borderId="0" applyFill="0" applyBorder="0" applyAlignment="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5" fontId="10" fillId="0" borderId="0" applyFont="0" applyFill="0" applyBorder="0" applyAlignment="0" applyProtection="0"/>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38" fontId="10" fillId="0" borderId="0" applyFont="0" applyFill="0" applyBorder="0" applyAlignment="0" applyProtection="0"/>
    <xf numFmtId="185" fontId="10" fillId="0" borderId="0">
      <alignment vertical="top"/>
    </xf>
    <xf numFmtId="185" fontId="211" fillId="50" borderId="0" applyNumberFormat="0" applyProtection="0">
      <alignment horizontal="center" vertical="center"/>
    </xf>
    <xf numFmtId="4" fontId="19" fillId="50" borderId="0" applyProtection="0">
      <alignment horizontal="center" vertical="center"/>
    </xf>
    <xf numFmtId="185" fontId="212" fillId="50" borderId="0" applyNumberFormat="0" applyProtection="0">
      <alignment horizontal="center" vertical="center"/>
    </xf>
    <xf numFmtId="4" fontId="21" fillId="50" borderId="0" applyProtection="0">
      <alignment horizontal="center" vertical="center"/>
    </xf>
    <xf numFmtId="185" fontId="213" fillId="113" borderId="0" applyNumberFormat="0" applyProtection="0">
      <alignment horizontal="center" vertical="center"/>
    </xf>
    <xf numFmtId="4" fontId="23" fillId="113" borderId="0" applyProtection="0">
      <alignment horizontal="center" vertical="center"/>
    </xf>
    <xf numFmtId="185" fontId="210" fillId="50" borderId="0" applyNumberFormat="0" applyProtection="0">
      <alignment horizontal="center" vertical="center"/>
    </xf>
    <xf numFmtId="4" fontId="214" fillId="50" borderId="0" applyProtection="0">
      <alignment horizontal="center" vertical="center"/>
    </xf>
    <xf numFmtId="185" fontId="215" fillId="114" borderId="0" applyNumberFormat="0" applyProtection="0">
      <alignment horizontal="center" vertical="center"/>
    </xf>
    <xf numFmtId="4" fontId="62" fillId="114" borderId="0" applyProtection="0">
      <alignment horizontal="center" vertical="center"/>
    </xf>
    <xf numFmtId="185" fontId="17" fillId="50" borderId="0" applyNumberFormat="0" applyProtection="0">
      <alignment horizontal="center" vertical="center" wrapText="1"/>
    </xf>
    <xf numFmtId="185" fontId="18" fillId="50" borderId="0" applyNumberFormat="0" applyProtection="0">
      <alignment horizontal="center" vertical="center" wrapText="1"/>
    </xf>
    <xf numFmtId="185" fontId="142" fillId="113" borderId="0" applyNumberFormat="0" applyProtection="0">
      <alignment horizontal="center" vertical="center" wrapText="1"/>
    </xf>
    <xf numFmtId="185" fontId="216" fillId="50" borderId="0" applyNumberFormat="0" applyProtection="0">
      <alignment horizontal="center" vertical="center" wrapText="1"/>
    </xf>
    <xf numFmtId="185" fontId="17" fillId="50" borderId="0" applyNumberFormat="0" applyProtection="0">
      <alignment horizontal="center" vertical="center" wrapText="1"/>
    </xf>
    <xf numFmtId="4" fontId="217" fillId="50" borderId="0" applyProtection="0">
      <alignment horizontal="center" vertical="top" wrapText="1"/>
    </xf>
    <xf numFmtId="185" fontId="18" fillId="50" borderId="0" applyNumberFormat="0" applyProtection="0">
      <alignment horizontal="center" vertical="center" wrapText="1"/>
    </xf>
    <xf numFmtId="4" fontId="218" fillId="50" borderId="0" applyProtection="0">
      <alignment horizontal="center" vertical="top" wrapText="1"/>
    </xf>
    <xf numFmtId="185" fontId="142" fillId="113" borderId="0" applyNumberFormat="0" applyProtection="0">
      <alignment horizontal="center" vertical="center" wrapText="1"/>
    </xf>
    <xf numFmtId="4" fontId="219" fillId="113" borderId="0" applyProtection="0">
      <alignment horizontal="center" vertical="top" wrapText="1"/>
    </xf>
    <xf numFmtId="185" fontId="216" fillId="50" borderId="0" applyNumberFormat="0" applyProtection="0">
      <alignment horizontal="center" vertical="center" wrapText="1"/>
    </xf>
    <xf numFmtId="4" fontId="220" fillId="50" borderId="0" applyProtection="0">
      <alignment horizontal="center" vertical="top" wrapText="1"/>
    </xf>
    <xf numFmtId="185" fontId="188" fillId="114" borderId="0" applyNumberFormat="0" applyProtection="0">
      <alignment horizontal="center" vertical="center" wrapText="1"/>
    </xf>
    <xf numFmtId="4" fontId="221" fillId="114" borderId="0" applyProtection="0">
      <alignment horizontal="center" vertical="top" wrapText="1"/>
    </xf>
    <xf numFmtId="185" fontId="17" fillId="104" borderId="0" applyNumberFormat="0" applyProtection="0">
      <alignment horizontal="center" vertical="center" wrapText="1"/>
    </xf>
    <xf numFmtId="4" fontId="217" fillId="104" borderId="0" applyProtection="0">
      <alignment horizontal="center" vertical="top" wrapText="1"/>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85" fontId="222" fillId="0" borderId="0"/>
    <xf numFmtId="185" fontId="223" fillId="40" borderId="0"/>
    <xf numFmtId="185" fontId="224" fillId="0" borderId="0">
      <alignment horizontal="left" vertical="center"/>
    </xf>
    <xf numFmtId="256" fontId="79" fillId="0" borderId="0"/>
    <xf numFmtId="185" fontId="108" fillId="0" borderId="0"/>
    <xf numFmtId="185" fontId="79" fillId="0" borderId="0">
      <alignment horizontal="center"/>
    </xf>
    <xf numFmtId="37" fontId="65" fillId="0" borderId="53" applyNumberFormat="0"/>
    <xf numFmtId="40" fontId="10" fillId="0" borderId="0" applyBorder="0">
      <alignment horizontal="right"/>
    </xf>
    <xf numFmtId="37" fontId="65" fillId="0" borderId="53" applyNumberFormat="0"/>
    <xf numFmtId="40" fontId="225" fillId="0" borderId="0" applyBorder="0">
      <alignment horizontal="right"/>
    </xf>
    <xf numFmtId="0" fontId="226" fillId="0" borderId="5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17" fillId="46" borderId="6">
      <protection locked="0"/>
    </xf>
    <xf numFmtId="0" fontId="217" fillId="46" borderId="6">
      <protection locked="0"/>
    </xf>
    <xf numFmtId="185" fontId="227" fillId="0" borderId="0" applyBorder="0" applyProtection="0">
      <alignment vertical="center"/>
    </xf>
    <xf numFmtId="185" fontId="227" fillId="0" borderId="9" applyBorder="0" applyProtection="0">
      <alignment horizontal="right" vertical="center"/>
    </xf>
    <xf numFmtId="185" fontId="228" fillId="115" borderId="0" applyBorder="0" applyProtection="0">
      <alignment horizontal="centerContinuous" vertical="center"/>
    </xf>
    <xf numFmtId="185" fontId="228" fillId="114" borderId="9" applyBorder="0" applyProtection="0">
      <alignment horizontal="centerContinuous" vertical="center"/>
    </xf>
    <xf numFmtId="185" fontId="229" fillId="0" borderId="0"/>
    <xf numFmtId="185" fontId="170" fillId="0" borderId="0"/>
    <xf numFmtId="185" fontId="230" fillId="0" borderId="0" applyFill="0" applyBorder="0" applyProtection="0">
      <alignment horizontal="left"/>
    </xf>
    <xf numFmtId="185" fontId="115" fillId="0" borderId="10" applyFill="0" applyBorder="0" applyProtection="0">
      <alignment horizontal="left" vertical="top"/>
    </xf>
    <xf numFmtId="185" fontId="231" fillId="0" borderId="0">
      <alignment horizontal="centerContinuous"/>
    </xf>
    <xf numFmtId="49" fontId="232" fillId="0" borderId="0"/>
    <xf numFmtId="49" fontId="42" fillId="0" borderId="0" applyFont="0" applyFill="0" applyBorder="0" applyAlignment="0" applyProtection="0"/>
    <xf numFmtId="185" fontId="233" fillId="0" borderId="0"/>
    <xf numFmtId="49" fontId="42" fillId="0" borderId="0" applyFont="0" applyFill="0" applyBorder="0" applyAlignment="0" applyProtection="0"/>
    <xf numFmtId="185" fontId="234" fillId="0" borderId="0"/>
    <xf numFmtId="0" fontId="94" fillId="83" borderId="0" applyAlignment="0" applyProtection="0"/>
    <xf numFmtId="0" fontId="54" fillId="83" borderId="0" applyAlignment="0" applyProtection="0">
      <alignment horizontal="left"/>
    </xf>
    <xf numFmtId="0" fontId="54" fillId="83" borderId="0" applyAlignment="0" applyProtection="0">
      <alignment horizontal="left" indent="1"/>
    </xf>
    <xf numFmtId="0" fontId="54" fillId="83" borderId="0" applyAlignment="0" applyProtection="0">
      <alignment horizontal="left" vertical="center" indent="2"/>
    </xf>
    <xf numFmtId="340" fontId="79" fillId="0" borderId="0" applyFont="0" applyFill="0" applyBorder="0" applyAlignment="0" applyProtection="0"/>
    <xf numFmtId="0" fontId="235" fillId="0" borderId="0">
      <alignment horizontal="center"/>
    </xf>
    <xf numFmtId="15" fontId="235" fillId="0" borderId="0">
      <alignment horizontal="center"/>
    </xf>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36"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36" fillId="0" borderId="0" applyNumberFormat="0" applyFill="0" applyBorder="0" applyAlignment="0" applyProtection="0"/>
    <xf numFmtId="0" fontId="10" fillId="0" borderId="0" applyNumberFormat="0" applyFont="0" applyFill="0" applyBorder="0" applyAlignment="0" applyProtection="0"/>
    <xf numFmtId="185" fontId="237" fillId="36" borderId="0">
      <alignment horizontal="right"/>
    </xf>
    <xf numFmtId="178" fontId="183" fillId="0" borderId="0"/>
    <xf numFmtId="185" fontId="238" fillId="0" borderId="0"/>
    <xf numFmtId="341" fontId="239" fillId="0" borderId="0"/>
    <xf numFmtId="197" fontId="10" fillId="0" borderId="53" applyNumberFormat="0" applyFont="0" applyFill="0" applyAlignment="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40" fillId="0" borderId="56" applyNumberFormat="0" applyFill="0" applyAlignment="0" applyProtection="0"/>
    <xf numFmtId="194" fontId="240" fillId="0" borderId="56" applyNumberFormat="0" applyFill="0" applyAlignment="0" applyProtection="0"/>
    <xf numFmtId="0" fontId="10" fillId="0" borderId="0" applyNumberFormat="0" applyFont="0" applyFill="0" applyBorder="0" applyAlignment="0" applyProtection="0"/>
    <xf numFmtId="37" fontId="65" fillId="0" borderId="57" applyNumberFormat="0" applyFill="0"/>
    <xf numFmtId="316" fontId="93" fillId="0" borderId="58" applyAlignment="0"/>
    <xf numFmtId="317" fontId="93" fillId="0" borderId="58" applyAlignment="0"/>
    <xf numFmtId="178" fontId="52" fillId="0" borderId="58"/>
    <xf numFmtId="342" fontId="55" fillId="0" borderId="0" applyFont="0" applyFill="0" applyBorder="0" applyAlignment="0" applyProtection="0">
      <alignment horizontal="right"/>
    </xf>
    <xf numFmtId="185" fontId="241" fillId="0" borderId="0">
      <alignment horizontal="fill"/>
    </xf>
    <xf numFmtId="37" fontId="54" fillId="45" borderId="0" applyNumberFormat="0" applyBorder="0" applyAlignment="0" applyProtection="0"/>
    <xf numFmtId="37" fontId="54" fillId="0" borderId="0"/>
    <xf numFmtId="37" fontId="54" fillId="46" borderId="0" applyNumberFormat="0" applyBorder="0" applyAlignment="0" applyProtection="0"/>
    <xf numFmtId="3" fontId="133" fillId="0" borderId="33" applyProtection="0"/>
    <xf numFmtId="4" fontId="52" fillId="0" borderId="0">
      <protection locked="0"/>
    </xf>
    <xf numFmtId="343" fontId="193" fillId="46" borderId="10" applyBorder="0">
      <alignment horizontal="right" vertical="center"/>
      <protection locked="0"/>
    </xf>
    <xf numFmtId="185" fontId="10" fillId="0" borderId="0">
      <alignment vertical="top"/>
    </xf>
    <xf numFmtId="185" fontId="242" fillId="0" borderId="0" applyFont="0" applyFill="0" applyBorder="0" applyAlignment="0" applyProtection="0"/>
    <xf numFmtId="249" fontId="118" fillId="0" borderId="0" applyFont="0" applyFill="0" applyBorder="0" applyAlignment="0" applyProtection="0"/>
    <xf numFmtId="344" fontId="118" fillId="0" borderId="0" applyFont="0" applyFill="0" applyBorder="0" applyAlignment="0" applyProtection="0"/>
    <xf numFmtId="345" fontId="118" fillId="0" borderId="0" applyFont="0" applyFill="0" applyBorder="0" applyAlignment="0" applyProtection="0"/>
    <xf numFmtId="208" fontId="54" fillId="0" borderId="0"/>
    <xf numFmtId="185" fontId="243" fillId="0" borderId="0"/>
    <xf numFmtId="346" fontId="10" fillId="0" borderId="0" applyFont="0" applyFill="0" applyBorder="0" applyAlignment="0" applyProtection="0"/>
    <xf numFmtId="257" fontId="10" fillId="0" borderId="0" applyFont="0" applyFill="0" applyBorder="0" applyAlignment="0" applyProtection="0"/>
    <xf numFmtId="0" fontId="24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44" fillId="0" borderId="0" applyNumberFormat="0" applyFill="0" applyBorder="0" applyAlignment="0" applyProtection="0"/>
    <xf numFmtId="0" fontId="10" fillId="34" borderId="0" applyNumberFormat="0" applyFont="0" applyBorder="0" applyAlignment="0" applyProtection="0"/>
    <xf numFmtId="0" fontId="10" fillId="0" borderId="0"/>
    <xf numFmtId="172" fontId="8" fillId="43" borderId="26">
      <alignment vertical="center"/>
    </xf>
    <xf numFmtId="0" fontId="11" fillId="0" borderId="0"/>
    <xf numFmtId="0" fontId="13" fillId="0" borderId="0"/>
    <xf numFmtId="172" fontId="8" fillId="3" borderId="26">
      <alignment vertical="center"/>
      <protection locked="0"/>
    </xf>
    <xf numFmtId="0" fontId="13" fillId="0" borderId="0"/>
    <xf numFmtId="0" fontId="29" fillId="0" borderId="0"/>
    <xf numFmtId="173" fontId="261" fillId="0" borderId="0" applyFill="0" applyBorder="0">
      <alignment vertical="center"/>
    </xf>
    <xf numFmtId="10" fontId="37" fillId="0" borderId="0" applyFont="0" applyFill="0" applyBorder="0" applyAlignment="0" applyProtection="0">
      <alignment vertical="center"/>
    </xf>
    <xf numFmtId="169" fontId="8" fillId="0" borderId="0" applyFont="0" applyFill="0" applyBorder="0" applyAlignment="0" applyProtection="0"/>
    <xf numFmtId="169" fontId="7" fillId="0" borderId="0" applyFont="0" applyFill="0" applyBorder="0" applyAlignment="0" applyProtection="0"/>
    <xf numFmtId="176" fontId="8" fillId="101" borderId="26">
      <alignment vertical="center"/>
    </xf>
    <xf numFmtId="10" fontId="37" fillId="0" borderId="0" applyFont="0" applyFill="0" applyBorder="0" applyAlignment="0" applyProtection="0">
      <alignment vertical="center"/>
    </xf>
    <xf numFmtId="349" fontId="10" fillId="0" borderId="0"/>
    <xf numFmtId="349" fontId="10" fillId="0" borderId="0"/>
    <xf numFmtId="349" fontId="13"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3" fillId="0" borderId="0"/>
    <xf numFmtId="349" fontId="10" fillId="0" borderId="0"/>
    <xf numFmtId="349" fontId="13" fillId="0" borderId="0"/>
    <xf numFmtId="349" fontId="10" fillId="0" borderId="0"/>
    <xf numFmtId="349" fontId="13"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lignment vertical="center"/>
    </xf>
    <xf numFmtId="349" fontId="13" fillId="0" borderId="0"/>
    <xf numFmtId="349" fontId="13" fillId="0" borderId="0"/>
    <xf numFmtId="349" fontId="13" fillId="0" borderId="0"/>
    <xf numFmtId="349" fontId="13" fillId="0" borderId="0"/>
    <xf numFmtId="349" fontId="10" fillId="0" borderId="0">
      <alignment vertical="center"/>
    </xf>
    <xf numFmtId="349" fontId="10" fillId="0" borderId="0">
      <alignment vertical="center"/>
    </xf>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3" fillId="0" borderId="0">
      <alignment vertical="justify"/>
    </xf>
    <xf numFmtId="349" fontId="19" fillId="30" borderId="0" applyNumberFormat="0" applyBorder="0" applyAlignment="0" applyProtection="0"/>
    <xf numFmtId="349" fontId="19" fillId="30"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7" borderId="0" applyNumberFormat="0" applyBorder="0" applyAlignment="0" applyProtection="0"/>
    <xf numFmtId="349" fontId="19" fillId="27" borderId="0" applyNumberFormat="0" applyBorder="0" applyAlignment="0" applyProtection="0"/>
    <xf numFmtId="349" fontId="19" fillId="118" borderId="0" applyNumberFormat="0" applyBorder="0" applyAlignment="0" applyProtection="0"/>
    <xf numFmtId="349" fontId="19" fillId="118" borderId="0" applyNumberFormat="0" applyBorder="0" applyAlignment="0" applyProtection="0"/>
    <xf numFmtId="349" fontId="19" fillId="30" borderId="0" applyNumberFormat="0" applyBorder="0" applyAlignment="0" applyProtection="0"/>
    <xf numFmtId="349" fontId="19" fillId="30"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19" fillId="61" borderId="0" applyNumberFormat="0" applyBorder="0" applyAlignment="0" applyProtection="0"/>
    <xf numFmtId="349" fontId="19" fillId="61"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6" borderId="0" applyNumberFormat="0" applyBorder="0" applyAlignment="0" applyProtection="0"/>
    <xf numFmtId="349" fontId="19" fillId="26" borderId="0" applyNumberFormat="0" applyBorder="0" applyAlignment="0" applyProtection="0"/>
    <xf numFmtId="349" fontId="19" fillId="119" borderId="0" applyNumberFormat="0" applyBorder="0" applyAlignment="0" applyProtection="0"/>
    <xf numFmtId="349" fontId="19" fillId="119" borderId="0" applyNumberFormat="0" applyBorder="0" applyAlignment="0" applyProtection="0"/>
    <xf numFmtId="349" fontId="19" fillId="31" borderId="0" applyNumberFormat="0" applyBorder="0" applyAlignment="0" applyProtection="0"/>
    <xf numFmtId="349" fontId="19" fillId="31"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19" borderId="0" applyNumberFormat="0" applyBorder="0" applyAlignment="0" applyProtection="0"/>
    <xf numFmtId="349" fontId="62" fillId="19" borderId="0" applyNumberFormat="0" applyBorder="0" applyAlignment="0" applyProtection="0"/>
    <xf numFmtId="349" fontId="62" fillId="26" borderId="0" applyNumberFormat="0" applyBorder="0" applyAlignment="0" applyProtection="0"/>
    <xf numFmtId="349" fontId="62" fillId="26" borderId="0" applyNumberFormat="0" applyBorder="0" applyAlignment="0" applyProtection="0"/>
    <xf numFmtId="349" fontId="62" fillId="119" borderId="0" applyNumberFormat="0" applyBorder="0" applyAlignment="0" applyProtection="0"/>
    <xf numFmtId="349" fontId="62" fillId="119"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23" borderId="0" applyNumberFormat="0" applyBorder="0" applyAlignment="0" applyProtection="0"/>
    <xf numFmtId="349" fontId="62" fillId="23" borderId="0" applyNumberFormat="0" applyBorder="0" applyAlignment="0" applyProtection="0"/>
    <xf numFmtId="349" fontId="14" fillId="65" borderId="0" applyNumberFormat="0" applyBorder="0" applyAlignment="0" applyProtection="0"/>
    <xf numFmtId="349" fontId="14" fillId="12" borderId="0" applyNumberFormat="0" applyBorder="0" applyAlignment="0" applyProtection="0"/>
    <xf numFmtId="349" fontId="15" fillId="121" borderId="0" applyNumberFormat="0" applyBorder="0" applyAlignment="0" applyProtection="0"/>
    <xf numFmtId="349" fontId="15" fillId="66" borderId="0" applyNumberFormat="0" applyBorder="0" applyAlignment="0" applyProtection="0"/>
    <xf numFmtId="349" fontId="15" fillId="66" borderId="0" applyNumberFormat="0" applyBorder="0" applyAlignment="0" applyProtection="0"/>
    <xf numFmtId="349" fontId="14" fillId="68" borderId="0" applyNumberFormat="0" applyBorder="0" applyAlignment="0" applyProtection="0"/>
    <xf numFmtId="349" fontId="14" fillId="11" borderId="0" applyNumberFormat="0" applyBorder="0" applyAlignment="0" applyProtection="0"/>
    <xf numFmtId="349" fontId="15" fillId="8" borderId="0" applyNumberFormat="0" applyBorder="0" applyAlignment="0" applyProtection="0"/>
    <xf numFmtId="349" fontId="15" fillId="69" borderId="0" applyNumberFormat="0" applyBorder="0" applyAlignment="0" applyProtection="0"/>
    <xf numFmtId="349" fontId="15" fillId="69" borderId="0" applyNumberFormat="0" applyBorder="0" applyAlignment="0" applyProtection="0"/>
    <xf numFmtId="349" fontId="14" fillId="70" borderId="0" applyNumberFormat="0" applyBorder="0" applyAlignment="0" applyProtection="0"/>
    <xf numFmtId="349" fontId="14" fillId="71" borderId="0" applyNumberFormat="0" applyBorder="0" applyAlignment="0" applyProtection="0"/>
    <xf numFmtId="349" fontId="15" fillId="122" borderId="0" applyNumberFormat="0" applyBorder="0" applyAlignment="0" applyProtection="0"/>
    <xf numFmtId="349" fontId="15" fillId="123" borderId="0" applyNumberFormat="0" applyBorder="0" applyAlignment="0" applyProtection="0"/>
    <xf numFmtId="349" fontId="15" fillId="123" borderId="0" applyNumberFormat="0" applyBorder="0" applyAlignment="0" applyProtection="0"/>
    <xf numFmtId="349" fontId="14" fillId="68" borderId="0" applyNumberFormat="0" applyBorder="0" applyAlignment="0" applyProtection="0"/>
    <xf numFmtId="349" fontId="14" fillId="9" borderId="0" applyNumberFormat="0" applyBorder="0" applyAlignment="0" applyProtection="0"/>
    <xf numFmtId="349" fontId="15" fillId="11" borderId="0" applyNumberFormat="0" applyBorder="0" applyAlignment="0" applyProtection="0"/>
    <xf numFmtId="349" fontId="15" fillId="124" borderId="0" applyNumberFormat="0" applyBorder="0" applyAlignment="0" applyProtection="0"/>
    <xf numFmtId="349" fontId="15" fillId="124" borderId="0" applyNumberFormat="0" applyBorder="0" applyAlignment="0" applyProtection="0"/>
    <xf numFmtId="349" fontId="14" fillId="10" borderId="0" applyNumberFormat="0" applyBorder="0" applyAlignment="0" applyProtection="0"/>
    <xf numFmtId="349" fontId="14" fillId="5"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4" fillId="13" borderId="0" applyNumberFormat="0" applyBorder="0" applyAlignment="0" applyProtection="0"/>
    <xf numFmtId="349" fontId="14" fillId="14" borderId="0" applyNumberFormat="0" applyBorder="0" applyAlignment="0" applyProtection="0"/>
    <xf numFmtId="349" fontId="15" fillId="125" borderId="0" applyNumberFormat="0" applyBorder="0" applyAlignment="0" applyProtection="0"/>
    <xf numFmtId="349" fontId="15" fillId="126" borderId="0" applyNumberFormat="0" applyBorder="0" applyAlignment="0" applyProtection="0"/>
    <xf numFmtId="349" fontId="15" fillId="126" borderId="0" applyNumberFormat="0" applyBorder="0" applyAlignment="0" applyProtection="0"/>
    <xf numFmtId="349" fontId="262" fillId="13" borderId="0" applyNumberFormat="0" applyBorder="0" applyAlignment="0" applyProtection="0"/>
    <xf numFmtId="349" fontId="262" fillId="13" borderId="0" applyNumberFormat="0" applyBorder="0" applyAlignment="0" applyProtection="0"/>
    <xf numFmtId="349" fontId="263" fillId="127" borderId="122" applyNumberFormat="0" applyAlignment="0" applyProtection="0"/>
    <xf numFmtId="349" fontId="263" fillId="127" borderId="122" applyNumberFormat="0" applyAlignment="0" applyProtection="0"/>
    <xf numFmtId="349" fontId="91" fillId="124" borderId="15" applyNumberFormat="0" applyAlignment="0" applyProtection="0"/>
    <xf numFmtId="349" fontId="91" fillId="124" borderId="15" applyNumberFormat="0" applyAlignment="0" applyProtection="0"/>
    <xf numFmtId="37" fontId="65" fillId="0" borderId="88">
      <alignment horizontal="center"/>
    </xf>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16" fillId="128" borderId="0" applyNumberFormat="0" applyBorder="0" applyAlignment="0" applyProtection="0"/>
    <xf numFmtId="349" fontId="16" fillId="129" borderId="0" applyNumberFormat="0" applyBorder="0" applyAlignment="0" applyProtection="0"/>
    <xf numFmtId="349" fontId="16" fillId="17" borderId="0" applyNumberFormat="0" applyBorder="0" applyAlignment="0" applyProtection="0"/>
    <xf numFmtId="349" fontId="50" fillId="0" borderId="0" applyFont="0" applyFill="0" applyBorder="0" applyAlignment="0" applyProtection="0"/>
    <xf numFmtId="349" fontId="264" fillId="0" borderId="0" applyNumberFormat="0" applyFill="0" applyBorder="0" applyAlignment="0" applyProtection="0"/>
    <xf numFmtId="349" fontId="264" fillId="0" borderId="0" applyNumberFormat="0" applyFill="0" applyBorder="0" applyAlignment="0" applyProtection="0"/>
    <xf numFmtId="349" fontId="14" fillId="71" borderId="0" applyNumberFormat="0" applyBorder="0" applyAlignment="0" applyProtection="0"/>
    <xf numFmtId="349" fontId="14" fillId="71" borderId="0" applyNumberForma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23" fillId="0" borderId="29" applyNumberFormat="0" applyFill="0" applyAlignment="0" applyProtection="0"/>
    <xf numFmtId="349" fontId="123" fillId="0" borderId="29" applyNumberFormat="0" applyFill="0" applyAlignment="0" applyProtection="0"/>
    <xf numFmtId="349" fontId="126" fillId="0" borderId="123" applyNumberFormat="0" applyFill="0" applyAlignment="0" applyProtection="0"/>
    <xf numFmtId="349" fontId="126" fillId="0" borderId="123" applyNumberFormat="0" applyFill="0" applyAlignment="0" applyProtection="0"/>
    <xf numFmtId="349" fontId="129" fillId="0" borderId="124" applyNumberFormat="0" applyFill="0" applyAlignment="0" applyProtection="0"/>
    <xf numFmtId="349" fontId="129" fillId="0" borderId="124" applyNumberFormat="0" applyFill="0" applyAlignment="0" applyProtection="0"/>
    <xf numFmtId="349" fontId="129" fillId="0" borderId="0" applyNumberFormat="0" applyFill="0" applyBorder="0" applyAlignment="0" applyProtection="0"/>
    <xf numFmtId="349" fontId="129" fillId="0" borderId="0" applyNumberFormat="0" applyFill="0" applyBorder="0" applyAlignment="0" applyProtection="0"/>
    <xf numFmtId="349" fontId="143" fillId="14" borderId="122" applyNumberFormat="0" applyAlignment="0" applyProtection="0"/>
    <xf numFmtId="349" fontId="143" fillId="14" borderId="122" applyNumberFormat="0" applyAlignment="0" applyProtection="0"/>
    <xf numFmtId="349" fontId="146" fillId="34" borderId="0"/>
    <xf numFmtId="349" fontId="119" fillId="0" borderId="125" applyNumberFormat="0" applyFill="0" applyAlignment="0" applyProtection="0"/>
    <xf numFmtId="349" fontId="119" fillId="0" borderId="125" applyNumberFormat="0" applyFill="0" applyAlignment="0" applyProtection="0"/>
    <xf numFmtId="349" fontId="119" fillId="14" borderId="0" applyNumberFormat="0" applyBorder="0" applyAlignment="0" applyProtection="0"/>
    <xf numFmtId="349" fontId="119" fillId="14" borderId="0" applyNumberFormat="0" applyBorder="0" applyAlignment="0" applyProtection="0"/>
    <xf numFmtId="349" fontId="25" fillId="0" borderId="0"/>
    <xf numFmtId="349" fontId="25" fillId="0" borderId="0"/>
    <xf numFmtId="349" fontId="25" fillId="0" borderId="0"/>
    <xf numFmtId="349" fontId="25" fillId="0" borderId="0"/>
    <xf numFmtId="349" fontId="25" fillId="0" borderId="0"/>
    <xf numFmtId="349" fontId="10" fillId="0" borderId="0"/>
    <xf numFmtId="349" fontId="10" fillId="0" borderId="0"/>
    <xf numFmtId="349" fontId="10" fillId="0" borderId="0"/>
    <xf numFmtId="349" fontId="10" fillId="0" borderId="0"/>
    <xf numFmtId="0" fontId="8"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xf numFmtId="349" fontId="14" fillId="0" borderId="0" applyFill="0" applyBorder="0" applyAlignment="0" applyProtection="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8"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29" fillId="0" borderId="0"/>
    <xf numFmtId="349" fontId="7" fillId="0" borderId="0"/>
    <xf numFmtId="349" fontId="10"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7" fillId="0" borderId="0"/>
    <xf numFmtId="349" fontId="7" fillId="0" borderId="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4" fillId="0" borderId="0" applyFill="0" applyBorder="0" applyAlignment="0" applyProtection="0"/>
    <xf numFmtId="349" fontId="25"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3" fillId="0" borderId="0">
      <alignment vertical="top"/>
    </xf>
    <xf numFmtId="349" fontId="107" fillId="0" borderId="0" applyFill="0" applyBorder="0">
      <protection locked="0"/>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330" fontId="25" fillId="90" borderId="26">
      <alignment vertical="center"/>
    </xf>
    <xf numFmtId="172" fontId="25" fillId="90" borderId="26">
      <alignment vertical="center"/>
    </xf>
    <xf numFmtId="172"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176" fontId="25" fillId="90" borderId="26">
      <alignment vertical="center"/>
    </xf>
    <xf numFmtId="176" fontId="25" fillId="90" borderId="26">
      <alignment vertical="center"/>
    </xf>
    <xf numFmtId="330" fontId="25" fillId="90" borderId="26">
      <alignment vertical="center"/>
    </xf>
    <xf numFmtId="349" fontId="198" fillId="0" borderId="0"/>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30"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9" borderId="26">
      <alignment horizontal="right" vertical="center"/>
      <protection locked="0"/>
    </xf>
    <xf numFmtId="349" fontId="25" fillId="39" borderId="26">
      <alignment horizontal="right" vertical="center"/>
      <protection locked="0"/>
    </xf>
    <xf numFmtId="330" fontId="25" fillId="39" borderId="26">
      <alignment horizontal="right" vertical="center"/>
      <protection locked="0"/>
    </xf>
    <xf numFmtId="330" fontId="25" fillId="39" borderId="26">
      <alignment horizontal="right" vertical="center"/>
      <protection locked="0"/>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3" borderId="49" applyNumberFormat="0">
      <protection locked="0"/>
    </xf>
    <xf numFmtId="349" fontId="10" fillId="33" borderId="26"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94" fillId="31" borderId="129" applyBorder="0"/>
    <xf numFmtId="4" fontId="267" fillId="34" borderId="127" applyNumberFormat="0" applyProtection="0">
      <alignment vertical="center"/>
    </xf>
    <xf numFmtId="4" fontId="265" fillId="36" borderId="26"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49" fontId="54" fillId="109" borderId="26"/>
    <xf numFmtId="4" fontId="269" fillId="33" borderId="122" applyNumberFormat="0" applyProtection="0">
      <alignment horizontal="right" vertical="center"/>
    </xf>
    <xf numFmtId="349" fontId="24" fillId="0" borderId="0" applyNumberFormat="0" applyFill="0" applyBorder="0" applyAlignment="0" applyProtection="0"/>
    <xf numFmtId="349" fontId="10" fillId="0" borderId="0" applyFont="0" applyFill="0" applyBorder="0" applyAlignment="0" applyProtection="0"/>
    <xf numFmtId="37" fontId="65" fillId="0" borderId="130" applyNumberFormat="0"/>
    <xf numFmtId="349" fontId="226" fillId="0" borderId="54" applyNumberFormat="0" applyAlignment="0" applyProtection="0"/>
    <xf numFmtId="349" fontId="24" fillId="0" borderId="0" applyNumberFormat="0" applyFill="0" applyBorder="0" applyAlignment="0" applyProtection="0"/>
    <xf numFmtId="349" fontId="24" fillId="0" borderId="0" applyNumberFormat="0" applyFill="0" applyBorder="0" applyAlignment="0" applyProtection="0"/>
    <xf numFmtId="214" fontId="65" fillId="0" borderId="28" applyFill="0"/>
    <xf numFmtId="349" fontId="16" fillId="0" borderId="131" applyNumberFormat="0" applyFill="0" applyAlignment="0" applyProtection="0"/>
    <xf numFmtId="349" fontId="16" fillId="0" borderId="131" applyNumberFormat="0" applyFill="0" applyAlignment="0" applyProtection="0"/>
    <xf numFmtId="349" fontId="270" fillId="0" borderId="0" applyNumberFormat="0" applyFill="0" applyBorder="0" applyAlignment="0" applyProtection="0"/>
    <xf numFmtId="349" fontId="270" fillId="0" borderId="0" applyNumberFormat="0" applyFill="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0" fontId="13" fillId="0" borderId="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2" fontId="8" fillId="101" borderId="26">
      <alignment vertical="center"/>
    </xf>
    <xf numFmtId="176" fontId="8" fillId="101" borderId="26">
      <alignment vertical="center"/>
    </xf>
    <xf numFmtId="330" fontId="8" fillId="101" borderId="26">
      <alignment vertical="center"/>
    </xf>
    <xf numFmtId="330" fontId="8" fillId="43" borderId="26">
      <alignment vertical="center"/>
    </xf>
    <xf numFmtId="330" fontId="8" fillId="44" borderId="26">
      <alignment horizontal="right" vertical="center"/>
      <protection locked="0"/>
    </xf>
    <xf numFmtId="0" fontId="13" fillId="0" borderId="0"/>
    <xf numFmtId="0" fontId="13" fillId="0" borderId="0"/>
    <xf numFmtId="0" fontId="13" fillId="0" borderId="0"/>
    <xf numFmtId="0" fontId="13" fillId="0" borderId="0"/>
    <xf numFmtId="0" fontId="13" fillId="0" borderId="0"/>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214" fontId="65" fillId="0" borderId="28" applyFill="0"/>
    <xf numFmtId="0" fontId="13" fillId="0" borderId="0"/>
    <xf numFmtId="0" fontId="13" fillId="0" borderId="0"/>
    <xf numFmtId="169" fontId="8" fillId="0" borderId="0" applyFont="0" applyFill="0" applyBorder="0" applyAlignment="0" applyProtection="0"/>
    <xf numFmtId="0" fontId="13"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4"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4"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214" fontId="65" fillId="0" borderId="28" applyFill="0"/>
    <xf numFmtId="349" fontId="29"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4"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4"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9" fillId="0" borderId="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2" applyNumberFormat="0" applyProtection="0">
      <alignment horizontal="left" vertical="center" indent="1"/>
    </xf>
    <xf numFmtId="214" fontId="65" fillId="0" borderId="28" applyFill="0"/>
    <xf numFmtId="349" fontId="263" fillId="127" borderId="122" applyNumberFormat="0" applyAlignment="0" applyProtection="0"/>
    <xf numFmtId="349" fontId="263" fillId="127" borderId="122" applyNumberForma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169" fontId="8" fillId="0" borderId="0" applyFont="0" applyFill="0" applyBorder="0" applyAlignment="0" applyProtection="0"/>
    <xf numFmtId="349" fontId="54" fillId="30" borderId="127" applyNumberFormat="0" applyProtection="0">
      <alignment horizontal="left" vertical="top" indent="1"/>
    </xf>
    <xf numFmtId="169" fontId="7" fillId="0" borderId="0" applyFont="0" applyFill="0" applyBorder="0" applyAlignment="0" applyProtection="0"/>
    <xf numFmtId="349" fontId="94" fillId="31" borderId="129" applyBorder="0"/>
    <xf numFmtId="4" fontId="54" fillId="24" borderId="122" applyNumberFormat="0" applyProtection="0">
      <alignment horizontal="right" vertical="center"/>
    </xf>
    <xf numFmtId="349" fontId="54" fillId="13" borderId="122" applyNumberFormat="0" applyFont="0" applyAlignment="0" applyProtection="0"/>
    <xf numFmtId="4" fontId="54" fillId="19" borderId="128" applyNumberFormat="0" applyProtection="0">
      <alignment horizontal="left" vertical="center" indent="1"/>
    </xf>
    <xf numFmtId="4" fontId="54" fillId="25" borderId="122" applyNumberFormat="0" applyProtection="0">
      <alignment horizontal="right" vertical="center"/>
    </xf>
    <xf numFmtId="349" fontId="54" fillId="61" borderId="122" applyNumberFormat="0" applyProtection="0">
      <alignment horizontal="left" vertical="center" indent="1"/>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34" borderId="127" applyNumberFormat="0" applyProtection="0">
      <alignment vertical="center"/>
    </xf>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214" fontId="65" fillId="0" borderId="28" applyFill="0"/>
    <xf numFmtId="349" fontId="54" fillId="83" borderId="122" applyNumberFormat="0" applyProtection="0">
      <alignment horizontal="left" vertical="center" indent="1"/>
    </xf>
    <xf numFmtId="4" fontId="54" fillId="23" borderId="122" applyNumberFormat="0" applyProtection="0">
      <alignment horizontal="right" vertical="center"/>
    </xf>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169" fontId="14" fillId="0" borderId="0" applyFont="0" applyFill="0" applyBorder="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1" borderId="127" applyNumberFormat="0" applyProtection="0">
      <alignment horizontal="left" vertical="top" indent="1"/>
    </xf>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4" fontId="54" fillId="26" borderId="122" applyNumberFormat="0" applyProtection="0">
      <alignment horizontal="right" vertical="center"/>
    </xf>
    <xf numFmtId="214" fontId="65" fillId="0" borderId="28" applyFill="0"/>
    <xf numFmtId="349" fontId="54" fillId="83" borderId="122" applyNumberFormat="0" applyProtection="0">
      <alignment horizontal="left" vertical="center" indent="1"/>
    </xf>
    <xf numFmtId="4" fontId="54" fillId="24" borderId="122" applyNumberFormat="0" applyProtection="0">
      <alignment horizontal="right" vertical="center"/>
    </xf>
    <xf numFmtId="4" fontId="54" fillId="2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54" fillId="61" borderId="122" applyNumberFormat="0" applyProtection="0">
      <alignment horizontal="left" vertical="center" indent="1"/>
    </xf>
    <xf numFmtId="4" fontId="54" fillId="19" borderId="122" applyNumberFormat="0" applyProtection="0">
      <alignment horizontal="right" vertical="center"/>
    </xf>
    <xf numFmtId="4" fontId="54" fillId="28" borderId="122" applyNumberFormat="0" applyProtection="0">
      <alignment horizontal="right" vertical="center"/>
    </xf>
    <xf numFmtId="4" fontId="54" fillId="27"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61" borderId="127" applyNumberFormat="0" applyProtection="0">
      <alignment horizontal="left" vertical="center" indent="1"/>
    </xf>
    <xf numFmtId="214" fontId="65" fillId="0" borderId="28" applyFill="0"/>
    <xf numFmtId="349" fontId="54" fillId="30" borderId="127" applyNumberFormat="0" applyProtection="0">
      <alignment horizontal="left" vertical="top" indent="1"/>
    </xf>
    <xf numFmtId="349" fontId="267"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7" borderId="122" applyNumberFormat="0" applyProtection="0">
      <alignment horizontal="right" vertical="center"/>
    </xf>
    <xf numFmtId="349" fontId="54" fillId="19" borderId="127" applyNumberFormat="0" applyProtection="0">
      <alignment horizontal="left" vertical="top" indent="1"/>
    </xf>
    <xf numFmtId="169" fontId="13" fillId="0" borderId="0" applyFont="0" applyFill="0" applyBorder="0" applyAlignment="0" applyProtection="0"/>
    <xf numFmtId="349" fontId="54" fillId="19"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54" fillId="32" borderId="127" applyNumberFormat="0" applyProtection="0">
      <alignment horizontal="left" vertical="top" indent="1"/>
    </xf>
    <xf numFmtId="349" fontId="16" fillId="0" borderId="131" applyNumberFormat="0" applyFill="0" applyAlignment="0" applyProtection="0"/>
    <xf numFmtId="349" fontId="16" fillId="0" borderId="131" applyNumberFormat="0" applyFill="0" applyAlignment="0" applyProtection="0"/>
    <xf numFmtId="4" fontId="54" fillId="28" borderId="122" applyNumberFormat="0" applyProtection="0">
      <alignment horizontal="right" vertical="center"/>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266" fillId="18" borderId="127" applyNumberFormat="0" applyProtection="0">
      <alignment horizontal="left" vertical="top" indent="1"/>
    </xf>
    <xf numFmtId="349" fontId="54" fillId="13" borderId="122" applyNumberFormat="0" applyFont="0" applyAlignment="0" applyProtection="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4" fontId="54" fillId="25"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7" borderId="122" applyNumberFormat="0" applyProtection="0">
      <alignment horizontal="right" vertical="center"/>
    </xf>
    <xf numFmtId="4" fontId="54" fillId="25" borderId="122" applyNumberFormat="0" applyProtection="0">
      <alignment horizontal="right" vertical="center"/>
    </xf>
    <xf numFmtId="349" fontId="185" fillId="127" borderId="126" applyNumberFormat="0" applyAlignment="0" applyProtection="0"/>
    <xf numFmtId="349" fontId="54" fillId="61" borderId="122" applyNumberFormat="0" applyProtection="0">
      <alignment horizontal="left" vertical="center" indent="1"/>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18" borderId="122" applyNumberFormat="0" applyProtection="0">
      <alignment vertical="center"/>
    </xf>
    <xf numFmtId="4" fontId="54" fillId="24" borderId="122" applyNumberFormat="0" applyProtection="0">
      <alignment horizontal="right" vertical="center"/>
    </xf>
    <xf numFmtId="4" fontId="265" fillId="45" borderId="122" applyNumberFormat="0" applyProtection="0">
      <alignment vertical="center"/>
    </xf>
    <xf numFmtId="169" fontId="13" fillId="0" borderId="0" applyFont="0" applyFill="0" applyBorder="0" applyAlignment="0" applyProtection="0"/>
    <xf numFmtId="349" fontId="143" fillId="14" borderId="122" applyNumberFormat="0" applyAlignment="0" applyProtection="0"/>
    <xf numFmtId="349" fontId="54" fillId="61"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4" fontId="265" fillId="45" borderId="122" applyNumberFormat="0" applyProtection="0">
      <alignment vertical="center"/>
    </xf>
    <xf numFmtId="169" fontId="13" fillId="0" borderId="0" applyFont="0" applyFill="0" applyBorder="0" applyAlignment="0" applyProtection="0"/>
    <xf numFmtId="4" fontId="54" fillId="19" borderId="122" applyNumberFormat="0" applyProtection="0">
      <alignment horizontal="right" vertical="center"/>
    </xf>
    <xf numFmtId="4" fontId="54" fillId="18" borderId="122" applyNumberFormat="0" applyProtection="0">
      <alignment vertical="center"/>
    </xf>
    <xf numFmtId="4" fontId="54" fillId="18" borderId="122" applyNumberFormat="0" applyProtection="0">
      <alignment vertical="center"/>
    </xf>
    <xf numFmtId="4" fontId="54" fillId="19" borderId="122" applyNumberFormat="0" applyProtection="0">
      <alignment horizontal="right" vertical="center"/>
    </xf>
    <xf numFmtId="4" fontId="54" fillId="23"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349" fontId="54" fillId="32" borderId="122" applyNumberFormat="0" applyProtection="0">
      <alignment horizontal="left" vertical="center" indent="1"/>
    </xf>
    <xf numFmtId="349" fontId="54" fillId="13" borderId="122" applyNumberFormat="0" applyFont="0" applyAlignment="0" applyProtection="0"/>
    <xf numFmtId="349" fontId="94" fillId="31" borderId="129" applyBorder="0"/>
    <xf numFmtId="349" fontId="16" fillId="0" borderId="131" applyNumberFormat="0" applyFill="0" applyAlignment="0" applyProtection="0"/>
    <xf numFmtId="169" fontId="13" fillId="0" borderId="0" applyFont="0" applyFill="0" applyBorder="0" applyAlignment="0" applyProtection="0"/>
    <xf numFmtId="349" fontId="263" fillId="127" borderId="122" applyNumberFormat="0" applyAlignment="0" applyProtection="0"/>
    <xf numFmtId="4" fontId="54" fillId="24" borderId="122" applyNumberFormat="0" applyProtection="0">
      <alignment horizontal="right" vertical="center"/>
    </xf>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267" fillId="19"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4" fontId="265" fillId="45" borderId="122" applyNumberFormat="0" applyProtection="0">
      <alignment vertical="center"/>
    </xf>
    <xf numFmtId="349" fontId="54" fillId="83" borderId="122" applyNumberFormat="0" applyProtection="0">
      <alignment horizontal="left" vertical="center" indent="1"/>
    </xf>
    <xf numFmtId="37" fontId="65" fillId="0" borderId="130" applyNumberFormat="0"/>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130" borderId="122" applyNumberFormat="0" applyProtection="0">
      <alignment horizontal="right" vertical="center"/>
    </xf>
    <xf numFmtId="4" fontId="54" fillId="64" borderId="122" applyNumberFormat="0" applyProtection="0">
      <alignment horizontal="left" vertical="center" indent="1"/>
    </xf>
    <xf numFmtId="4" fontId="265" fillId="45" borderId="122" applyNumberFormat="0" applyProtection="0">
      <alignment vertical="center"/>
    </xf>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169" fontId="13" fillId="0" borderId="0" applyFont="0" applyFill="0" applyBorder="0" applyAlignment="0" applyProtection="0"/>
    <xf numFmtId="4" fontId="54" fillId="64" borderId="122" applyNumberFormat="0" applyProtection="0">
      <alignment horizontal="left" vertical="center" indent="1"/>
    </xf>
    <xf numFmtId="4" fontId="267" fillId="61" borderId="127" applyNumberFormat="0" applyProtection="0">
      <alignment horizontal="left" vertical="center" indent="1"/>
    </xf>
    <xf numFmtId="4" fontId="54" fillId="26" borderId="122" applyNumberFormat="0" applyProtection="0">
      <alignment horizontal="right" vertical="center"/>
    </xf>
    <xf numFmtId="4" fontId="54" fillId="24" borderId="122" applyNumberFormat="0" applyProtection="0">
      <alignment horizontal="right" vertical="center"/>
    </xf>
    <xf numFmtId="349" fontId="263" fillId="127" borderId="122" applyNumberFormat="0" applyAlignment="0" applyProtection="0"/>
    <xf numFmtId="169" fontId="13" fillId="0" borderId="0" applyFont="0" applyFill="0" applyBorder="0" applyAlignment="0" applyProtection="0"/>
    <xf numFmtId="169" fontId="13" fillId="0" borderId="0" applyFont="0" applyFill="0" applyBorder="0" applyAlignment="0" applyProtection="0"/>
    <xf numFmtId="349" fontId="54" fillId="30" borderId="127" applyNumberFormat="0" applyProtection="0">
      <alignment horizontal="left" vertical="top" indent="1"/>
    </xf>
    <xf numFmtId="4" fontId="265" fillId="45" borderId="122" applyNumberFormat="0" applyProtection="0">
      <alignment vertical="center"/>
    </xf>
    <xf numFmtId="4" fontId="54" fillId="20" borderId="122" applyNumberFormat="0" applyProtection="0">
      <alignment horizontal="right" vertical="center"/>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7" borderId="122" applyNumberFormat="0" applyProtection="0">
      <alignment horizontal="right" vertical="center"/>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2" applyNumberFormat="0" applyProtection="0">
      <alignment horizontal="left" vertical="center"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85" fillId="127" borderId="126" applyNumberFormat="0" applyAlignment="0" applyProtection="0"/>
    <xf numFmtId="4" fontId="54" fillId="19" borderId="122" applyNumberFormat="0" applyProtection="0">
      <alignment horizontal="right" vertical="center"/>
    </xf>
    <xf numFmtId="169" fontId="8" fillId="0" borderId="0" applyFont="0" applyFill="0" applyBorder="0" applyAlignment="0" applyProtection="0"/>
    <xf numFmtId="4" fontId="54" fillId="23" borderId="122" applyNumberFormat="0" applyProtection="0">
      <alignment horizontal="right" vertical="center"/>
    </xf>
    <xf numFmtId="349" fontId="10" fillId="19" borderId="127" applyNumberFormat="0" applyProtection="0">
      <alignment horizontal="left" vertical="top" indent="1"/>
    </xf>
    <xf numFmtId="349" fontId="143" fillId="14" borderId="122" applyNumberFormat="0" applyAlignment="0" applyProtection="0"/>
    <xf numFmtId="349" fontId="16" fillId="0" borderId="131" applyNumberFormat="0" applyFill="0" applyAlignment="0" applyProtection="0"/>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45" borderId="122" applyNumberFormat="0" applyProtection="0">
      <alignment horizontal="left" vertical="center"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185" fillId="127" borderId="126" applyNumberFormat="0" applyAlignment="0" applyProtection="0"/>
    <xf numFmtId="4" fontId="267" fillId="34" borderId="127" applyNumberFormat="0" applyProtection="0">
      <alignment vertical="center"/>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349" fontId="54" fillId="30" borderId="122" applyNumberFormat="0" applyProtection="0">
      <alignment horizontal="left" vertical="center" indent="1"/>
    </xf>
    <xf numFmtId="4" fontId="54" fillId="20" borderId="122" applyNumberFormat="0" applyProtection="0">
      <alignment horizontal="right" vertical="center"/>
    </xf>
    <xf numFmtId="4" fontId="54" fillId="0" borderId="122" applyNumberFormat="0" applyProtection="0">
      <alignment horizontal="right" vertical="center"/>
    </xf>
    <xf numFmtId="214" fontId="65" fillId="0" borderId="28" applyFill="0"/>
    <xf numFmtId="349" fontId="54" fillId="13" borderId="122" applyNumberFormat="0" applyFont="0" applyAlignment="0" applyProtection="0"/>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3" borderId="122" applyNumberFormat="0" applyFont="0" applyAlignment="0" applyProtection="0"/>
    <xf numFmtId="4" fontId="54" fillId="24" borderId="122" applyNumberFormat="0" applyProtection="0">
      <alignment horizontal="right" vertical="center"/>
    </xf>
    <xf numFmtId="349" fontId="54" fillId="32" borderId="127" applyNumberFormat="0" applyProtection="0">
      <alignment horizontal="left" vertical="top"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263" fillId="127" borderId="122" applyNumberFormat="0" applyAlignment="0" applyProtection="0"/>
    <xf numFmtId="4" fontId="267" fillId="61" borderId="127" applyNumberFormat="0" applyProtection="0">
      <alignment horizontal="left" vertical="center" indent="1"/>
    </xf>
    <xf numFmtId="349" fontId="16" fillId="0" borderId="131" applyNumberFormat="0" applyFill="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263" fillId="127" borderId="122" applyNumberFormat="0" applyAlignment="0" applyProtection="0"/>
    <xf numFmtId="4" fontId="269" fillId="33" borderId="122" applyNumberFormat="0" applyProtection="0">
      <alignment horizontal="right" vertical="center"/>
    </xf>
    <xf numFmtId="349" fontId="94" fillId="31" borderId="129" applyBorder="0"/>
    <xf numFmtId="349" fontId="54" fillId="13" borderId="122" applyNumberFormat="0" applyFont="0" applyAlignment="0" applyProtection="0"/>
    <xf numFmtId="4" fontId="54" fillId="64" borderId="122" applyNumberFormat="0" applyProtection="0">
      <alignment horizontal="left" vertical="center"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3" borderId="122" applyNumberFormat="0" applyFont="0" applyAlignment="0" applyProtection="0"/>
    <xf numFmtId="349" fontId="185" fillId="127" borderId="126" applyNumberFormat="0" applyAlignment="0" applyProtection="0"/>
    <xf numFmtId="4" fontId="54" fillId="20" borderId="122" applyNumberFormat="0" applyProtection="0">
      <alignment horizontal="right" vertical="center"/>
    </xf>
    <xf numFmtId="349" fontId="54" fillId="31" borderId="127" applyNumberFormat="0" applyProtection="0">
      <alignment horizontal="left" vertical="top" indent="1"/>
    </xf>
    <xf numFmtId="349" fontId="94" fillId="31" borderId="129" applyBorder="0"/>
    <xf numFmtId="4" fontId="54" fillId="28"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54" fillId="26" borderId="122" applyNumberFormat="0" applyProtection="0">
      <alignment horizontal="right" vertical="center"/>
    </xf>
    <xf numFmtId="349" fontId="54" fillId="32" borderId="127" applyNumberFormat="0" applyProtection="0">
      <alignment horizontal="left" vertical="top" indent="1"/>
    </xf>
    <xf numFmtId="349" fontId="10" fillId="32" borderId="127" applyNumberFormat="0" applyProtection="0">
      <alignment horizontal="left" vertical="center" indent="1"/>
    </xf>
    <xf numFmtId="4" fontId="54" fillId="0" borderId="122" applyNumberFormat="0" applyProtection="0">
      <alignment horizontal="right" vertical="center"/>
    </xf>
    <xf numFmtId="349" fontId="54" fillId="19" borderId="127" applyNumberFormat="0" applyProtection="0">
      <alignment horizontal="left" vertical="top" indent="1"/>
    </xf>
    <xf numFmtId="349" fontId="263" fillId="127" borderId="122" applyNumberFormat="0" applyAlignment="0" applyProtection="0"/>
    <xf numFmtId="349" fontId="143" fillId="14" borderId="122" applyNumberFormat="0" applyAlignment="0" applyProtection="0"/>
    <xf numFmtId="4" fontId="54" fillId="45" borderId="122" applyNumberFormat="0" applyProtection="0">
      <alignment horizontal="left" vertical="center" indent="1"/>
    </xf>
    <xf numFmtId="4" fontId="267" fillId="61" borderId="127" applyNumberFormat="0" applyProtection="0">
      <alignment horizontal="left" vertical="center" indent="1"/>
    </xf>
    <xf numFmtId="4" fontId="54" fillId="28" borderId="122" applyNumberFormat="0" applyProtection="0">
      <alignment horizontal="right" vertical="center"/>
    </xf>
    <xf numFmtId="4" fontId="265" fillId="5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9" fillId="33"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0" borderId="122" applyNumberFormat="0" applyProtection="0">
      <alignment horizontal="right" vertical="center"/>
    </xf>
    <xf numFmtId="169" fontId="13" fillId="0" borderId="0" applyFont="0" applyFill="0" applyBorder="0" applyAlignment="0" applyProtection="0"/>
    <xf numFmtId="349" fontId="54" fillId="13" borderId="122" applyNumberFormat="0" applyFont="0" applyAlignment="0" applyProtection="0"/>
    <xf numFmtId="349" fontId="263" fillId="127" borderId="122" applyNumberFormat="0" applyAlignment="0" applyProtection="0"/>
    <xf numFmtId="349" fontId="267" fillId="34" borderId="127" applyNumberFormat="0" applyProtection="0">
      <alignment horizontal="left" vertical="top" indent="1"/>
    </xf>
    <xf numFmtId="349" fontId="10" fillId="30" borderId="127" applyNumberFormat="0" applyProtection="0">
      <alignment horizontal="left" vertical="center" indent="1"/>
    </xf>
    <xf numFmtId="4" fontId="269" fillId="33" borderId="122" applyNumberFormat="0" applyProtection="0">
      <alignment horizontal="right" vertical="center"/>
    </xf>
    <xf numFmtId="349" fontId="54" fillId="30" borderId="122" applyNumberFormat="0" applyProtection="0">
      <alignment horizontal="left" vertical="center" indent="1"/>
    </xf>
    <xf numFmtId="349" fontId="54" fillId="83" borderId="122" applyNumberFormat="0" applyProtection="0">
      <alignment horizontal="left" vertical="center" indent="1"/>
    </xf>
    <xf numFmtId="4" fontId="54" fillId="20" borderId="122" applyNumberFormat="0" applyProtection="0">
      <alignment horizontal="right" vertical="center"/>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13" borderId="122" applyNumberFormat="0" applyFont="0" applyAlignment="0" applyProtection="0"/>
    <xf numFmtId="4" fontId="54" fillId="23" borderId="122" applyNumberFormat="0" applyProtection="0">
      <alignment horizontal="right" vertical="center"/>
    </xf>
    <xf numFmtId="349" fontId="54" fillId="32" borderId="122" applyNumberFormat="0" applyProtection="0">
      <alignment horizontal="left" vertical="center" indent="1"/>
    </xf>
    <xf numFmtId="349" fontId="54" fillId="30" borderId="127" applyNumberFormat="0" applyProtection="0">
      <alignment horizontal="left" vertical="top" indent="1"/>
    </xf>
    <xf numFmtId="4" fontId="54" fillId="19" borderId="122" applyNumberFormat="0" applyProtection="0">
      <alignment horizontal="right" vertical="center"/>
    </xf>
    <xf numFmtId="349" fontId="267" fillId="34"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263" fillId="127" borderId="122" applyNumberFormat="0" applyAlignment="0" applyProtection="0"/>
    <xf numFmtId="349" fontId="54" fillId="31" borderId="127" applyNumberFormat="0" applyProtection="0">
      <alignment horizontal="left" vertical="top" indent="1"/>
    </xf>
    <xf numFmtId="349" fontId="54" fillId="32" borderId="127" applyNumberFormat="0" applyProtection="0">
      <alignment horizontal="left" vertical="top" indent="1"/>
    </xf>
    <xf numFmtId="4" fontId="267" fillId="34" borderId="127" applyNumberFormat="0" applyProtection="0">
      <alignment vertical="center"/>
    </xf>
    <xf numFmtId="37" fontId="65" fillId="0" borderId="130" applyNumberFormat="0"/>
    <xf numFmtId="349" fontId="54" fillId="13" borderId="122" applyNumberFormat="0" applyFont="0" applyAlignment="0" applyProtection="0"/>
    <xf numFmtId="349" fontId="54" fillId="31" borderId="127" applyNumberFormat="0" applyProtection="0">
      <alignment horizontal="left" vertical="top" indent="1"/>
    </xf>
    <xf numFmtId="4" fontId="54" fillId="20" borderId="122" applyNumberFormat="0" applyProtection="0">
      <alignment horizontal="right" vertical="center"/>
    </xf>
    <xf numFmtId="349" fontId="143" fillId="14" borderId="122" applyNumberFormat="0" applyAlignment="0" applyProtection="0"/>
    <xf numFmtId="4" fontId="265" fillId="50" borderId="122" applyNumberFormat="0" applyProtection="0">
      <alignment horizontal="right" vertical="center"/>
    </xf>
    <xf numFmtId="349" fontId="54" fillId="31" borderId="127" applyNumberFormat="0" applyProtection="0">
      <alignment horizontal="left" vertical="top" indent="1"/>
    </xf>
    <xf numFmtId="4" fontId="268" fillId="35" borderId="128"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30" borderId="128" applyNumberFormat="0" applyProtection="0">
      <alignment horizontal="left" vertical="center" indent="1"/>
    </xf>
    <xf numFmtId="349" fontId="267" fillId="34" borderId="127" applyNumberFormat="0" applyProtection="0">
      <alignment horizontal="left" vertical="top" indent="1"/>
    </xf>
    <xf numFmtId="349" fontId="54" fillId="31" borderId="127" applyNumberFormat="0" applyProtection="0">
      <alignment horizontal="left" vertical="top" indent="1"/>
    </xf>
    <xf numFmtId="4" fontId="54" fillId="18" borderId="122" applyNumberFormat="0" applyProtection="0">
      <alignment vertical="center"/>
    </xf>
    <xf numFmtId="4" fontId="54" fillId="64" borderId="122" applyNumberFormat="0" applyProtection="0">
      <alignment horizontal="left" vertical="center"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0" borderId="127" applyNumberFormat="0" applyProtection="0">
      <alignment horizontal="left" vertical="top" indent="1"/>
    </xf>
    <xf numFmtId="4" fontId="267" fillId="61" borderId="127"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4"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7" fontId="65" fillId="0" borderId="130" applyNumberFormat="0"/>
    <xf numFmtId="349" fontId="16" fillId="0" borderId="131" applyNumberFormat="0" applyFill="0" applyAlignment="0" applyProtection="0"/>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23" borderId="122" applyNumberFormat="0" applyProtection="0">
      <alignment horizontal="right" vertical="center"/>
    </xf>
    <xf numFmtId="349" fontId="54" fillId="83"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30" borderId="122" applyNumberFormat="0" applyProtection="0">
      <alignment horizontal="left" vertical="center" indent="1"/>
    </xf>
    <xf numFmtId="214" fontId="65" fillId="0" borderId="28" applyFill="0"/>
    <xf numFmtId="4" fontId="267" fillId="34" borderId="127" applyNumberFormat="0" applyProtection="0">
      <alignment vertical="center"/>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18" borderId="122" applyNumberFormat="0" applyProtection="0">
      <alignmen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0" fillId="30" borderId="127" applyNumberFormat="0" applyProtection="0">
      <alignment horizontal="left" vertical="center" indent="1"/>
    </xf>
    <xf numFmtId="349" fontId="263" fillId="127" borderId="122" applyNumberFormat="0" applyAlignment="0" applyProtection="0"/>
    <xf numFmtId="349" fontId="54" fillId="30" borderId="122" applyNumberFormat="0" applyProtection="0">
      <alignment horizontal="left" vertical="center" indent="1"/>
    </xf>
    <xf numFmtId="349" fontId="54" fillId="32" borderId="127" applyNumberFormat="0" applyProtection="0">
      <alignment horizontal="left" vertical="top" indent="1"/>
    </xf>
    <xf numFmtId="37" fontId="65" fillId="0" borderId="130" applyNumberFormat="0"/>
    <xf numFmtId="349" fontId="54" fillId="13" borderId="122" applyNumberFormat="0" applyFont="0" applyAlignment="0" applyProtection="0"/>
    <xf numFmtId="4" fontId="268" fillId="35" borderId="128" applyNumberFormat="0" applyProtection="0">
      <alignment horizontal="left" vertical="center" indent="1"/>
    </xf>
    <xf numFmtId="169" fontId="13" fillId="0" borderId="0" applyFont="0" applyFill="0" applyBorder="0" applyAlignment="0" applyProtection="0"/>
    <xf numFmtId="349" fontId="54" fillId="13" borderId="122" applyNumberFormat="0" applyFont="0" applyAlignment="0" applyProtection="0"/>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267" fillId="34" borderId="127" applyNumberFormat="0" applyProtection="0">
      <alignmen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top" indent="1"/>
    </xf>
    <xf numFmtId="4" fontId="54" fillId="26" borderId="122" applyNumberFormat="0" applyProtection="0">
      <alignment horizontal="righ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center" indent="1"/>
    </xf>
    <xf numFmtId="349" fontId="54" fillId="19" borderId="127" applyNumberFormat="0" applyProtection="0">
      <alignment horizontal="left" vertical="top" indent="1"/>
    </xf>
    <xf numFmtId="349" fontId="263" fillId="127" borderId="122" applyNumberFormat="0" applyAlignment="0" applyProtection="0"/>
    <xf numFmtId="4" fontId="54" fillId="24" borderId="122" applyNumberFormat="0" applyProtection="0">
      <alignment horizontal="right" vertical="center"/>
    </xf>
    <xf numFmtId="214" fontId="65" fillId="0" borderId="28" applyFill="0"/>
    <xf numFmtId="349" fontId="54" fillId="13" borderId="122" applyNumberFormat="0" applyFont="0" applyAlignment="0" applyProtection="0"/>
    <xf numFmtId="349" fontId="267" fillId="34" borderId="127" applyNumberFormat="0" applyProtection="0">
      <alignment horizontal="left" vertical="top" indent="1"/>
    </xf>
    <xf numFmtId="4" fontId="267" fillId="34" borderId="127" applyNumberFormat="0" applyProtection="0">
      <alignment vertical="center"/>
    </xf>
    <xf numFmtId="349" fontId="54" fillId="13" borderId="122" applyNumberFormat="0" applyFont="0" applyAlignment="0" applyProtection="0"/>
    <xf numFmtId="349" fontId="54" fillId="13" borderId="122" applyNumberFormat="0" applyFont="0" applyAlignment="0" applyProtection="0"/>
    <xf numFmtId="349" fontId="266" fillId="18" borderId="127" applyNumberFormat="0" applyProtection="0">
      <alignment horizontal="left" vertical="top" indent="1"/>
    </xf>
    <xf numFmtId="4" fontId="54" fillId="25" borderId="122" applyNumberFormat="0" applyProtection="0">
      <alignment horizontal="right" vertical="center"/>
    </xf>
    <xf numFmtId="4" fontId="54" fillId="19"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143" fillId="14" borderId="122" applyNumberFormat="0" applyAlignment="0" applyProtection="0"/>
    <xf numFmtId="37" fontId="65" fillId="0" borderId="130" applyNumberFormat="0"/>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29" borderId="128" applyNumberFormat="0" applyProtection="0">
      <alignment horizontal="left" vertical="center" indent="1"/>
    </xf>
    <xf numFmtId="349" fontId="143" fillId="14" borderId="122" applyNumberFormat="0" applyAlignment="0" applyProtection="0"/>
    <xf numFmtId="4" fontId="265" fillId="50" borderId="122" applyNumberFormat="0" applyProtection="0">
      <alignment horizontal="right" vertical="center"/>
    </xf>
    <xf numFmtId="4" fontId="267" fillId="34" borderId="127" applyNumberFormat="0" applyProtection="0">
      <alignment vertical="center"/>
    </xf>
    <xf numFmtId="349" fontId="54" fillId="30" borderId="127" applyNumberFormat="0" applyProtection="0">
      <alignment horizontal="left" vertical="top" indent="1"/>
    </xf>
    <xf numFmtId="4" fontId="267" fillId="61" borderId="127" applyNumberFormat="0" applyProtection="0">
      <alignment horizontal="left" vertical="center" indent="1"/>
    </xf>
    <xf numFmtId="349" fontId="10" fillId="30" borderId="127" applyNumberFormat="0" applyProtection="0">
      <alignment horizontal="left" vertical="center" indent="1"/>
    </xf>
    <xf numFmtId="4" fontId="54" fillId="64" borderId="122" applyNumberFormat="0" applyProtection="0">
      <alignment horizontal="left" vertical="center" indent="1"/>
    </xf>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4" fontId="54" fillId="27" borderId="122" applyNumberFormat="0" applyProtection="0">
      <alignment horizontal="right" vertical="center"/>
    </xf>
    <xf numFmtId="4" fontId="54" fillId="30" borderId="128" applyNumberFormat="0" applyProtection="0">
      <alignment horizontal="left" vertical="center" indent="1"/>
    </xf>
    <xf numFmtId="4" fontId="54" fillId="64" borderId="122" applyNumberFormat="0" applyProtection="0">
      <alignment horizontal="left" vertical="center" indent="1"/>
    </xf>
    <xf numFmtId="4" fontId="54" fillId="27" borderId="122" applyNumberFormat="0" applyProtection="0">
      <alignment horizontal="right" vertical="center"/>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5"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169" fontId="13" fillId="0" borderId="0" applyFont="0" applyFill="0" applyBorder="0" applyAlignment="0" applyProtection="0"/>
    <xf numFmtId="4" fontId="54" fillId="23" borderId="122" applyNumberFormat="0" applyProtection="0">
      <alignment horizontal="right" vertical="center"/>
    </xf>
    <xf numFmtId="169" fontId="13" fillId="0" borderId="0" applyFont="0" applyFill="0" applyBorder="0" applyAlignment="0" applyProtection="0"/>
    <xf numFmtId="349" fontId="54" fillId="13" borderId="122" applyNumberFormat="0" applyFont="0" applyAlignment="0" applyProtection="0"/>
    <xf numFmtId="4" fontId="54" fillId="18" borderId="122" applyNumberFormat="0" applyProtection="0">
      <alignment vertical="center"/>
    </xf>
    <xf numFmtId="4" fontId="265" fillId="45" borderId="122" applyNumberFormat="0" applyProtection="0">
      <alignment vertical="center"/>
    </xf>
    <xf numFmtId="4" fontId="54" fillId="25" borderId="122" applyNumberFormat="0" applyProtection="0">
      <alignment horizontal="right" vertical="center"/>
    </xf>
    <xf numFmtId="4" fontId="54" fillId="29" borderId="128" applyNumberFormat="0" applyProtection="0">
      <alignment horizontal="left" vertical="center" indent="1"/>
    </xf>
    <xf numFmtId="4" fontId="54" fillId="130"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214" fontId="65" fillId="0" borderId="28" applyFill="0"/>
    <xf numFmtId="349" fontId="54" fillId="32" borderId="127" applyNumberFormat="0" applyProtection="0">
      <alignment horizontal="left" vertical="top" indent="1"/>
    </xf>
    <xf numFmtId="4" fontId="54" fillId="19"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185" fillId="127" borderId="126" applyNumberFormat="0" applyAlignment="0" applyProtection="0"/>
    <xf numFmtId="349" fontId="54" fillId="61" borderId="122"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27" borderId="122" applyNumberFormat="0" applyProtection="0">
      <alignment horizontal="right" vertical="center"/>
    </xf>
    <xf numFmtId="349" fontId="266" fillId="18" borderId="127" applyNumberFormat="0" applyProtection="0">
      <alignment horizontal="left" vertical="top"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4" fontId="10" fillId="31" borderId="128" applyNumberFormat="0" applyProtection="0">
      <alignment horizontal="left" vertical="center" indent="1"/>
    </xf>
    <xf numFmtId="4" fontId="54" fillId="25" borderId="122" applyNumberFormat="0" applyProtection="0">
      <alignment horizontal="right" vertical="center"/>
    </xf>
    <xf numFmtId="4" fontId="54" fillId="23"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16" fillId="0" borderId="131" applyNumberFormat="0" applyFill="0" applyAlignment="0" applyProtection="0"/>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214" fontId="65" fillId="0" borderId="28" applyFill="0"/>
    <xf numFmtId="349" fontId="54" fillId="30"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10" fillId="32" borderId="127" applyNumberFormat="0" applyProtection="0">
      <alignment horizontal="left" vertical="top" indent="1"/>
    </xf>
    <xf numFmtId="349" fontId="143" fillId="14" borderId="122" applyNumberFormat="0" applyAlignment="0" applyProtection="0"/>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7" borderId="122" applyNumberFormat="0" applyProtection="0">
      <alignment horizontal="right" vertical="center"/>
    </xf>
    <xf numFmtId="4" fontId="54" fillId="20"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4" fontId="54" fillId="130" borderId="122" applyNumberFormat="0" applyProtection="0">
      <alignment horizontal="right" vertical="center"/>
    </xf>
    <xf numFmtId="349" fontId="54" fillId="30" borderId="127" applyNumberFormat="0" applyProtection="0">
      <alignment horizontal="left" vertical="top" indent="1"/>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54" fillId="0" borderId="122" applyNumberFormat="0" applyProtection="0">
      <alignment horizontal="right" vertical="center"/>
    </xf>
    <xf numFmtId="349" fontId="10" fillId="32" borderId="127" applyNumberFormat="0" applyProtection="0">
      <alignment horizontal="left" vertical="top" indent="1"/>
    </xf>
    <xf numFmtId="37" fontId="65" fillId="0" borderId="130" applyNumberFormat="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2" borderId="128" applyNumberFormat="0" applyProtection="0">
      <alignment horizontal="right" vertical="center"/>
    </xf>
    <xf numFmtId="349" fontId="263" fillId="127" borderId="122" applyNumberFormat="0" applyAlignment="0" applyProtection="0"/>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0" borderId="122" applyNumberFormat="0" applyProtection="0">
      <alignment horizontal="right" vertical="center"/>
    </xf>
    <xf numFmtId="349" fontId="54" fillId="13" borderId="122" applyNumberFormat="0" applyFont="0" applyAlignment="0" applyProtection="0"/>
    <xf numFmtId="4" fontId="54" fillId="23" borderId="122" applyNumberFormat="0" applyProtection="0">
      <alignment horizontal="right" vertical="center"/>
    </xf>
    <xf numFmtId="4" fontId="54" fillId="23" borderId="122" applyNumberFormat="0" applyProtection="0">
      <alignment horizontal="right" vertical="center"/>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20" borderId="122" applyNumberFormat="0" applyProtection="0">
      <alignment horizontal="right" vertical="center"/>
    </xf>
    <xf numFmtId="349" fontId="54" fillId="30" borderId="127" applyNumberFormat="0" applyProtection="0">
      <alignment horizontal="left" vertical="top" indent="1"/>
    </xf>
    <xf numFmtId="349" fontId="54" fillId="31"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4" fontId="54" fillId="64" borderId="122" applyNumberFormat="0" applyProtection="0">
      <alignment horizontal="left" vertical="center" indent="1"/>
    </xf>
    <xf numFmtId="349" fontId="54" fillId="30" borderId="127" applyNumberFormat="0" applyProtection="0">
      <alignment horizontal="left" vertical="top" indent="1"/>
    </xf>
    <xf numFmtId="349" fontId="54" fillId="19"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169" fontId="13" fillId="0" borderId="0" applyFont="0" applyFill="0" applyBorder="0" applyAlignment="0" applyProtection="0"/>
    <xf numFmtId="349" fontId="266" fillId="18"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10" fillId="31" borderId="127" applyNumberFormat="0" applyProtection="0">
      <alignment horizontal="left" vertical="top" indent="1"/>
    </xf>
    <xf numFmtId="349" fontId="54" fillId="32" borderId="127" applyNumberFormat="0" applyProtection="0">
      <alignment horizontal="left" vertical="top" indent="1"/>
    </xf>
    <xf numFmtId="349" fontId="54" fillId="32" borderId="122"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130" borderId="122" applyNumberFormat="0" applyProtection="0">
      <alignment horizontal="right" vertical="center"/>
    </xf>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19" borderId="122" applyNumberFormat="0" applyProtection="0">
      <alignment horizontal="right" vertical="center"/>
    </xf>
    <xf numFmtId="4" fontId="54" fillId="130" borderId="122" applyNumberFormat="0" applyProtection="0">
      <alignment horizontal="right" vertical="center"/>
    </xf>
    <xf numFmtId="349" fontId="54" fillId="31" borderId="127" applyNumberFormat="0" applyProtection="0">
      <alignment horizontal="left" vertical="top" indent="1"/>
    </xf>
    <xf numFmtId="4" fontId="54" fillId="29" borderId="128" applyNumberFormat="0" applyProtection="0">
      <alignment horizontal="left" vertical="center" indent="1"/>
    </xf>
    <xf numFmtId="4" fontId="54" fillId="26" borderId="122" applyNumberFormat="0" applyProtection="0">
      <alignment horizontal="right" vertical="center"/>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34" borderId="127" applyNumberFormat="0" applyProtection="0">
      <alignment vertical="center"/>
    </xf>
    <xf numFmtId="4" fontId="268" fillId="35" borderId="128" applyNumberFormat="0" applyProtection="0">
      <alignment horizontal="left" vertical="center" indent="1"/>
    </xf>
    <xf numFmtId="349" fontId="54" fillId="19" borderId="127" applyNumberFormat="0" applyProtection="0">
      <alignment horizontal="left" vertical="top" indent="1"/>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23" borderId="122" applyNumberFormat="0" applyProtection="0">
      <alignment horizontal="right" vertical="center"/>
    </xf>
    <xf numFmtId="4" fontId="265" fillId="45" borderId="122" applyNumberFormat="0" applyProtection="0">
      <alignment vertical="center"/>
    </xf>
    <xf numFmtId="349" fontId="54" fillId="13" borderId="122" applyNumberFormat="0" applyFont="0" applyAlignment="0" applyProtection="0"/>
    <xf numFmtId="349" fontId="263" fillId="127" borderId="122" applyNumberFormat="0" applyAlignment="0" applyProtection="0"/>
    <xf numFmtId="4" fontId="54" fillId="130" borderId="122" applyNumberFormat="0" applyProtection="0">
      <alignment horizontal="right" vertical="center"/>
    </xf>
    <xf numFmtId="349" fontId="54" fillId="13" borderId="122" applyNumberFormat="0" applyFont="0" applyAlignment="0" applyProtection="0"/>
    <xf numFmtId="349" fontId="267" fillId="34" borderId="127" applyNumberFormat="0" applyProtection="0">
      <alignment horizontal="left" vertical="top" indent="1"/>
    </xf>
    <xf numFmtId="4" fontId="54" fillId="25" borderId="122" applyNumberFormat="0" applyProtection="0">
      <alignment horizontal="right" vertical="center"/>
    </xf>
    <xf numFmtId="4" fontId="10" fillId="31" borderId="128"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6" fillId="0" borderId="131" applyNumberFormat="0" applyFill="0" applyAlignment="0" applyProtection="0"/>
    <xf numFmtId="349" fontId="54" fillId="32" borderId="127" applyNumberFormat="0" applyProtection="0">
      <alignment horizontal="left" vertical="top" indent="1"/>
    </xf>
    <xf numFmtId="349" fontId="263" fillId="127" borderId="122" applyNumberFormat="0" applyAlignment="0" applyProtection="0"/>
    <xf numFmtId="4" fontId="54" fillId="0" borderId="122" applyNumberFormat="0" applyProtection="0">
      <alignment horizontal="right" vertical="center"/>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10" fillId="31" borderId="127" applyNumberFormat="0" applyProtection="0">
      <alignment horizontal="left" vertical="top" indent="1"/>
    </xf>
    <xf numFmtId="4" fontId="54" fillId="28" borderId="122" applyNumberFormat="0" applyProtection="0">
      <alignment horizontal="right" vertical="center"/>
    </xf>
    <xf numFmtId="349" fontId="266" fillId="18" borderId="127" applyNumberFormat="0" applyProtection="0">
      <alignment horizontal="left" vertical="top" indent="1"/>
    </xf>
    <xf numFmtId="349" fontId="94" fillId="31" borderId="129" applyBorder="0"/>
    <xf numFmtId="349" fontId="54" fillId="32" borderId="122" applyNumberFormat="0" applyProtection="0">
      <alignment horizontal="left" vertical="center" indent="1"/>
    </xf>
    <xf numFmtId="349" fontId="143" fillId="14" borderId="122" applyNumberFormat="0" applyAlignment="0" applyProtection="0"/>
    <xf numFmtId="4" fontId="267" fillId="61" borderId="127" applyNumberFormat="0" applyProtection="0">
      <alignment horizontal="left" vertical="center" indent="1"/>
    </xf>
    <xf numFmtId="349" fontId="54" fillId="13" borderId="122" applyNumberFormat="0" applyFont="0" applyAlignment="0" applyProtection="0"/>
    <xf numFmtId="349" fontId="263" fillId="127" borderId="122" applyNumberFormat="0" applyAlignment="0" applyProtection="0"/>
    <xf numFmtId="4" fontId="54" fillId="45" borderId="122" applyNumberFormat="0" applyProtection="0">
      <alignment horizontal="left" vertical="center" indent="1"/>
    </xf>
    <xf numFmtId="4" fontId="54" fillId="24" borderId="122" applyNumberFormat="0" applyProtection="0">
      <alignment horizontal="right" vertical="center"/>
    </xf>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6" fillId="0" borderId="131" applyNumberFormat="0" applyFill="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267" fillId="34" borderId="127" applyNumberFormat="0" applyProtection="0">
      <alignment horizontal="left" vertical="top" indent="1"/>
    </xf>
    <xf numFmtId="349" fontId="54" fillId="32" borderId="127" applyNumberFormat="0" applyProtection="0">
      <alignment horizontal="left" vertical="top" indent="1"/>
    </xf>
    <xf numFmtId="349" fontId="267" fillId="19" borderId="127" applyNumberFormat="0" applyProtection="0">
      <alignment horizontal="left" vertical="top" indent="1"/>
    </xf>
    <xf numFmtId="349" fontId="94" fillId="31" borderId="129" applyBorder="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214" fontId="65" fillId="0" borderId="28" applyFill="0"/>
    <xf numFmtId="4" fontId="54" fillId="28" borderId="122" applyNumberFormat="0" applyProtection="0">
      <alignment horizontal="right" vertical="center"/>
    </xf>
    <xf numFmtId="4" fontId="54" fillId="19" borderId="128" applyNumberFormat="0" applyProtection="0">
      <alignment horizontal="left" vertical="center" indent="1"/>
    </xf>
    <xf numFmtId="4" fontId="54" fillId="20" borderId="122" applyNumberFormat="0" applyProtection="0">
      <alignment horizontal="right" vertical="center"/>
    </xf>
    <xf numFmtId="4" fontId="54" fillId="28"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54" fillId="18" borderId="122" applyNumberFormat="0" applyProtection="0">
      <alignment vertical="center"/>
    </xf>
    <xf numFmtId="4" fontId="54" fillId="24" borderId="122" applyNumberFormat="0" applyProtection="0">
      <alignment horizontal="right" vertical="center"/>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4" borderId="122" applyNumberFormat="0" applyProtection="0">
      <alignment horizontal="right" vertical="center"/>
    </xf>
    <xf numFmtId="4" fontId="54" fillId="18" borderId="122" applyNumberFormat="0" applyProtection="0">
      <alignmen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54" fillId="26" borderId="122" applyNumberFormat="0" applyProtection="0">
      <alignment horizontal="right" vertical="center"/>
    </xf>
    <xf numFmtId="4" fontId="10" fillId="31" borderId="128" applyNumberFormat="0" applyProtection="0">
      <alignment horizontal="left" vertical="center" indent="1"/>
    </xf>
    <xf numFmtId="4" fontId="54" fillId="22" borderId="128" applyNumberFormat="0" applyProtection="0">
      <alignment horizontal="right" vertical="center"/>
    </xf>
    <xf numFmtId="4" fontId="54" fillId="30" borderId="128" applyNumberFormat="0" applyProtection="0">
      <alignment horizontal="left" vertical="center" indent="1"/>
    </xf>
    <xf numFmtId="349" fontId="10" fillId="31" borderId="127" applyNumberFormat="0" applyProtection="0">
      <alignment horizontal="left" vertical="center" indent="1"/>
    </xf>
    <xf numFmtId="349" fontId="54" fillId="32"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4" fontId="54" fillId="18" borderId="122" applyNumberFormat="0" applyProtection="0">
      <alignment vertical="center"/>
    </xf>
    <xf numFmtId="349" fontId="10" fillId="31" borderId="127" applyNumberFormat="0" applyProtection="0">
      <alignment horizontal="left" vertical="center" indent="1"/>
    </xf>
    <xf numFmtId="349" fontId="54" fillId="30"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45"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25" borderId="122" applyNumberFormat="0" applyProtection="0">
      <alignment horizontal="right" vertical="center"/>
    </xf>
    <xf numFmtId="349" fontId="266" fillId="18" borderId="127" applyNumberFormat="0" applyProtection="0">
      <alignment horizontal="left" vertical="top" indent="1"/>
    </xf>
    <xf numFmtId="4" fontId="54" fillId="19" borderId="122" applyNumberFormat="0" applyProtection="0">
      <alignment horizontal="right" vertical="center"/>
    </xf>
    <xf numFmtId="4" fontId="54" fillId="26" borderId="122" applyNumberFormat="0" applyProtection="0">
      <alignment horizontal="right" vertical="center"/>
    </xf>
    <xf numFmtId="4" fontId="54" fillId="24"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5" fillId="50" borderId="122" applyNumberFormat="0" applyProtection="0">
      <alignment horizontal="right" vertical="center"/>
    </xf>
    <xf numFmtId="349" fontId="16" fillId="0" borderId="131" applyNumberFormat="0" applyFill="0" applyAlignment="0" applyProtection="0"/>
    <xf numFmtId="4" fontId="267" fillId="34" borderId="127" applyNumberFormat="0" applyProtection="0">
      <alignment vertical="center"/>
    </xf>
    <xf numFmtId="349" fontId="54" fillId="30" borderId="127" applyNumberFormat="0" applyProtection="0">
      <alignment horizontal="left" vertical="top" indent="1"/>
    </xf>
    <xf numFmtId="349" fontId="94" fillId="31" borderId="129" applyBorder="0"/>
    <xf numFmtId="4" fontId="54" fillId="0" borderId="122" applyNumberFormat="0" applyProtection="0">
      <alignment horizontal="right" vertical="center"/>
    </xf>
    <xf numFmtId="349" fontId="54" fillId="30" borderId="127" applyNumberFormat="0" applyProtection="0">
      <alignment horizontal="left" vertical="top" indent="1"/>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349" fontId="143" fillId="14" borderId="122" applyNumberFormat="0" applyAlignment="0" applyProtection="0"/>
    <xf numFmtId="349" fontId="54" fillId="32" borderId="127" applyNumberFormat="0" applyProtection="0">
      <alignment horizontal="left" vertical="top" indent="1"/>
    </xf>
    <xf numFmtId="349" fontId="143" fillId="14" borderId="122" applyNumberFormat="0" applyAlignment="0" applyProtection="0"/>
    <xf numFmtId="349" fontId="54" fillId="83" borderId="122" applyNumberFormat="0" applyProtection="0">
      <alignment horizontal="left" vertical="center"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26" borderId="122" applyNumberFormat="0" applyProtection="0">
      <alignment horizontal="right" vertical="center"/>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94" fillId="31" borderId="129" applyBorder="0"/>
    <xf numFmtId="4" fontId="54" fillId="22" borderId="128" applyNumberFormat="0" applyProtection="0">
      <alignment horizontal="right" vertical="center"/>
    </xf>
    <xf numFmtId="349" fontId="54" fillId="30" borderId="127" applyNumberFormat="0" applyProtection="0">
      <alignment horizontal="left" vertical="top" indent="1"/>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130" borderId="122" applyNumberFormat="0" applyProtection="0">
      <alignment horizontal="right" vertical="center"/>
    </xf>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265" fillId="5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4" fontId="54" fillId="24"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4" fontId="269" fillId="33" borderId="122" applyNumberFormat="0" applyProtection="0">
      <alignment horizontal="right" vertical="center"/>
    </xf>
    <xf numFmtId="349" fontId="54" fillId="19" borderId="127" applyNumberFormat="0" applyProtection="0">
      <alignment horizontal="left" vertical="top"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10" fillId="32" borderId="127"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4" fontId="265" fillId="50" borderId="122" applyNumberFormat="0" applyProtection="0">
      <alignment horizontal="right" vertical="center"/>
    </xf>
    <xf numFmtId="349" fontId="10" fillId="30" borderId="127" applyNumberFormat="0" applyProtection="0">
      <alignment horizontal="left" vertical="top" indent="1"/>
    </xf>
    <xf numFmtId="349" fontId="54" fillId="19" borderId="127" applyNumberFormat="0" applyProtection="0">
      <alignment horizontal="left" vertical="top" indent="1"/>
    </xf>
    <xf numFmtId="4" fontId="54" fillId="29" borderId="128" applyNumberFormat="0" applyProtection="0">
      <alignment horizontal="left" vertical="center" indent="1"/>
    </xf>
    <xf numFmtId="4" fontId="54" fillId="22" borderId="128" applyNumberFormat="0" applyProtection="0">
      <alignment horizontal="right" vertical="center"/>
    </xf>
    <xf numFmtId="4" fontId="267" fillId="61" borderId="127" applyNumberFormat="0" applyProtection="0">
      <alignment horizontal="left" vertical="center" indent="1"/>
    </xf>
    <xf numFmtId="349" fontId="16" fillId="0" borderId="131" applyNumberFormat="0" applyFill="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267" fillId="34" borderId="127" applyNumberFormat="0" applyProtection="0">
      <alignment horizontal="left" vertical="top" indent="1"/>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4" fontId="10" fillId="31" borderId="128" applyNumberFormat="0" applyProtection="0">
      <alignment horizontal="left" vertical="center" indent="1"/>
    </xf>
    <xf numFmtId="4" fontId="54" fillId="26" borderId="122" applyNumberFormat="0" applyProtection="0">
      <alignment horizontal="right" vertical="center"/>
    </xf>
    <xf numFmtId="349" fontId="54" fillId="13" borderId="122" applyNumberFormat="0" applyFont="0" applyAlignment="0" applyProtection="0"/>
    <xf numFmtId="4" fontId="54" fillId="18" borderId="122" applyNumberFormat="0" applyProtection="0">
      <alignmen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13" borderId="122" applyNumberFormat="0" applyFont="0" applyAlignment="0" applyProtection="0"/>
    <xf numFmtId="214" fontId="65" fillId="0" borderId="28" applyFill="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45" borderId="122" applyNumberFormat="0" applyProtection="0">
      <alignment horizontal="left" vertical="center" indent="1"/>
    </xf>
    <xf numFmtId="4" fontId="265" fillId="50" borderId="122" applyNumberFormat="0" applyProtection="0">
      <alignment horizontal="right" vertical="center"/>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269" fillId="33" borderId="122" applyNumberFormat="0" applyProtection="0">
      <alignment horizontal="right" vertical="center"/>
    </xf>
    <xf numFmtId="4" fontId="267" fillId="61" borderId="127" applyNumberFormat="0" applyProtection="0">
      <alignment horizontal="left" vertical="center"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0" borderId="127" applyNumberFormat="0" applyProtection="0">
      <alignment horizontal="left" vertical="top" indent="1"/>
    </xf>
    <xf numFmtId="4" fontId="10" fillId="31" borderId="128" applyNumberFormat="0" applyProtection="0">
      <alignment horizontal="left" vertical="center" indent="1"/>
    </xf>
    <xf numFmtId="349" fontId="10" fillId="31" borderId="127" applyNumberFormat="0" applyProtection="0">
      <alignment horizontal="left" vertical="top" indent="1"/>
    </xf>
    <xf numFmtId="4" fontId="54" fillId="22" borderId="128" applyNumberFormat="0" applyProtection="0">
      <alignment horizontal="right" vertical="center"/>
    </xf>
    <xf numFmtId="349" fontId="54" fillId="61" borderId="122" applyNumberFormat="0" applyProtection="0">
      <alignment horizontal="left" vertical="center" indent="1"/>
    </xf>
    <xf numFmtId="4" fontId="54" fillId="45"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8" borderId="122" applyNumberFormat="0" applyProtection="0">
      <alignment horizontal="righ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4" fontId="54" fillId="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266" fillId="18" borderId="127" applyNumberFormat="0" applyProtection="0">
      <alignment horizontal="left" vertical="top" indent="1"/>
    </xf>
    <xf numFmtId="349" fontId="54" fillId="13" borderId="122" applyNumberFormat="0" applyFont="0" applyAlignment="0" applyProtection="0"/>
    <xf numFmtId="349" fontId="54" fillId="30" borderId="122" applyNumberFormat="0" applyProtection="0">
      <alignment horizontal="left" vertical="center" indent="1"/>
    </xf>
    <xf numFmtId="169" fontId="13" fillId="0" borderId="0" applyFont="0" applyFill="0" applyBorder="0" applyAlignment="0" applyProtection="0"/>
    <xf numFmtId="169" fontId="13" fillId="0" borderId="0" applyFont="0" applyFill="0" applyBorder="0" applyAlignment="0" applyProtection="0"/>
    <xf numFmtId="349" fontId="263" fillId="127" borderId="122" applyNumberFormat="0" applyAlignment="0" applyProtection="0"/>
    <xf numFmtId="4" fontId="265" fillId="50" borderId="122" applyNumberFormat="0" applyProtection="0">
      <alignment horizontal="right" vertical="center"/>
    </xf>
    <xf numFmtId="349" fontId="143" fillId="14" borderId="122" applyNumberFormat="0" applyAlignment="0" applyProtection="0"/>
    <xf numFmtId="169" fontId="13" fillId="0" borderId="0" applyFont="0" applyFill="0" applyBorder="0" applyAlignment="0" applyProtection="0"/>
    <xf numFmtId="349" fontId="263" fillId="127" borderId="122" applyNumberFormat="0" applyAlignment="0" applyProtection="0"/>
    <xf numFmtId="4" fontId="54" fillId="45" borderId="122" applyNumberFormat="0" applyProtection="0">
      <alignment horizontal="left" vertical="center" indent="1"/>
    </xf>
    <xf numFmtId="349" fontId="143" fillId="14" borderId="122" applyNumberFormat="0" applyAlignment="0" applyProtection="0"/>
    <xf numFmtId="4" fontId="54" fillId="64" borderId="122" applyNumberFormat="0" applyProtection="0">
      <alignment horizontal="left" vertical="center" indent="1"/>
    </xf>
    <xf numFmtId="4" fontId="54" fillId="26" borderId="122" applyNumberFormat="0" applyProtection="0">
      <alignment horizontal="right" vertical="center"/>
    </xf>
    <xf numFmtId="169" fontId="13" fillId="0" borderId="0" applyFont="0" applyFill="0" applyBorder="0" applyAlignment="0" applyProtection="0"/>
    <xf numFmtId="4" fontId="269" fillId="33" borderId="122" applyNumberFormat="0" applyProtection="0">
      <alignment horizontal="right" vertical="center"/>
    </xf>
    <xf numFmtId="4" fontId="54" fillId="23" borderId="122" applyNumberFormat="0" applyProtection="0">
      <alignment horizontal="right" vertical="center"/>
    </xf>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172" fontId="8" fillId="43" borderId="6">
      <alignment vertical="center"/>
    </xf>
    <xf numFmtId="172" fontId="8" fillId="3" borderId="6">
      <alignment vertical="center"/>
      <protection locked="0"/>
    </xf>
    <xf numFmtId="0" fontId="2" fillId="0" borderId="0"/>
    <xf numFmtId="0" fontId="8" fillId="0" borderId="0"/>
    <xf numFmtId="0" fontId="13" fillId="0" borderId="0"/>
    <xf numFmtId="0" fontId="8" fillId="0" borderId="0"/>
    <xf numFmtId="9" fontId="2" fillId="0" borderId="0" applyFont="0" applyFill="0" applyBorder="0" applyAlignment="0" applyProtection="0"/>
    <xf numFmtId="185" fontId="8" fillId="0" borderId="0"/>
    <xf numFmtId="10" fontId="37" fillId="0" borderId="0" applyFont="0" applyFill="0" applyBorder="0" applyAlignment="0" applyProtection="0">
      <alignment vertical="center"/>
    </xf>
    <xf numFmtId="169" fontId="8" fillId="0" borderId="0" applyFont="0" applyFill="0" applyBorder="0" applyAlignment="0" applyProtection="0"/>
    <xf numFmtId="9" fontId="8" fillId="0" borderId="0" applyFont="0" applyFill="0" applyBorder="0" applyAlignment="0" applyProtection="0"/>
  </cellStyleXfs>
  <cellXfs count="1416">
    <xf numFmtId="0" fontId="0" fillId="0" borderId="0" xfId="0"/>
    <xf numFmtId="0" fontId="9" fillId="0" borderId="0" xfId="0" applyFont="1"/>
    <xf numFmtId="0" fontId="11" fillId="42" borderId="0" xfId="7" applyFont="1" applyFill="1"/>
    <xf numFmtId="0" fontId="0" fillId="0" borderId="0" xfId="0" applyAlignment="1">
      <alignment horizontal="center" vertical="top" wrapText="1"/>
    </xf>
    <xf numFmtId="0" fontId="25" fillId="0" borderId="0" xfId="75" applyFont="1"/>
    <xf numFmtId="0" fontId="34" fillId="0" borderId="0" xfId="75" applyFont="1"/>
    <xf numFmtId="0" fontId="31" fillId="47" borderId="0" xfId="90" applyFont="1" applyFill="1" applyAlignment="1">
      <alignment horizontal="left"/>
    </xf>
    <xf numFmtId="0" fontId="25" fillId="0" borderId="0" xfId="93" applyFont="1"/>
    <xf numFmtId="0" fontId="32" fillId="0" borderId="0" xfId="75" applyFont="1"/>
    <xf numFmtId="0" fontId="33" fillId="0" borderId="0" xfId="75" applyFont="1"/>
    <xf numFmtId="0" fontId="0" fillId="0" borderId="0" xfId="0" applyAlignment="1">
      <alignment vertical="center"/>
    </xf>
    <xf numFmtId="0" fontId="0" fillId="0" borderId="0" xfId="0" applyAlignment="1">
      <alignment horizontal="center" wrapText="1"/>
    </xf>
    <xf numFmtId="0" fontId="27" fillId="0" borderId="0" xfId="0" applyFont="1" applyAlignment="1">
      <alignment horizontal="right" indent="1"/>
    </xf>
    <xf numFmtId="0" fontId="0" fillId="0" borderId="0" xfId="0" applyAlignment="1">
      <alignment horizontal="center" vertical="center" wrapText="1"/>
    </xf>
    <xf numFmtId="0" fontId="11" fillId="0" borderId="0" xfId="7" applyFont="1" applyAlignment="1">
      <alignment horizontal="center"/>
    </xf>
    <xf numFmtId="177" fontId="11" fillId="38" borderId="65" xfId="1" applyNumberFormat="1" applyFont="1" applyFill="1" applyBorder="1" applyProtection="1"/>
    <xf numFmtId="177" fontId="11" fillId="38" borderId="66" xfId="1" applyNumberFormat="1" applyFont="1" applyFill="1" applyBorder="1" applyProtection="1"/>
    <xf numFmtId="177" fontId="11" fillId="38" borderId="67" xfId="1" applyNumberFormat="1" applyFont="1" applyFill="1" applyBorder="1" applyProtection="1"/>
    <xf numFmtId="177" fontId="11" fillId="38" borderId="59" xfId="1" applyNumberFormat="1" applyFont="1" applyFill="1" applyBorder="1" applyProtection="1"/>
    <xf numFmtId="177" fontId="11" fillId="38" borderId="60" xfId="1" applyNumberFormat="1" applyFont="1" applyFill="1" applyBorder="1" applyProtection="1"/>
    <xf numFmtId="177" fontId="11" fillId="38" borderId="61" xfId="1" applyNumberFormat="1" applyFont="1" applyFill="1" applyBorder="1" applyProtection="1"/>
    <xf numFmtId="177" fontId="11" fillId="38" borderId="71" xfId="1" applyNumberFormat="1" applyFont="1" applyFill="1" applyBorder="1" applyProtection="1"/>
    <xf numFmtId="177" fontId="11" fillId="38" borderId="72" xfId="1" applyNumberFormat="1" applyFont="1" applyFill="1" applyBorder="1" applyProtection="1"/>
    <xf numFmtId="177" fontId="11" fillId="38" borderId="73" xfId="1" applyNumberFormat="1" applyFont="1" applyFill="1" applyBorder="1" applyProtection="1"/>
    <xf numFmtId="1" fontId="9" fillId="2" borderId="71" xfId="0" applyNumberFormat="1" applyFont="1" applyFill="1" applyBorder="1" applyAlignment="1">
      <alignment horizontal="center" vertical="center"/>
    </xf>
    <xf numFmtId="1" fontId="9" fillId="2" borderId="72" xfId="0" applyNumberFormat="1" applyFont="1" applyFill="1" applyBorder="1" applyAlignment="1">
      <alignment horizontal="center" vertical="center"/>
    </xf>
    <xf numFmtId="177" fontId="12" fillId="38" borderId="71" xfId="1" applyNumberFormat="1" applyFont="1" applyFill="1" applyBorder="1" applyProtection="1"/>
    <xf numFmtId="177" fontId="12" fillId="38" borderId="72" xfId="1" applyNumberFormat="1" applyFont="1" applyFill="1" applyBorder="1" applyProtection="1"/>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75" fontId="11" fillId="38" borderId="64" xfId="77" applyNumberFormat="1" applyFont="1" applyFill="1" applyBorder="1" applyProtection="1"/>
    <xf numFmtId="177" fontId="11" fillId="39" borderId="59" xfId="1" applyNumberFormat="1" applyFont="1" applyFill="1" applyBorder="1" applyProtection="1"/>
    <xf numFmtId="177" fontId="11" fillId="39" borderId="60" xfId="1" applyNumberFormat="1" applyFont="1" applyFill="1" applyBorder="1" applyProtection="1"/>
    <xf numFmtId="175" fontId="11" fillId="38" borderId="70" xfId="77" applyNumberFormat="1" applyFont="1" applyFill="1" applyBorder="1" applyProtection="1"/>
    <xf numFmtId="0" fontId="0" fillId="0" borderId="0" xfId="0" applyAlignment="1">
      <alignment horizontal="left" indent="1"/>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0" fontId="0" fillId="53" borderId="0" xfId="0" applyFill="1"/>
    <xf numFmtId="178" fontId="0" fillId="0" borderId="0" xfId="0" applyNumberFormat="1" applyAlignment="1" applyProtection="1">
      <alignment horizontal="center" vertical="center"/>
      <protection locked="0"/>
    </xf>
    <xf numFmtId="0" fontId="9" fillId="0" borderId="0" xfId="0" applyFont="1" applyAlignment="1" applyProtection="1">
      <alignment horizontal="center" vertical="center"/>
      <protection locked="0"/>
    </xf>
    <xf numFmtId="256" fontId="0" fillId="0" borderId="0" xfId="0" applyNumberFormat="1" applyAlignment="1" applyProtection="1">
      <alignment horizontal="center" vertical="center"/>
      <protection locked="0"/>
    </xf>
    <xf numFmtId="177" fontId="11" fillId="39" borderId="85" xfId="1" applyNumberFormat="1" applyFont="1" applyFill="1" applyBorder="1" applyProtection="1"/>
    <xf numFmtId="177" fontId="11" fillId="39" borderId="81" xfId="1" applyNumberFormat="1" applyFont="1" applyFill="1" applyBorder="1" applyProtection="1"/>
    <xf numFmtId="177" fontId="11" fillId="39" borderId="82" xfId="1" applyNumberFormat="1" applyFont="1" applyFill="1" applyBorder="1" applyProtection="1"/>
    <xf numFmtId="177" fontId="11" fillId="39" borderId="86" xfId="1" applyNumberFormat="1" applyFont="1" applyFill="1" applyBorder="1" applyProtection="1"/>
    <xf numFmtId="177" fontId="11" fillId="39" borderId="87" xfId="1" applyNumberFormat="1" applyFont="1" applyFill="1" applyBorder="1" applyProtection="1"/>
    <xf numFmtId="0" fontId="35" fillId="0" borderId="0" xfId="92" applyAlignment="1">
      <alignment horizontal="left" indent="1"/>
    </xf>
    <xf numFmtId="0" fontId="27" fillId="0" borderId="0" xfId="0" applyFont="1" applyAlignment="1">
      <alignment horizontal="center"/>
    </xf>
    <xf numFmtId="0" fontId="0" fillId="0" borderId="63" xfId="0" applyBorder="1" applyAlignment="1">
      <alignment horizontal="center"/>
    </xf>
    <xf numFmtId="0" fontId="250" fillId="42" borderId="0" xfId="78" applyFont="1" applyFill="1" applyProtection="1">
      <protection locked="0"/>
    </xf>
    <xf numFmtId="0" fontId="251" fillId="42" borderId="0" xfId="78" applyFont="1" applyFill="1" applyProtection="1">
      <protection locked="0"/>
    </xf>
    <xf numFmtId="0" fontId="250" fillId="0" borderId="0" xfId="78" applyFont="1" applyProtection="1">
      <protection locked="0"/>
    </xf>
    <xf numFmtId="0" fontId="254" fillId="0" borderId="0" xfId="85" applyFont="1" applyProtection="1">
      <protection locked="0"/>
    </xf>
    <xf numFmtId="177" fontId="11" fillId="38" borderId="102" xfId="1" applyNumberFormat="1" applyFont="1" applyFill="1" applyBorder="1" applyProtection="1"/>
    <xf numFmtId="9" fontId="8" fillId="43" borderId="65" xfId="77" applyFill="1" applyBorder="1" applyAlignment="1" applyProtection="1">
      <alignment vertical="center"/>
    </xf>
    <xf numFmtId="9" fontId="8" fillId="43" borderId="66" xfId="77" applyFill="1" applyBorder="1" applyAlignment="1" applyProtection="1">
      <alignment vertical="center"/>
    </xf>
    <xf numFmtId="9" fontId="8" fillId="43" borderId="92" xfId="77" applyFill="1" applyBorder="1" applyAlignment="1" applyProtection="1">
      <alignment vertical="center"/>
    </xf>
    <xf numFmtId="9" fontId="8" fillId="43" borderId="114" xfId="77" applyFill="1" applyBorder="1" applyAlignment="1" applyProtection="1">
      <alignment vertical="center"/>
    </xf>
    <xf numFmtId="10" fontId="0" fillId="0" borderId="64" xfId="0" applyNumberFormat="1" applyBorder="1"/>
    <xf numFmtId="3" fontId="12"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2" fillId="0" borderId="0" xfId="77" applyNumberFormat="1" applyFont="1" applyFill="1" applyBorder="1" applyAlignment="1" applyProtection="1">
      <alignment horizontal="left" indent="1"/>
    </xf>
    <xf numFmtId="0" fontId="11" fillId="0" borderId="0" xfId="77" applyNumberFormat="1" applyFont="1" applyFill="1" applyBorder="1" applyAlignment="1" applyProtection="1">
      <alignment horizontal="center"/>
    </xf>
    <xf numFmtId="175" fontId="12" fillId="0" borderId="0" xfId="77" applyNumberFormat="1" applyFont="1" applyFill="1" applyBorder="1" applyProtection="1"/>
    <xf numFmtId="175" fontId="11" fillId="38" borderId="59" xfId="77" applyNumberFormat="1" applyFont="1" applyFill="1" applyBorder="1" applyProtection="1"/>
    <xf numFmtId="175" fontId="11" fillId="38" borderId="61" xfId="77" applyNumberFormat="1" applyFont="1" applyFill="1" applyBorder="1" applyProtection="1"/>
    <xf numFmtId="177" fontId="11" fillId="38" borderId="68" xfId="1" applyNumberFormat="1" applyFont="1" applyFill="1" applyBorder="1" applyProtection="1"/>
    <xf numFmtId="177" fontId="11" fillId="38" borderId="69" xfId="1" applyNumberFormat="1" applyFont="1" applyFill="1" applyBorder="1" applyProtection="1"/>
    <xf numFmtId="0" fontId="12" fillId="53" borderId="0" xfId="77" applyNumberFormat="1" applyFont="1" applyFill="1" applyBorder="1" applyAlignment="1" applyProtection="1">
      <alignment horizontal="left" indent="1"/>
    </xf>
    <xf numFmtId="0" fontId="11" fillId="53" borderId="0" xfId="77" applyNumberFormat="1" applyFont="1" applyFill="1" applyBorder="1" applyAlignment="1" applyProtection="1">
      <alignment horizontal="center"/>
    </xf>
    <xf numFmtId="175" fontId="12" fillId="53" borderId="0" xfId="77" applyNumberFormat="1" applyFont="1" applyFill="1" applyBorder="1" applyProtection="1"/>
    <xf numFmtId="0" fontId="12" fillId="116" borderId="0" xfId="77" applyNumberFormat="1" applyFont="1" applyFill="1" applyBorder="1" applyAlignment="1" applyProtection="1">
      <alignment horizontal="left" indent="1"/>
    </xf>
    <xf numFmtId="0" fontId="11" fillId="116" borderId="0" xfId="77" applyNumberFormat="1" applyFont="1" applyFill="1" applyBorder="1" applyAlignment="1" applyProtection="1">
      <alignment horizontal="left" indent="1"/>
    </xf>
    <xf numFmtId="0" fontId="11" fillId="42" borderId="0" xfId="7" applyFont="1" applyFill="1" applyAlignment="1">
      <alignment horizontal="left" indent="1"/>
    </xf>
    <xf numFmtId="178" fontId="0" fillId="117" borderId="63" xfId="0" applyNumberFormat="1" applyFill="1" applyBorder="1" applyAlignment="1">
      <alignment horizontal="right" indent="1"/>
    </xf>
    <xf numFmtId="177" fontId="11" fillId="38" borderId="78" xfId="1" applyNumberFormat="1" applyFont="1" applyFill="1" applyBorder="1" applyProtection="1"/>
    <xf numFmtId="177" fontId="11" fillId="38" borderId="89" xfId="1" applyNumberFormat="1" applyFont="1" applyFill="1" applyBorder="1" applyProtection="1"/>
    <xf numFmtId="177" fontId="11" fillId="38" borderId="120" xfId="1" applyNumberFormat="1" applyFont="1" applyFill="1" applyBorder="1" applyProtection="1"/>
    <xf numFmtId="177" fontId="11" fillId="52" borderId="59" xfId="1" applyNumberFormat="1" applyFont="1" applyFill="1" applyBorder="1" applyProtection="1"/>
    <xf numFmtId="0" fontId="9" fillId="0" borderId="0" xfId="0" applyFont="1" applyAlignment="1" applyProtection="1">
      <alignment horizontal="left" indent="1"/>
      <protection locked="0"/>
    </xf>
    <xf numFmtId="0" fontId="9" fillId="53" borderId="0" xfId="0" applyFont="1" applyFill="1" applyAlignment="1">
      <alignment horizontal="left" vertical="top" indent="1"/>
    </xf>
    <xf numFmtId="0" fontId="0" fillId="0" borderId="0" xfId="0" applyAlignment="1" applyProtection="1">
      <alignment horizontal="left" indent="1"/>
      <protection locked="0"/>
    </xf>
    <xf numFmtId="0" fontId="9" fillId="0" borderId="0" xfId="0" applyFont="1" applyAlignment="1">
      <alignment horizontal="left" indent="1"/>
    </xf>
    <xf numFmtId="177" fontId="8" fillId="3" borderId="62" xfId="95" applyNumberFormat="1" applyFill="1" applyBorder="1" applyAlignment="1" applyProtection="1">
      <alignment vertical="center"/>
      <protection locked="0"/>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0" fontId="0" fillId="52" borderId="78" xfId="0" applyFill="1" applyBorder="1" applyAlignment="1">
      <alignment horizontal="left" vertical="center" wrapText="1" indent="1"/>
    </xf>
    <xf numFmtId="0" fontId="31" fillId="42" borderId="0" xfId="90" applyFont="1" applyFill="1" applyAlignment="1">
      <alignment horizontal="left"/>
    </xf>
    <xf numFmtId="0" fontId="11" fillId="0" borderId="0" xfId="7" applyFont="1" applyAlignment="1">
      <alignment horizontal="left" vertical="center" wrapText="1" indent="1"/>
    </xf>
    <xf numFmtId="172" fontId="11" fillId="42" borderId="0" xfId="85" applyNumberFormat="1" applyFont="1" applyFill="1" applyProtection="1">
      <protection locked="0"/>
    </xf>
    <xf numFmtId="0" fontId="0" fillId="42" borderId="0" xfId="0" applyFill="1" applyAlignment="1" applyProtection="1">
      <alignment horizontal="center" vertical="center"/>
      <protection locked="0"/>
    </xf>
    <xf numFmtId="177" fontId="12" fillId="51" borderId="71" xfId="1" applyNumberFormat="1" applyFont="1" applyFill="1" applyBorder="1" applyProtection="1"/>
    <xf numFmtId="175" fontId="11" fillId="116" borderId="71" xfId="1" applyNumberFormat="1" applyFont="1" applyFill="1" applyBorder="1" applyProtection="1"/>
    <xf numFmtId="175" fontId="11" fillId="116" borderId="72" xfId="1" applyNumberFormat="1" applyFont="1" applyFill="1" applyBorder="1" applyProtection="1"/>
    <xf numFmtId="175" fontId="11" fillId="51" borderId="71" xfId="1" applyNumberFormat="1" applyFont="1" applyFill="1" applyBorder="1" applyProtection="1"/>
    <xf numFmtId="175" fontId="11" fillId="51" borderId="72" xfId="1" applyNumberFormat="1" applyFont="1" applyFill="1" applyBorder="1" applyProtection="1"/>
    <xf numFmtId="0" fontId="272" fillId="47" borderId="0" xfId="90" applyFont="1" applyFill="1" applyAlignment="1">
      <alignment horizontal="left"/>
    </xf>
    <xf numFmtId="0" fontId="271" fillId="47" borderId="0" xfId="0" applyFont="1" applyFill="1"/>
    <xf numFmtId="0" fontId="273" fillId="47" borderId="0" xfId="92" applyFont="1" applyFill="1" applyAlignment="1">
      <alignment wrapText="1"/>
    </xf>
    <xf numFmtId="0" fontId="271" fillId="47" borderId="0" xfId="0" applyFont="1" applyFill="1" applyAlignment="1">
      <alignment wrapText="1"/>
    </xf>
    <xf numFmtId="0" fontId="271" fillId="47" borderId="0" xfId="0" applyFont="1" applyFill="1" applyAlignment="1">
      <alignment horizontal="left" indent="1"/>
    </xf>
    <xf numFmtId="0" fontId="271" fillId="47" borderId="11" xfId="0" applyFont="1" applyFill="1" applyBorder="1" applyAlignment="1">
      <alignment wrapText="1"/>
    </xf>
    <xf numFmtId="0" fontId="271" fillId="47" borderId="90" xfId="0" applyFont="1" applyFill="1" applyBorder="1" applyAlignment="1">
      <alignment wrapText="1"/>
    </xf>
    <xf numFmtId="350" fontId="0" fillId="0" borderId="0" xfId="0" applyNumberFormat="1"/>
    <xf numFmtId="0" fontId="0" fillId="0" borderId="0" xfId="0" applyProtection="1">
      <protection locked="0"/>
    </xf>
    <xf numFmtId="0" fontId="0" fillId="0" borderId="0" xfId="0" applyAlignment="1">
      <alignment horizontal="left" wrapText="1" indent="1"/>
    </xf>
    <xf numFmtId="3" fontId="11" fillId="0" borderId="100" xfId="89" applyNumberFormat="1" applyFont="1" applyBorder="1" applyAlignment="1">
      <alignment horizontal="left" indent="1"/>
    </xf>
    <xf numFmtId="348" fontId="0" fillId="0" borderId="63" xfId="0" applyNumberFormat="1" applyBorder="1" applyAlignment="1">
      <alignment horizontal="right" indent="1"/>
    </xf>
    <xf numFmtId="3" fontId="11" fillId="0" borderId="98" xfId="89" applyNumberFormat="1" applyFont="1" applyBorder="1" applyAlignment="1">
      <alignment horizontal="left" indent="1"/>
    </xf>
    <xf numFmtId="183" fontId="11" fillId="0" borderId="0" xfId="7" applyNumberFormat="1" applyFont="1" applyAlignment="1">
      <alignment horizontal="center" vertical="center"/>
    </xf>
    <xf numFmtId="0" fontId="11" fillId="42" borderId="0" xfId="7" applyFont="1" applyFill="1" applyAlignment="1">
      <alignment horizontal="center"/>
    </xf>
    <xf numFmtId="173" fontId="37" fillId="0" borderId="0" xfId="0" applyNumberFormat="1" applyFont="1" applyAlignment="1">
      <alignment vertical="center"/>
    </xf>
    <xf numFmtId="0" fontId="0" fillId="132" borderId="0" xfId="0" applyFill="1"/>
    <xf numFmtId="0" fontId="0" fillId="0" borderId="134" xfId="0" applyBorder="1"/>
    <xf numFmtId="0" fontId="0" fillId="132" borderId="134" xfId="0" applyFill="1" applyBorder="1"/>
    <xf numFmtId="0" fontId="11" fillId="0" borderId="0" xfId="0" applyFont="1"/>
    <xf numFmtId="350" fontId="11" fillId="0" borderId="0" xfId="0" applyNumberFormat="1" applyFont="1"/>
    <xf numFmtId="347" fontId="247" fillId="0" borderId="0" xfId="0" applyNumberFormat="1" applyFont="1" applyAlignment="1">
      <alignment vertical="center"/>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10" fontId="0" fillId="0" borderId="96" xfId="0" applyNumberFormat="1" applyBorder="1"/>
    <xf numFmtId="10" fontId="0" fillId="0" borderId="61" xfId="0" applyNumberFormat="1" applyBorder="1"/>
    <xf numFmtId="10" fontId="0" fillId="0" borderId="94" xfId="0" applyNumberFormat="1" applyBorder="1"/>
    <xf numFmtId="0" fontId="0" fillId="0" borderId="11" xfId="0" applyBorder="1"/>
    <xf numFmtId="0" fontId="37" fillId="0" borderId="0" xfId="0" applyFont="1"/>
    <xf numFmtId="0" fontId="0" fillId="0" borderId="0" xfId="0" applyAlignment="1" applyProtection="1">
      <alignment horizontal="center"/>
      <protection locked="0"/>
    </xf>
    <xf numFmtId="0" fontId="11" fillId="0" borderId="89" xfId="7" applyFont="1" applyBorder="1" applyAlignment="1">
      <alignment horizontal="left" vertical="center" wrapText="1" indent="1"/>
    </xf>
    <xf numFmtId="178" fontId="0" fillId="117" borderId="59" xfId="0" applyNumberFormat="1" applyFill="1" applyBorder="1" applyAlignment="1">
      <alignment horizontal="right" indent="1"/>
    </xf>
    <xf numFmtId="178" fontId="0" fillId="117" borderId="60" xfId="0" applyNumberFormat="1" applyFill="1" applyBorder="1" applyAlignment="1">
      <alignment horizontal="right" indent="1"/>
    </xf>
    <xf numFmtId="178" fontId="0" fillId="117" borderId="62" xfId="0" applyNumberFormat="1" applyFill="1" applyBorder="1" applyAlignment="1">
      <alignment horizontal="right" indent="1"/>
    </xf>
    <xf numFmtId="10" fontId="0" fillId="0" borderId="100" xfId="0" applyNumberFormat="1" applyBorder="1"/>
    <xf numFmtId="178" fontId="0" fillId="117" borderId="64" xfId="0" applyNumberFormat="1" applyFill="1" applyBorder="1" applyAlignment="1">
      <alignment horizontal="right" indent="1"/>
    </xf>
    <xf numFmtId="10" fontId="0" fillId="0" borderId="98" xfId="0" applyNumberFormat="1" applyBorder="1"/>
    <xf numFmtId="10" fontId="0" fillId="0" borderId="92" xfId="0" applyNumberFormat="1" applyBorder="1"/>
    <xf numFmtId="178" fontId="0" fillId="117" borderId="66" xfId="0" applyNumberFormat="1" applyFill="1" applyBorder="1" applyAlignment="1">
      <alignment horizontal="right" indent="1"/>
    </xf>
    <xf numFmtId="178" fontId="0" fillId="117" borderId="67" xfId="0" applyNumberFormat="1" applyFill="1" applyBorder="1" applyAlignment="1">
      <alignment horizontal="right" indent="1"/>
    </xf>
    <xf numFmtId="10" fontId="0" fillId="0" borderId="102" xfId="0" applyNumberFormat="1" applyBorder="1"/>
    <xf numFmtId="0" fontId="11" fillId="42" borderId="135" xfId="7" applyFont="1" applyFill="1" applyBorder="1" applyAlignment="1">
      <alignment horizontal="left" indent="1"/>
    </xf>
    <xf numFmtId="1" fontId="9" fillId="2" borderId="136" xfId="0" applyNumberFormat="1" applyFont="1" applyFill="1" applyBorder="1" applyAlignment="1">
      <alignment horizontal="center" vertical="center"/>
    </xf>
    <xf numFmtId="1" fontId="9" fillId="2" borderId="137" xfId="0" applyNumberFormat="1" applyFont="1" applyFill="1" applyBorder="1" applyAlignment="1">
      <alignment horizontal="center" vertical="center"/>
    </xf>
    <xf numFmtId="1" fontId="0" fillId="0" borderId="135" xfId="0" applyNumberFormat="1" applyBorder="1" applyAlignment="1">
      <alignment horizontal="left" indent="1"/>
    </xf>
    <xf numFmtId="0" fontId="0" fillId="0" borderId="138" xfId="0" applyBorder="1"/>
    <xf numFmtId="177" fontId="11" fillId="38" borderId="135" xfId="1" applyNumberFormat="1" applyFont="1" applyFill="1" applyBorder="1" applyProtection="1"/>
    <xf numFmtId="177" fontId="11" fillId="38" borderId="136" xfId="1" applyNumberFormat="1" applyFont="1" applyFill="1" applyBorder="1" applyProtection="1"/>
    <xf numFmtId="177" fontId="11" fillId="38" borderId="137" xfId="1" applyNumberFormat="1" applyFont="1" applyFill="1" applyBorder="1" applyProtection="1"/>
    <xf numFmtId="3" fontId="0" fillId="0" borderId="138" xfId="0" applyNumberFormat="1" applyBorder="1" applyAlignment="1">
      <alignment horizontal="center" vertical="center" wrapText="1"/>
    </xf>
    <xf numFmtId="0" fontId="0" fillId="0" borderId="95" xfId="0" applyBorder="1" applyAlignment="1">
      <alignment horizontal="left" vertical="center" wrapText="1" indent="1"/>
    </xf>
    <xf numFmtId="0" fontId="250" fillId="48" borderId="0" xfId="78" applyFont="1" applyFill="1" applyProtection="1">
      <protection locked="0"/>
    </xf>
    <xf numFmtId="0" fontId="251" fillId="48" borderId="0" xfId="78" applyFont="1" applyFill="1" applyProtection="1">
      <protection locked="0"/>
    </xf>
    <xf numFmtId="0" fontId="249" fillId="48" borderId="0" xfId="78" applyFont="1" applyFill="1" applyAlignment="1" applyProtection="1">
      <alignment horizontal="left"/>
      <protection locked="0"/>
    </xf>
    <xf numFmtId="177" fontId="11" fillId="38" borderId="76" xfId="1" applyNumberFormat="1" applyFont="1" applyFill="1" applyBorder="1" applyProtection="1"/>
    <xf numFmtId="177" fontId="12" fillId="38" borderId="139" xfId="1" applyNumberFormat="1" applyFont="1" applyFill="1" applyBorder="1" applyProtection="1"/>
    <xf numFmtId="177" fontId="12" fillId="38" borderId="140" xfId="1" applyNumberFormat="1" applyFont="1" applyFill="1" applyBorder="1" applyProtection="1"/>
    <xf numFmtId="177" fontId="12" fillId="38" borderId="141" xfId="1" applyNumberFormat="1" applyFont="1" applyFill="1" applyBorder="1" applyProtection="1"/>
    <xf numFmtId="0" fontId="0" fillId="0" borderId="142" xfId="0" applyBorder="1"/>
    <xf numFmtId="175" fontId="12" fillId="38" borderId="139" xfId="77" applyNumberFormat="1" applyFont="1" applyFill="1" applyBorder="1" applyProtection="1"/>
    <xf numFmtId="175" fontId="12" fillId="38" borderId="141" xfId="77" applyNumberFormat="1" applyFont="1" applyFill="1" applyBorder="1" applyProtection="1"/>
    <xf numFmtId="175" fontId="12" fillId="38" borderId="140" xfId="77" applyNumberFormat="1" applyFont="1" applyFill="1" applyBorder="1" applyProtection="1"/>
    <xf numFmtId="175" fontId="11" fillId="38" borderId="77" xfId="77" applyNumberFormat="1" applyFont="1" applyFill="1" applyBorder="1" applyProtection="1"/>
    <xf numFmtId="175" fontId="12" fillId="38" borderId="143" xfId="77" applyNumberFormat="1" applyFont="1" applyFill="1" applyBorder="1" applyProtection="1"/>
    <xf numFmtId="175" fontId="11"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72" fillId="0" borderId="0" xfId="90" applyFont="1" applyAlignment="1">
      <alignment horizontal="left"/>
    </xf>
    <xf numFmtId="0" fontId="271" fillId="0" borderId="0" xfId="0" applyFont="1"/>
    <xf numFmtId="0" fontId="271" fillId="0" borderId="0" xfId="0" applyFont="1" applyAlignment="1">
      <alignment wrapText="1"/>
    </xf>
    <xf numFmtId="0" fontId="11" fillId="0" borderId="11" xfId="77" applyNumberFormat="1" applyFont="1" applyFill="1" applyBorder="1" applyAlignment="1" applyProtection="1">
      <alignment horizontal="center"/>
    </xf>
    <xf numFmtId="0" fontId="11" fillId="51" borderId="0" xfId="77" applyNumberFormat="1" applyFont="1" applyFill="1" applyBorder="1" applyAlignment="1" applyProtection="1">
      <alignment horizontal="left" indent="1"/>
    </xf>
    <xf numFmtId="0" fontId="12" fillId="51" borderId="0" xfId="77" applyNumberFormat="1" applyFont="1" applyFill="1" applyBorder="1" applyAlignment="1" applyProtection="1">
      <alignment horizontal="left" indent="1"/>
    </xf>
    <xf numFmtId="3" fontId="0" fillId="0" borderId="135" xfId="0" applyNumberFormat="1" applyBorder="1" applyAlignment="1">
      <alignment horizontal="center" vertical="center" wrapText="1"/>
    </xf>
    <xf numFmtId="0" fontId="0" fillId="0" borderId="100" xfId="0" applyBorder="1" applyAlignment="1">
      <alignment horizontal="left" vertical="center" wrapText="1" indent="1"/>
    </xf>
    <xf numFmtId="184" fontId="11" fillId="3" borderId="0" xfId="0" applyNumberFormat="1" applyFont="1" applyFill="1" applyAlignment="1" applyProtection="1">
      <alignment horizontal="left" vertical="center" indent="1"/>
      <protection locked="0"/>
    </xf>
    <xf numFmtId="10" fontId="0" fillId="0" borderId="0" xfId="0" applyNumberFormat="1"/>
    <xf numFmtId="178" fontId="0" fillId="0" borderId="142" xfId="0" applyNumberFormat="1" applyBorder="1" applyAlignment="1">
      <alignment horizontal="right" indent="1"/>
    </xf>
    <xf numFmtId="178" fontId="0" fillId="117" borderId="86" xfId="0" applyNumberFormat="1" applyFill="1" applyBorder="1" applyAlignment="1">
      <alignment horizontal="right" indent="1"/>
    </xf>
    <xf numFmtId="10" fontId="0" fillId="0" borderId="145" xfId="0" applyNumberFormat="1" applyBorder="1"/>
    <xf numFmtId="1" fontId="9" fillId="53" borderId="148" xfId="0" applyNumberFormat="1" applyFont="1" applyFill="1" applyBorder="1" applyAlignment="1">
      <alignment horizontal="center" vertical="center"/>
    </xf>
    <xf numFmtId="1" fontId="9" fillId="53" borderId="149" xfId="0" applyNumberFormat="1" applyFont="1" applyFill="1" applyBorder="1" applyAlignment="1">
      <alignment horizontal="center" vertical="center"/>
    </xf>
    <xf numFmtId="178" fontId="0" fillId="117" borderId="151" xfId="0" applyNumberFormat="1" applyFill="1" applyBorder="1" applyAlignment="1">
      <alignment horizontal="right" indent="1"/>
    </xf>
    <xf numFmtId="10" fontId="0" fillId="0" borderId="152" xfId="0" applyNumberFormat="1" applyBorder="1"/>
    <xf numFmtId="3" fontId="11" fillId="0" borderId="150" xfId="89" applyNumberFormat="1" applyFont="1" applyBorder="1" applyAlignment="1">
      <alignment horizontal="left" indent="1"/>
    </xf>
    <xf numFmtId="0" fontId="0" fillId="0" borderId="151" xfId="0" applyBorder="1" applyAlignment="1">
      <alignment horizontal="center"/>
    </xf>
    <xf numFmtId="3" fontId="11" fillId="0" borderId="144" xfId="89" applyNumberFormat="1" applyFont="1" applyBorder="1" applyAlignment="1">
      <alignment horizontal="left" indent="1"/>
    </xf>
    <xf numFmtId="3" fontId="11" fillId="0" borderId="154" xfId="89" applyNumberFormat="1" applyFont="1" applyBorder="1" applyAlignment="1">
      <alignment horizontal="left" indent="1"/>
    </xf>
    <xf numFmtId="0" fontId="0" fillId="0" borderId="146" xfId="0" applyBorder="1" applyAlignment="1">
      <alignment horizontal="center"/>
    </xf>
    <xf numFmtId="0" fontId="11" fillId="0" borderId="147" xfId="7" applyFont="1" applyBorder="1" applyAlignment="1">
      <alignment horizontal="left" indent="1"/>
    </xf>
    <xf numFmtId="10" fontId="0" fillId="0" borderId="156" xfId="0" applyNumberFormat="1" applyBorder="1"/>
    <xf numFmtId="0" fontId="0" fillId="0" borderId="149" xfId="0" applyBorder="1"/>
    <xf numFmtId="0" fontId="0" fillId="0" borderId="157" xfId="0" applyBorder="1"/>
    <xf numFmtId="0" fontId="0" fillId="0" borderId="158" xfId="0" applyBorder="1" applyAlignment="1">
      <alignment horizontal="center" vertical="center" wrapText="1"/>
    </xf>
    <xf numFmtId="0" fontId="11" fillId="0" borderId="159"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0" fontId="0" fillId="0" borderId="0" xfId="0" applyAlignment="1" applyProtection="1">
      <alignment horizontal="left" vertical="center"/>
      <protection locked="0"/>
    </xf>
    <xf numFmtId="0" fontId="35" fillId="0" borderId="0" xfId="92" quotePrefix="1" applyAlignment="1">
      <alignment horizontal="left" indent="1"/>
    </xf>
    <xf numFmtId="0" fontId="0" fillId="0" borderId="142" xfId="0" applyBorder="1" applyAlignment="1" applyProtection="1">
      <alignment horizontal="center" vertical="center"/>
      <protection locked="0"/>
    </xf>
    <xf numFmtId="351" fontId="0" fillId="0" borderId="142"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1" fillId="0" borderId="6" xfId="7" applyFont="1" applyBorder="1" applyAlignment="1">
      <alignment horizontal="left" indent="1"/>
    </xf>
    <xf numFmtId="0" fontId="11" fillId="36" borderId="6" xfId="75" applyFont="1" applyFill="1" applyBorder="1" applyAlignment="1">
      <alignment horizontal="right" vertical="center"/>
    </xf>
    <xf numFmtId="0" fontId="26" fillId="36" borderId="6" xfId="75" applyFont="1" applyFill="1" applyBorder="1"/>
    <xf numFmtId="1" fontId="11" fillId="38" borderId="6" xfId="1" applyNumberFormat="1" applyFont="1" applyFill="1" applyBorder="1" applyAlignment="1" applyProtection="1">
      <alignment horizontal="right" vertical="center"/>
    </xf>
    <xf numFmtId="0" fontId="26" fillId="38" borderId="6" xfId="75" applyFont="1" applyFill="1" applyBorder="1"/>
    <xf numFmtId="0" fontId="11" fillId="0" borderId="6" xfId="7" applyFont="1" applyBorder="1" applyAlignment="1">
      <alignment horizontal="left" wrapText="1" indent="1"/>
    </xf>
    <xf numFmtId="0" fontId="11" fillId="36" borderId="6" xfId="75" applyFont="1" applyFill="1" applyBorder="1" applyAlignment="1">
      <alignment vertical="center"/>
    </xf>
    <xf numFmtId="0" fontId="26" fillId="39" borderId="6" xfId="75" applyFont="1" applyFill="1" applyBorder="1"/>
    <xf numFmtId="0" fontId="26" fillId="40" borderId="6" xfId="75" applyFont="1" applyFill="1" applyBorder="1"/>
    <xf numFmtId="180" fontId="11" fillId="36" borderId="6" xfId="75" applyNumberFormat="1" applyFont="1" applyFill="1" applyBorder="1" applyAlignment="1">
      <alignment vertical="center"/>
    </xf>
    <xf numFmtId="0" fontId="26" fillId="37" borderId="6" xfId="75" applyFont="1" applyFill="1" applyBorder="1"/>
    <xf numFmtId="0" fontId="26" fillId="41" borderId="6" xfId="75" applyFont="1" applyFill="1" applyBorder="1"/>
    <xf numFmtId="0" fontId="26" fillId="0" borderId="6" xfId="75" applyFont="1" applyBorder="1"/>
    <xf numFmtId="0" fontId="271" fillId="47" borderId="142" xfId="0" applyFont="1" applyFill="1" applyBorder="1" applyAlignment="1">
      <alignment wrapText="1"/>
    </xf>
    <xf numFmtId="175" fontId="11"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1"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1" fillId="42" borderId="6" xfId="7" applyNumberFormat="1" applyFont="1" applyFill="1" applyBorder="1" applyAlignment="1">
      <alignment horizontal="center" vertical="center"/>
    </xf>
    <xf numFmtId="0" fontId="9" fillId="2" borderId="6" xfId="0" applyFont="1" applyFill="1" applyBorder="1" applyAlignment="1">
      <alignment horizontal="center" vertical="center"/>
    </xf>
    <xf numFmtId="0" fontId="12" fillId="2" borderId="6" xfId="7" applyFont="1" applyFill="1" applyBorder="1" applyAlignment="1">
      <alignment horizontal="center" vertical="center"/>
    </xf>
    <xf numFmtId="0" fontId="0" fillId="0" borderId="6" xfId="0" applyBorder="1" applyAlignment="1">
      <alignment wrapText="1"/>
    </xf>
    <xf numFmtId="0" fontId="11"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34" fillId="0" borderId="6" xfId="75" applyFont="1" applyBorder="1" applyAlignment="1">
      <alignment horizontal="center" vertical="center"/>
    </xf>
    <xf numFmtId="0" fontId="25" fillId="0" borderId="6" xfId="75" applyFont="1" applyBorder="1" applyAlignment="1">
      <alignment horizontal="center"/>
    </xf>
    <xf numFmtId="180" fontId="11" fillId="36" borderId="6" xfId="75" applyNumberFormat="1" applyFont="1" applyFill="1" applyBorder="1"/>
    <xf numFmtId="177" fontId="11" fillId="38" borderId="6" xfId="1" applyNumberFormat="1" applyFont="1" applyFill="1" applyBorder="1" applyProtection="1"/>
    <xf numFmtId="172" fontId="11" fillId="3" borderId="6" xfId="85" applyNumberFormat="1" applyFont="1" applyFill="1" applyBorder="1" applyProtection="1">
      <protection locked="0"/>
    </xf>
    <xf numFmtId="177" fontId="11" fillId="38" borderId="6" xfId="1" applyNumberFormat="1" applyFont="1" applyFill="1" applyBorder="1" applyAlignment="1" applyProtection="1">
      <alignment horizontal="right"/>
    </xf>
    <xf numFmtId="9" fontId="10" fillId="0" borderId="6" xfId="77" applyFont="1" applyFill="1" applyBorder="1" applyAlignment="1">
      <alignment horizontal="center" vertical="center"/>
    </xf>
    <xf numFmtId="10" fontId="0" fillId="0" borderId="103" xfId="0" applyNumberFormat="1" applyBorder="1"/>
    <xf numFmtId="10" fontId="0" fillId="0" borderId="110" xfId="0" applyNumberFormat="1" applyBorder="1"/>
    <xf numFmtId="10" fontId="0" fillId="0" borderId="6" xfId="0" applyNumberFormat="1" applyBorder="1"/>
    <xf numFmtId="177" fontId="12" fillId="51" borderId="139" xfId="1" applyNumberFormat="1" applyFont="1" applyFill="1" applyBorder="1" applyProtection="1"/>
    <xf numFmtId="177" fontId="0" fillId="0" borderId="0" xfId="0" applyNumberFormat="1" applyAlignment="1" applyProtection="1">
      <alignment horizontal="center" vertical="center"/>
      <protection locked="0"/>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42" xfId="0" applyFill="1" applyBorder="1"/>
    <xf numFmtId="3" fontId="0" fillId="52" borderId="90" xfId="0" applyNumberFormat="1" applyFill="1" applyBorder="1"/>
    <xf numFmtId="3" fontId="11" fillId="51" borderId="0" xfId="1" applyNumberFormat="1" applyFont="1" applyFill="1" applyBorder="1" applyAlignment="1" applyProtection="1">
      <alignment horizontal="left" indent="1"/>
    </xf>
    <xf numFmtId="3" fontId="11" fillId="51" borderId="0" xfId="77" applyNumberFormat="1" applyFont="1" applyFill="1" applyBorder="1" applyAlignment="1" applyProtection="1">
      <alignment horizontal="left" indent="1"/>
    </xf>
    <xf numFmtId="0" fontId="272" fillId="47" borderId="166" xfId="90" applyFont="1" applyFill="1" applyBorder="1" applyAlignment="1">
      <alignment horizontal="left"/>
    </xf>
    <xf numFmtId="0" fontId="271" fillId="47" borderId="167" xfId="0" applyFont="1" applyFill="1" applyBorder="1" applyAlignment="1">
      <alignment wrapText="1"/>
    </xf>
    <xf numFmtId="0" fontId="0" fillId="52" borderId="166" xfId="0" applyFill="1" applyBorder="1" applyAlignment="1">
      <alignment horizontal="center" wrapText="1"/>
    </xf>
    <xf numFmtId="0" fontId="0" fillId="52" borderId="167" xfId="0" applyFill="1" applyBorder="1"/>
    <xf numFmtId="0" fontId="245" fillId="46" borderId="0" xfId="48239" applyFont="1" applyFill="1" applyAlignment="1">
      <alignment horizontal="center" vertical="top" wrapText="1"/>
    </xf>
    <xf numFmtId="9" fontId="9" fillId="43" borderId="65" xfId="77" applyFont="1" applyFill="1" applyBorder="1" applyAlignment="1" applyProtection="1">
      <alignment vertical="center"/>
    </xf>
    <xf numFmtId="9" fontId="9" fillId="43" borderId="66" xfId="77" applyFont="1" applyFill="1" applyBorder="1" applyAlignment="1" applyProtection="1">
      <alignment vertical="center"/>
    </xf>
    <xf numFmtId="9" fontId="9" fillId="43" borderId="92" xfId="77" applyFont="1" applyFill="1" applyBorder="1" applyAlignment="1" applyProtection="1">
      <alignment vertical="center"/>
    </xf>
    <xf numFmtId="9" fontId="9" fillId="43" borderId="114" xfId="77" applyFont="1" applyFill="1" applyBorder="1" applyAlignment="1" applyProtection="1">
      <alignment vertical="center"/>
    </xf>
    <xf numFmtId="0" fontId="2" fillId="0" borderId="0" xfId="51698"/>
    <xf numFmtId="0" fontId="8" fillId="0" borderId="0" xfId="51698" applyFont="1"/>
    <xf numFmtId="0" fontId="0" fillId="0" borderId="180" xfId="0" applyBorder="1"/>
    <xf numFmtId="0" fontId="0" fillId="0" borderId="89" xfId="0" applyBorder="1"/>
    <xf numFmtId="0" fontId="0" fillId="0" borderId="90" xfId="0" applyBorder="1"/>
    <xf numFmtId="0" fontId="295" fillId="137" borderId="0" xfId="51698" applyFont="1" applyFill="1"/>
    <xf numFmtId="0" fontId="293" fillId="47" borderId="0" xfId="51698" applyFont="1" applyFill="1"/>
    <xf numFmtId="0" fontId="294" fillId="47" borderId="0" xfId="51698" applyFont="1" applyFill="1"/>
    <xf numFmtId="0" fontId="293" fillId="47" borderId="142" xfId="51698" applyFont="1" applyFill="1" applyBorder="1"/>
    <xf numFmtId="0" fontId="294" fillId="47" borderId="142" xfId="51698" applyFont="1" applyFill="1" applyBorder="1"/>
    <xf numFmtId="0" fontId="294" fillId="47" borderId="11" xfId="51698" applyFont="1" applyFill="1" applyBorder="1"/>
    <xf numFmtId="0" fontId="294" fillId="47" borderId="90" xfId="51698" applyFont="1" applyFill="1" applyBorder="1"/>
    <xf numFmtId="0" fontId="0" fillId="101" borderId="0" xfId="0" applyFill="1"/>
    <xf numFmtId="0" fontId="9" fillId="53" borderId="177" xfId="0" applyFont="1" applyFill="1" applyBorder="1" applyAlignment="1">
      <alignment wrapText="1"/>
    </xf>
    <xf numFmtId="0" fontId="9" fillId="53" borderId="178" xfId="0" applyFont="1" applyFill="1" applyBorder="1" applyAlignment="1">
      <alignment wrapText="1"/>
    </xf>
    <xf numFmtId="14" fontId="9" fillId="53" borderId="177" xfId="0" applyNumberFormat="1" applyFont="1" applyFill="1" applyBorder="1" applyAlignment="1">
      <alignment wrapText="1"/>
    </xf>
    <xf numFmtId="355" fontId="9" fillId="53" borderId="177" xfId="77" applyNumberFormat="1" applyFont="1" applyFill="1" applyBorder="1" applyAlignment="1">
      <alignment wrapText="1"/>
    </xf>
    <xf numFmtId="0" fontId="9" fillId="53" borderId="181" xfId="0" applyFont="1" applyFill="1" applyBorder="1" applyAlignment="1">
      <alignment wrapText="1"/>
    </xf>
    <xf numFmtId="0" fontId="251" fillId="0" borderId="0" xfId="78" applyFont="1" applyProtection="1">
      <protection locked="0"/>
    </xf>
    <xf numFmtId="0" fontId="249" fillId="0" borderId="0" xfId="79" applyFont="1" applyAlignment="1" applyProtection="1">
      <alignment horizontal="left"/>
      <protection locked="0"/>
    </xf>
    <xf numFmtId="0" fontId="0" fillId="0" borderId="6" xfId="0" applyBorder="1" applyAlignment="1">
      <alignment vertical="center" wrapText="1"/>
    </xf>
    <xf numFmtId="15" fontId="245" fillId="46" borderId="179" xfId="48239" applyNumberFormat="1" applyFont="1" applyFill="1" applyBorder="1" applyAlignment="1">
      <alignment horizontal="center" vertical="top" wrapText="1"/>
    </xf>
    <xf numFmtId="0" fontId="245" fillId="46" borderId="179" xfId="48239" applyFont="1" applyFill="1" applyBorder="1" applyAlignment="1">
      <alignment vertical="top" wrapText="1"/>
    </xf>
    <xf numFmtId="0" fontId="245" fillId="46" borderId="179" xfId="48239" applyFont="1" applyFill="1" applyBorder="1" applyAlignment="1">
      <alignment horizontal="center" vertical="top" wrapText="1"/>
    </xf>
    <xf numFmtId="0" fontId="0" fillId="0" borderId="6" xfId="0" applyBorder="1" applyAlignment="1">
      <alignment horizontal="left" vertical="top" wrapText="1" indent="1"/>
    </xf>
    <xf numFmtId="0" fontId="0" fillId="0" borderId="6" xfId="0" applyBorder="1" applyAlignment="1">
      <alignment vertical="top" wrapText="1"/>
    </xf>
    <xf numFmtId="0" fontId="0" fillId="0" borderId="6" xfId="0" applyBorder="1" applyAlignment="1">
      <alignment vertical="top"/>
    </xf>
    <xf numFmtId="178" fontId="0" fillId="0" borderId="6" xfId="0" applyNumberFormat="1" applyBorder="1" applyAlignment="1">
      <alignment horizontal="center" vertical="center"/>
    </xf>
    <xf numFmtId="178" fontId="11" fillId="0" borderId="6" xfId="7" applyNumberFormat="1" applyFont="1" applyBorder="1" applyAlignment="1">
      <alignment horizontal="center" vertical="center"/>
    </xf>
    <xf numFmtId="178" fontId="0" fillId="0" borderId="134" xfId="0" applyNumberFormat="1" applyBorder="1" applyAlignment="1">
      <alignment horizontal="center" vertical="center"/>
    </xf>
    <xf numFmtId="172" fontId="11" fillId="0" borderId="0" xfId="85" applyNumberFormat="1" applyFont="1" applyProtection="1">
      <protection locked="0"/>
    </xf>
    <xf numFmtId="172" fontId="11" fillId="0" borderId="107" xfId="85" applyNumberFormat="1" applyFont="1" applyBorder="1" applyProtection="1">
      <protection locked="0"/>
    </xf>
    <xf numFmtId="172" fontId="11" fillId="3" borderId="0" xfId="85" applyNumberFormat="1" applyFont="1" applyFill="1" applyProtection="1">
      <protection locked="0"/>
    </xf>
    <xf numFmtId="0" fontId="248" fillId="0" borderId="0" xfId="0" applyFont="1" applyAlignment="1">
      <alignment horizontal="center" vertical="center"/>
    </xf>
    <xf numFmtId="3" fontId="11" fillId="0" borderId="6" xfId="89" applyNumberFormat="1" applyFont="1" applyBorder="1" applyAlignment="1">
      <alignment horizontal="left" indent="1"/>
    </xf>
    <xf numFmtId="0" fontId="12" fillId="0" borderId="6" xfId="7" applyFont="1" applyBorder="1" applyAlignment="1">
      <alignment horizontal="left" indent="1"/>
    </xf>
    <xf numFmtId="178" fontId="11" fillId="38" borderId="6" xfId="1" applyNumberFormat="1" applyFont="1" applyFill="1" applyBorder="1" applyAlignment="1">
      <alignment horizontal="right" vertical="center"/>
    </xf>
    <xf numFmtId="3" fontId="11" fillId="139" borderId="6" xfId="89" applyNumberFormat="1" applyFont="1" applyFill="1" applyBorder="1" applyAlignment="1">
      <alignment horizontal="left" indent="1"/>
    </xf>
    <xf numFmtId="184" fontId="11" fillId="139" borderId="6" xfId="89" applyNumberFormat="1" applyFont="1" applyFill="1" applyBorder="1" applyAlignment="1">
      <alignment horizontal="left" indent="1"/>
    </xf>
    <xf numFmtId="177" fontId="0" fillId="42" borderId="59" xfId="0" applyNumberFormat="1" applyFill="1" applyBorder="1" applyAlignment="1">
      <alignment horizontal="right" vertical="top"/>
    </xf>
    <xf numFmtId="169" fontId="0" fillId="0" borderId="0" xfId="0" applyNumberFormat="1"/>
    <xf numFmtId="0" fontId="290" fillId="0" borderId="0" xfId="0" applyFont="1"/>
    <xf numFmtId="0" fontId="290" fillId="0" borderId="0" xfId="0" applyFont="1" applyAlignment="1">
      <alignment horizontal="left" indent="1"/>
    </xf>
    <xf numFmtId="178" fontId="0" fillId="52" borderId="63" xfId="0" applyNumberFormat="1" applyFill="1" applyBorder="1" applyAlignment="1">
      <alignment horizontal="right" indent="1"/>
    </xf>
    <xf numFmtId="0" fontId="271" fillId="0" borderId="0" xfId="0" applyFont="1" applyAlignment="1">
      <alignment horizontal="left" indent="1"/>
    </xf>
    <xf numFmtId="0" fontId="26" fillId="0" borderId="0" xfId="75" applyFont="1" applyProtection="1">
      <protection locked="0"/>
    </xf>
    <xf numFmtId="0" fontId="26" fillId="0" borderId="0" xfId="75" applyFont="1" applyAlignment="1">
      <alignment horizontal="left" indent="1"/>
    </xf>
    <xf numFmtId="0" fontId="26" fillId="0" borderId="0" xfId="75" applyFont="1" applyAlignment="1">
      <alignment horizontal="left" vertical="center" indent="1"/>
    </xf>
    <xf numFmtId="0" fontId="11" fillId="0" borderId="0" xfId="7" applyFont="1" applyAlignment="1">
      <alignment horizontal="left" indent="1"/>
    </xf>
    <xf numFmtId="0" fontId="272" fillId="47" borderId="180" xfId="90" applyFont="1" applyFill="1" applyBorder="1" applyAlignment="1">
      <alignment horizontal="left"/>
    </xf>
    <xf numFmtId="0" fontId="0" fillId="52" borderId="180" xfId="0" applyFill="1" applyBorder="1" applyAlignment="1">
      <alignment horizontal="center" wrapText="1"/>
    </xf>
    <xf numFmtId="169" fontId="248" fillId="0" borderId="0" xfId="0" applyNumberFormat="1" applyFont="1"/>
    <xf numFmtId="9" fontId="8" fillId="43" borderId="86" xfId="77" applyFill="1" applyBorder="1" applyAlignment="1" applyProtection="1">
      <alignment vertical="center"/>
    </xf>
    <xf numFmtId="0" fontId="254" fillId="0" borderId="185" xfId="85" applyFont="1" applyBorder="1" applyProtection="1">
      <protection locked="0"/>
    </xf>
    <xf numFmtId="9" fontId="8" fillId="43" borderId="187" xfId="77" applyFill="1" applyBorder="1" applyAlignment="1" applyProtection="1">
      <alignment vertical="center"/>
    </xf>
    <xf numFmtId="0" fontId="271" fillId="47" borderId="130" xfId="0" applyFont="1" applyFill="1" applyBorder="1" applyAlignment="1">
      <alignment wrapText="1"/>
    </xf>
    <xf numFmtId="0" fontId="0" fillId="52" borderId="130" xfId="0" applyFill="1" applyBorder="1"/>
    <xf numFmtId="0" fontId="0" fillId="0" borderId="130" xfId="0" applyBorder="1" applyAlignment="1" applyProtection="1">
      <alignment horizontal="center" vertical="center"/>
      <protection locked="0"/>
    </xf>
    <xf numFmtId="0" fontId="272" fillId="47" borderId="166" xfId="90" applyFont="1" applyFill="1" applyBorder="1" applyAlignment="1" applyProtection="1">
      <alignment horizontal="left"/>
      <protection locked="0"/>
    </xf>
    <xf numFmtId="0" fontId="272" fillId="47" borderId="130" xfId="90" applyFont="1" applyFill="1" applyBorder="1" applyAlignment="1" applyProtection="1">
      <alignment horizontal="left" indent="1"/>
      <protection locked="0"/>
    </xf>
    <xf numFmtId="0" fontId="272" fillId="47" borderId="130" xfId="90" applyFont="1" applyFill="1" applyBorder="1" applyAlignment="1" applyProtection="1">
      <alignment horizontal="left"/>
      <protection locked="0"/>
    </xf>
    <xf numFmtId="0" fontId="31" fillId="47" borderId="130" xfId="90" applyFont="1" applyFill="1" applyBorder="1" applyAlignment="1" applyProtection="1">
      <alignment horizontal="left"/>
      <protection locked="0"/>
    </xf>
    <xf numFmtId="0" fontId="33" fillId="47" borderId="130" xfId="75" applyFont="1" applyFill="1" applyBorder="1" applyProtection="1">
      <protection locked="0"/>
    </xf>
    <xf numFmtId="0" fontId="272" fillId="47" borderId="180" xfId="90" applyFont="1" applyFill="1" applyBorder="1" applyAlignment="1" applyProtection="1">
      <alignment horizontal="left"/>
      <protection locked="0"/>
    </xf>
    <xf numFmtId="0" fontId="272" fillId="47" borderId="0" xfId="90" applyFont="1" applyFill="1" applyAlignment="1" applyProtection="1">
      <alignment horizontal="left" indent="1"/>
      <protection locked="0"/>
    </xf>
    <xf numFmtId="0" fontId="272" fillId="47" borderId="0" xfId="90" applyFont="1" applyFill="1" applyAlignment="1" applyProtection="1">
      <alignment horizontal="left"/>
      <protection locked="0"/>
    </xf>
    <xf numFmtId="0" fontId="31" fillId="47" borderId="0" xfId="90" applyFont="1" applyFill="1" applyAlignment="1" applyProtection="1">
      <alignment horizontal="left"/>
      <protection locked="0"/>
    </xf>
    <xf numFmtId="0" fontId="33" fillId="47" borderId="0" xfId="75" applyFont="1" applyFill="1" applyProtection="1">
      <protection locked="0"/>
    </xf>
    <xf numFmtId="0" fontId="33" fillId="47" borderId="11" xfId="75" applyFont="1" applyFill="1" applyBorder="1" applyProtection="1">
      <protection locked="0"/>
    </xf>
    <xf numFmtId="0" fontId="31" fillId="47" borderId="142" xfId="90" applyFont="1" applyFill="1" applyBorder="1" applyAlignment="1" applyProtection="1">
      <alignment horizontal="left"/>
      <protection locked="0"/>
    </xf>
    <xf numFmtId="0" fontId="33" fillId="47" borderId="142" xfId="75" applyFont="1" applyFill="1" applyBorder="1" applyProtection="1">
      <protection locked="0"/>
    </xf>
    <xf numFmtId="0" fontId="33" fillId="47" borderId="90" xfId="75" applyFont="1" applyFill="1" applyBorder="1" applyProtection="1">
      <protection locked="0"/>
    </xf>
    <xf numFmtId="0" fontId="0" fillId="0" borderId="71" xfId="0" applyBorder="1" applyAlignment="1" applyProtection="1">
      <alignment horizontal="center" vertical="top"/>
      <protection locked="0"/>
    </xf>
    <xf numFmtId="0" fontId="0" fillId="0" borderId="0" xfId="0" applyAlignment="1" applyProtection="1">
      <alignment horizontal="left" vertical="top"/>
      <protection locked="0"/>
    </xf>
    <xf numFmtId="0" fontId="9" fillId="2" borderId="71" xfId="0" applyFont="1" applyFill="1" applyBorder="1" applyAlignment="1" applyProtection="1">
      <alignment horizontal="center" vertical="center"/>
      <protection locked="0"/>
    </xf>
    <xf numFmtId="0" fontId="0" fillId="0" borderId="0" xfId="0" applyAlignment="1" applyProtection="1">
      <alignment vertical="center"/>
      <protection locked="0"/>
    </xf>
    <xf numFmtId="1" fontId="9" fillId="2" borderId="59" xfId="0" applyNumberFormat="1" applyFont="1" applyFill="1" applyBorder="1" applyAlignment="1" applyProtection="1">
      <alignment horizontal="center" vertical="center" wrapText="1"/>
      <protection locked="0"/>
    </xf>
    <xf numFmtId="1" fontId="9" fillId="2" borderId="59" xfId="0" applyNumberFormat="1" applyFont="1" applyFill="1" applyBorder="1" applyAlignment="1" applyProtection="1">
      <alignment horizontal="center" vertical="center"/>
      <protection locked="0"/>
    </xf>
    <xf numFmtId="0" fontId="0" fillId="53" borderId="0" xfId="0" applyFill="1" applyProtection="1">
      <protection locked="0"/>
    </xf>
    <xf numFmtId="0" fontId="0" fillId="0" borderId="0" xfId="0" applyAlignment="1" applyProtection="1">
      <alignment horizontal="right" vertical="top" indent="1"/>
      <protection locked="0"/>
    </xf>
    <xf numFmtId="0" fontId="30" fillId="0" borderId="0" xfId="0" applyFont="1" applyProtection="1">
      <protection locked="0"/>
    </xf>
    <xf numFmtId="0" fontId="0" fillId="51" borderId="0" xfId="0" applyFill="1" applyAlignment="1" applyProtection="1">
      <alignment horizontal="left" indent="1"/>
      <protection locked="0"/>
    </xf>
    <xf numFmtId="0" fontId="272" fillId="47" borderId="130" xfId="90" applyFont="1" applyFill="1" applyBorder="1" applyAlignment="1">
      <alignment horizontal="left" indent="1"/>
    </xf>
    <xf numFmtId="0" fontId="272" fillId="47" borderId="130" xfId="90" applyFont="1" applyFill="1" applyBorder="1" applyAlignment="1">
      <alignment horizontal="left"/>
    </xf>
    <xf numFmtId="0" fontId="31" fillId="47" borderId="130" xfId="90" applyFont="1" applyFill="1" applyBorder="1" applyAlignment="1">
      <alignment horizontal="left"/>
    </xf>
    <xf numFmtId="0" fontId="33" fillId="47" borderId="130" xfId="75" applyFont="1" applyFill="1" applyBorder="1"/>
    <xf numFmtId="0" fontId="32" fillId="47" borderId="167" xfId="75" applyFont="1" applyFill="1" applyBorder="1"/>
    <xf numFmtId="0" fontId="272" fillId="47" borderId="0" xfId="90" applyFont="1" applyFill="1" applyAlignment="1">
      <alignment horizontal="left" indent="1"/>
    </xf>
    <xf numFmtId="0" fontId="33" fillId="47" borderId="0" xfId="75" applyFont="1" applyFill="1"/>
    <xf numFmtId="0" fontId="33" fillId="47" borderId="11" xfId="75" applyFont="1" applyFill="1" applyBorder="1"/>
    <xf numFmtId="0" fontId="31" fillId="47" borderId="142" xfId="90" applyFont="1" applyFill="1" applyBorder="1" applyAlignment="1">
      <alignment horizontal="left"/>
    </xf>
    <xf numFmtId="0" fontId="33" fillId="47" borderId="142" xfId="75" applyFont="1" applyFill="1" applyBorder="1"/>
    <xf numFmtId="0" fontId="33" fillId="47" borderId="90" xfId="75" applyFont="1" applyFill="1" applyBorder="1"/>
    <xf numFmtId="0" fontId="0" fillId="0" borderId="71" xfId="0" applyBorder="1" applyAlignment="1">
      <alignment horizontal="center" vertical="top"/>
    </xf>
    <xf numFmtId="0" fontId="0" fillId="0" borderId="0" xfId="0" applyAlignment="1">
      <alignment horizontal="left" vertical="top"/>
    </xf>
    <xf numFmtId="1" fontId="0" fillId="0" borderId="0" xfId="0" applyNumberFormat="1" applyAlignment="1">
      <alignment horizontal="right"/>
    </xf>
    <xf numFmtId="0" fontId="9" fillId="2" borderId="71" xfId="0" applyFont="1" applyFill="1" applyBorder="1" applyAlignment="1">
      <alignment horizontal="center" vertical="center"/>
    </xf>
    <xf numFmtId="1" fontId="9" fillId="2" borderId="59" xfId="0" applyNumberFormat="1" applyFont="1" applyFill="1" applyBorder="1" applyAlignment="1">
      <alignment horizontal="center" vertical="center" wrapText="1"/>
    </xf>
    <xf numFmtId="1" fontId="9" fillId="2" borderId="61" xfId="0" applyNumberFormat="1" applyFont="1" applyFill="1" applyBorder="1" applyAlignment="1">
      <alignment horizontal="center" vertical="center" wrapText="1"/>
    </xf>
    <xf numFmtId="1" fontId="9" fillId="2" borderId="59" xfId="0" applyNumberFormat="1" applyFont="1" applyFill="1" applyBorder="1" applyAlignment="1">
      <alignment horizontal="center" vertical="center"/>
    </xf>
    <xf numFmtId="0" fontId="9" fillId="53" borderId="0" xfId="0" applyFont="1" applyFill="1" applyAlignment="1">
      <alignment horizontal="left" vertical="center" indent="1"/>
    </xf>
    <xf numFmtId="0" fontId="0" fillId="53" borderId="0" xfId="0" applyFill="1" applyAlignment="1">
      <alignment vertical="center"/>
    </xf>
    <xf numFmtId="0" fontId="9" fillId="0" borderId="0" xfId="0" applyFont="1" applyAlignment="1">
      <alignment horizontal="left" vertical="center" indent="1"/>
    </xf>
    <xf numFmtId="175" fontId="0" fillId="0" borderId="0" xfId="0" applyNumberFormat="1"/>
    <xf numFmtId="0" fontId="0" fillId="0" borderId="0" xfId="0" applyAlignment="1">
      <alignment horizontal="right" vertical="top" indent="1"/>
    </xf>
    <xf numFmtId="175" fontId="11" fillId="38" borderId="136" xfId="77" applyNumberFormat="1" applyFont="1" applyFill="1" applyBorder="1" applyProtection="1"/>
    <xf numFmtId="175" fontId="9" fillId="0" borderId="0" xfId="0" applyNumberFormat="1" applyFont="1"/>
    <xf numFmtId="175" fontId="11" fillId="38" borderId="76" xfId="77" applyNumberFormat="1" applyFont="1" applyFill="1" applyBorder="1" applyProtection="1"/>
    <xf numFmtId="0" fontId="30" fillId="0" borderId="0" xfId="0" applyFont="1"/>
    <xf numFmtId="175" fontId="9" fillId="53" borderId="0" xfId="0" applyNumberFormat="1" applyFont="1" applyFill="1"/>
    <xf numFmtId="0" fontId="0" fillId="51" borderId="0" xfId="0" applyFill="1" applyAlignment="1">
      <alignment horizontal="left" indent="1"/>
    </xf>
    <xf numFmtId="1" fontId="0" fillId="51" borderId="11" xfId="0" applyNumberFormat="1" applyFill="1" applyBorder="1" applyAlignment="1">
      <alignment horizontal="center"/>
    </xf>
    <xf numFmtId="0" fontId="11" fillId="0" borderId="0" xfId="1" applyNumberFormat="1" applyFont="1" applyAlignment="1" applyProtection="1">
      <alignment horizontal="left" indent="1"/>
    </xf>
    <xf numFmtId="0" fontId="9" fillId="51" borderId="0" xfId="0" applyFont="1" applyFill="1" applyAlignment="1">
      <alignment horizontal="left" indent="1"/>
    </xf>
    <xf numFmtId="1" fontId="0" fillId="51" borderId="0" xfId="0" applyNumberFormat="1" applyFill="1" applyAlignment="1">
      <alignment horizontal="center"/>
    </xf>
    <xf numFmtId="0" fontId="11" fillId="51" borderId="0" xfId="0" applyFont="1" applyFill="1" applyAlignment="1">
      <alignment horizontal="left" indent="1"/>
    </xf>
    <xf numFmtId="0" fontId="271" fillId="47" borderId="130" xfId="0" applyFont="1" applyFill="1" applyBorder="1" applyAlignment="1" applyProtection="1">
      <alignment horizontal="left" indent="1"/>
      <protection locked="0"/>
    </xf>
    <xf numFmtId="0" fontId="0" fillId="47" borderId="130" xfId="0" applyFill="1" applyBorder="1" applyAlignment="1" applyProtection="1">
      <alignment horizontal="center" vertical="center"/>
      <protection locked="0"/>
    </xf>
    <xf numFmtId="0" fontId="0" fillId="47" borderId="130" xfId="0" applyFill="1" applyBorder="1" applyProtection="1">
      <protection locked="0"/>
    </xf>
    <xf numFmtId="0" fontId="0" fillId="47" borderId="167" xfId="0" applyFill="1" applyBorder="1" applyProtection="1">
      <protection locked="0"/>
    </xf>
    <xf numFmtId="0" fontId="31" fillId="47" borderId="0" xfId="90" applyFont="1" applyFill="1" applyAlignment="1" applyProtection="1">
      <alignment horizontal="center" vertical="center"/>
      <protection locked="0"/>
    </xf>
    <xf numFmtId="0" fontId="272" fillId="47" borderId="142" xfId="90" applyFont="1" applyFill="1" applyBorder="1" applyAlignment="1" applyProtection="1">
      <alignment horizontal="left" indent="1"/>
      <protection locked="0"/>
    </xf>
    <xf numFmtId="0" fontId="31" fillId="47" borderId="142" xfId="90" applyFont="1" applyFill="1" applyBorder="1" applyAlignment="1" applyProtection="1">
      <alignment horizontal="center" vertical="center"/>
      <protection locked="0"/>
    </xf>
    <xf numFmtId="0" fontId="0" fillId="0" borderId="0" xfId="0" applyAlignment="1" applyProtection="1">
      <alignment horizontal="left" vertical="top" indent="1"/>
      <protection locked="0"/>
    </xf>
    <xf numFmtId="178" fontId="9" fillId="0" borderId="0" xfId="0" applyNumberFormat="1" applyFont="1" applyAlignment="1" applyProtection="1">
      <alignment horizontal="center"/>
      <protection locked="0"/>
    </xf>
    <xf numFmtId="0" fontId="9" fillId="53" borderId="0" xfId="0" applyFont="1" applyFill="1" applyAlignment="1" applyProtection="1">
      <alignment horizontal="left" vertical="top" indent="1"/>
      <protection locked="0"/>
    </xf>
    <xf numFmtId="0" fontId="0" fillId="53" borderId="0" xfId="0" applyFill="1" applyAlignment="1" applyProtection="1">
      <alignment horizontal="center" vertical="center"/>
      <protection locked="0"/>
    </xf>
    <xf numFmtId="0" fontId="0" fillId="53" borderId="0" xfId="0" applyFill="1" applyAlignment="1" applyProtection="1">
      <alignment horizontal="left" vertical="top"/>
      <protection locked="0"/>
    </xf>
    <xf numFmtId="0" fontId="0" fillId="53" borderId="0" xfId="0" applyFill="1" applyAlignment="1" applyProtection="1">
      <alignment horizontal="center" vertical="top"/>
      <protection locked="0"/>
    </xf>
    <xf numFmtId="0" fontId="12" fillId="0" borderId="0" xfId="0" applyFont="1" applyAlignment="1" applyProtection="1">
      <alignment horizontal="left" vertical="top" indent="1"/>
      <protection locked="0"/>
    </xf>
    <xf numFmtId="0" fontId="9" fillId="0" borderId="0" xfId="0" applyFont="1" applyAlignment="1" applyProtection="1">
      <alignment horizontal="left" vertical="top" indent="1"/>
      <protection locked="0"/>
    </xf>
    <xf numFmtId="177" fontId="0" fillId="131" borderId="59" xfId="0" applyNumberFormat="1" applyFill="1" applyBorder="1" applyAlignment="1" applyProtection="1">
      <alignment horizontal="right" vertical="top"/>
      <protection locked="0"/>
    </xf>
    <xf numFmtId="178" fontId="0" fillId="0" borderId="0" xfId="0" applyNumberFormat="1" applyAlignment="1" applyProtection="1">
      <alignment horizontal="right"/>
      <protection locked="0"/>
    </xf>
    <xf numFmtId="178" fontId="9" fillId="0" borderId="0" xfId="0" applyNumberFormat="1" applyFont="1" applyAlignment="1" applyProtection="1">
      <alignment horizontal="right"/>
      <protection locked="0"/>
    </xf>
    <xf numFmtId="0" fontId="11" fillId="3" borderId="0" xfId="0" applyFont="1" applyFill="1" applyAlignment="1" applyProtection="1">
      <alignment horizontal="left" vertical="center" indent="1"/>
      <protection locked="0"/>
    </xf>
    <xf numFmtId="177" fontId="0" fillId="3" borderId="59" xfId="0" applyNumberFormat="1" applyFill="1" applyBorder="1" applyAlignment="1" applyProtection="1">
      <alignment horizontal="right" vertical="top"/>
      <protection locked="0"/>
    </xf>
    <xf numFmtId="0" fontId="0" fillId="3" borderId="0" xfId="0" applyFill="1" applyAlignment="1" applyProtection="1">
      <alignment horizontal="left" vertical="top" indent="1"/>
      <protection locked="0"/>
    </xf>
    <xf numFmtId="177" fontId="0" fillId="3" borderId="0" xfId="0" applyNumberFormat="1" applyFill="1" applyAlignment="1" applyProtection="1">
      <alignment horizontal="left" vertical="top"/>
      <protection locked="0"/>
    </xf>
    <xf numFmtId="0" fontId="280" fillId="0" borderId="0" xfId="0" applyFont="1" applyProtection="1">
      <protection locked="0"/>
    </xf>
    <xf numFmtId="1" fontId="9" fillId="0" borderId="0" xfId="0" applyNumberFormat="1" applyFont="1" applyAlignment="1" applyProtection="1">
      <alignment horizontal="right"/>
      <protection locked="0"/>
    </xf>
    <xf numFmtId="0" fontId="11" fillId="42" borderId="0" xfId="0" applyFont="1" applyFill="1" applyAlignment="1" applyProtection="1">
      <alignment horizontal="left" vertical="center" indent="1"/>
      <protection locked="0"/>
    </xf>
    <xf numFmtId="0" fontId="11" fillId="0" borderId="0" xfId="0" applyFont="1" applyAlignment="1" applyProtection="1">
      <alignment horizontal="left" vertical="center" indent="1"/>
      <protection locked="0"/>
    </xf>
    <xf numFmtId="1" fontId="9" fillId="0" borderId="0" xfId="0" applyNumberFormat="1" applyFont="1" applyAlignment="1" applyProtection="1">
      <alignment horizontal="center"/>
      <protection locked="0"/>
    </xf>
    <xf numFmtId="170" fontId="0" fillId="0" borderId="0" xfId="1" applyNumberFormat="1" applyFont="1" applyFill="1" applyBorder="1" applyAlignment="1" applyProtection="1">
      <alignment horizontal="right" vertical="top"/>
      <protection locked="0"/>
    </xf>
    <xf numFmtId="0" fontId="28" fillId="0" borderId="0" xfId="0" applyFont="1" applyAlignment="1" applyProtection="1">
      <alignment horizontal="left"/>
      <protection locked="0"/>
    </xf>
    <xf numFmtId="0" fontId="27" fillId="0" borderId="0" xfId="0" applyFont="1" applyProtection="1">
      <protection locked="0"/>
    </xf>
    <xf numFmtId="0" fontId="11" fillId="0" borderId="0" xfId="0" applyFont="1" applyProtection="1">
      <protection locked="0"/>
    </xf>
    <xf numFmtId="170" fontId="0" fillId="3" borderId="59" xfId="1" applyNumberFormat="1" applyFont="1" applyFill="1" applyBorder="1" applyAlignment="1" applyProtection="1">
      <alignment horizontal="right" vertical="top"/>
      <protection locked="0"/>
    </xf>
    <xf numFmtId="0" fontId="30" fillId="0" borderId="166" xfId="0" applyFont="1" applyBorder="1" applyProtection="1">
      <protection locked="0"/>
    </xf>
    <xf numFmtId="0" fontId="0" fillId="0" borderId="130" xfId="0" applyBorder="1" applyAlignment="1" applyProtection="1">
      <alignment horizontal="left" indent="1"/>
      <protection locked="0"/>
    </xf>
    <xf numFmtId="0" fontId="0" fillId="0" borderId="180" xfId="0" applyBorder="1" applyProtection="1">
      <protection locked="0"/>
    </xf>
    <xf numFmtId="170" fontId="12" fillId="0" borderId="0" xfId="1" applyNumberFormat="1" applyFont="1" applyFill="1" applyBorder="1" applyProtection="1">
      <protection locked="0"/>
    </xf>
    <xf numFmtId="170" fontId="12" fillId="0" borderId="11" xfId="1" applyNumberFormat="1" applyFont="1" applyFill="1" applyBorder="1" applyProtection="1">
      <protection locked="0"/>
    </xf>
    <xf numFmtId="0" fontId="30" fillId="0" borderId="180" xfId="0" applyFont="1" applyBorder="1" applyProtection="1">
      <protection locked="0"/>
    </xf>
    <xf numFmtId="0" fontId="0" fillId="0" borderId="180" xfId="0" applyBorder="1" applyAlignment="1" applyProtection="1">
      <alignment horizontal="left" vertical="top"/>
      <protection locked="0"/>
    </xf>
    <xf numFmtId="0" fontId="27" fillId="0" borderId="180" xfId="0" applyFont="1" applyBorder="1" applyProtection="1">
      <protection locked="0"/>
    </xf>
    <xf numFmtId="0" fontId="9" fillId="0" borderId="180" xfId="0" applyFont="1" applyBorder="1" applyProtection="1">
      <protection locked="0"/>
    </xf>
    <xf numFmtId="0" fontId="281" fillId="0" borderId="180" xfId="0" applyFont="1" applyBorder="1" applyProtection="1">
      <protection locked="0"/>
    </xf>
    <xf numFmtId="0" fontId="9" fillId="0" borderId="180" xfId="0" applyFont="1" applyBorder="1" applyAlignment="1" applyProtection="1">
      <alignment horizontal="left" vertical="top"/>
      <protection locked="0"/>
    </xf>
    <xf numFmtId="0" fontId="0" fillId="0" borderId="11" xfId="0" applyBorder="1" applyProtection="1">
      <protection locked="0"/>
    </xf>
    <xf numFmtId="0" fontId="9" fillId="0" borderId="89" xfId="0" applyFont="1" applyBorder="1" applyProtection="1">
      <protection locked="0"/>
    </xf>
    <xf numFmtId="0" fontId="0" fillId="0" borderId="142" xfId="0" applyBorder="1" applyAlignment="1" applyProtection="1">
      <alignment horizontal="left" indent="1"/>
      <protection locked="0"/>
    </xf>
    <xf numFmtId="0" fontId="0" fillId="0" borderId="0" xfId="0" quotePrefix="1" applyProtection="1">
      <protection locked="0"/>
    </xf>
    <xf numFmtId="0" fontId="9" fillId="0" borderId="0" xfId="0" applyFont="1" applyProtection="1">
      <protection locked="0"/>
    </xf>
    <xf numFmtId="0" fontId="0" fillId="3" borderId="130" xfId="0" applyFill="1" applyBorder="1" applyProtection="1">
      <protection locked="0"/>
    </xf>
    <xf numFmtId="0" fontId="0" fillId="3" borderId="167" xfId="0" applyFill="1" applyBorder="1" applyProtection="1">
      <protection locked="0"/>
    </xf>
    <xf numFmtId="0" fontId="0" fillId="3" borderId="180" xfId="0" applyFill="1" applyBorder="1" applyAlignment="1" applyProtection="1">
      <alignment horizontal="left" indent="1"/>
      <protection locked="0"/>
    </xf>
    <xf numFmtId="0" fontId="0" fillId="3" borderId="0" xfId="0" applyFill="1" applyAlignment="1" applyProtection="1">
      <alignment horizontal="left" indent="1"/>
      <protection locked="0"/>
    </xf>
    <xf numFmtId="0" fontId="0" fillId="3" borderId="0" xfId="0" applyFill="1" applyAlignment="1" applyProtection="1">
      <alignment horizontal="center" vertical="center"/>
      <protection locked="0"/>
    </xf>
    <xf numFmtId="0" fontId="0" fillId="3" borderId="0" xfId="0" applyFill="1" applyProtection="1">
      <protection locked="0"/>
    </xf>
    <xf numFmtId="0" fontId="0" fillId="3" borderId="11" xfId="0" applyFill="1" applyBorder="1" applyProtection="1">
      <protection locked="0"/>
    </xf>
    <xf numFmtId="0" fontId="0" fillId="3" borderId="89" xfId="0" applyFill="1" applyBorder="1" applyAlignment="1" applyProtection="1">
      <alignment horizontal="left" indent="1"/>
      <protection locked="0"/>
    </xf>
    <xf numFmtId="0" fontId="0" fillId="3" borderId="142" xfId="0" applyFill="1" applyBorder="1" applyAlignment="1" applyProtection="1">
      <alignment horizontal="left" indent="1"/>
      <protection locked="0"/>
    </xf>
    <xf numFmtId="0" fontId="0" fillId="3" borderId="142" xfId="0" applyFill="1" applyBorder="1" applyAlignment="1" applyProtection="1">
      <alignment horizontal="center" vertical="center"/>
      <protection locked="0"/>
    </xf>
    <xf numFmtId="0" fontId="0" fillId="3" borderId="142" xfId="0" applyFill="1" applyBorder="1" applyProtection="1">
      <protection locked="0"/>
    </xf>
    <xf numFmtId="0" fontId="0" fillId="3" borderId="90" xfId="0" applyFill="1" applyBorder="1" applyProtection="1">
      <protection locked="0"/>
    </xf>
    <xf numFmtId="177" fontId="9" fillId="52" borderId="71" xfId="0" applyNumberFormat="1" applyFont="1" applyFill="1" applyBorder="1" applyAlignment="1">
      <alignment horizontal="right"/>
    </xf>
    <xf numFmtId="177" fontId="0" fillId="52" borderId="59" xfId="0" applyNumberFormat="1" applyFill="1" applyBorder="1" applyAlignment="1">
      <alignment horizontal="right" vertical="top"/>
    </xf>
    <xf numFmtId="178" fontId="0" fillId="54" borderId="71" xfId="0" applyNumberFormat="1" applyFill="1" applyBorder="1" applyAlignment="1">
      <alignment horizontal="right"/>
    </xf>
    <xf numFmtId="170" fontId="9" fillId="51" borderId="59" xfId="1" applyNumberFormat="1" applyFont="1" applyFill="1" applyBorder="1" applyAlignment="1" applyProtection="1">
      <alignment horizontal="right" vertical="top"/>
    </xf>
    <xf numFmtId="170" fontId="11" fillId="51" borderId="6" xfId="1" applyNumberFormat="1" applyFont="1" applyFill="1" applyBorder="1" applyProtection="1"/>
    <xf numFmtId="170" fontId="0" fillId="51" borderId="59" xfId="1" applyNumberFormat="1" applyFont="1" applyFill="1" applyBorder="1" applyAlignment="1" applyProtection="1">
      <alignment horizontal="right" vertical="top"/>
    </xf>
    <xf numFmtId="0" fontId="11" fillId="54" borderId="6" xfId="75" applyFont="1" applyFill="1" applyBorder="1" applyAlignment="1">
      <alignment horizontal="center" vertical="center"/>
    </xf>
    <xf numFmtId="351" fontId="0" fillId="52" borderId="6" xfId="0" applyNumberFormat="1" applyFill="1" applyBorder="1"/>
    <xf numFmtId="170" fontId="11" fillId="38" borderId="6" xfId="1" applyNumberFormat="1" applyFont="1" applyFill="1" applyBorder="1" applyProtection="1"/>
    <xf numFmtId="170" fontId="12" fillId="38" borderId="6" xfId="1" applyNumberFormat="1" applyFont="1" applyFill="1" applyBorder="1" applyProtection="1"/>
    <xf numFmtId="177" fontId="0" fillId="51" borderId="59" xfId="0" applyNumberFormat="1" applyFill="1" applyBorder="1" applyAlignment="1">
      <alignment horizontal="right" vertical="top"/>
    </xf>
    <xf numFmtId="170" fontId="12" fillId="38" borderId="11" xfId="1" applyNumberFormat="1" applyFont="1" applyFill="1" applyBorder="1" applyProtection="1"/>
    <xf numFmtId="170" fontId="12" fillId="52" borderId="6" xfId="1" applyNumberFormat="1" applyFont="1" applyFill="1" applyBorder="1" applyProtection="1"/>
    <xf numFmtId="0" fontId="31" fillId="47" borderId="130" xfId="90" applyFont="1" applyFill="1" applyBorder="1" applyAlignment="1" applyProtection="1">
      <alignment horizontal="center" vertical="center"/>
      <protection locked="0"/>
    </xf>
    <xf numFmtId="0" fontId="33" fillId="47" borderId="167" xfId="75" applyFont="1" applyFill="1" applyBorder="1" applyProtection="1">
      <protection locked="0"/>
    </xf>
    <xf numFmtId="1" fontId="9" fillId="2" borderId="71" xfId="0" applyNumberFormat="1" applyFont="1" applyFill="1" applyBorder="1" applyAlignment="1" applyProtection="1">
      <alignment horizontal="center" vertical="center"/>
      <protection locked="0"/>
    </xf>
    <xf numFmtId="1" fontId="9" fillId="2" borderId="72" xfId="0" applyNumberFormat="1" applyFont="1" applyFill="1" applyBorder="1" applyAlignment="1" applyProtection="1">
      <alignment horizontal="center" vertical="center"/>
      <protection locked="0"/>
    </xf>
    <xf numFmtId="1" fontId="9" fillId="2" borderId="73" xfId="0" applyNumberFormat="1" applyFont="1" applyFill="1" applyBorder="1" applyAlignment="1" applyProtection="1">
      <alignment horizontal="center" wrapText="1"/>
      <protection locked="0"/>
    </xf>
    <xf numFmtId="0" fontId="9" fillId="116" borderId="0" xfId="0" applyFont="1" applyFill="1" applyAlignment="1" applyProtection="1">
      <alignment horizontal="left" vertical="center"/>
      <protection locked="0"/>
    </xf>
    <xf numFmtId="0" fontId="0" fillId="116" borderId="0" xfId="0" applyFill="1" applyAlignment="1" applyProtection="1">
      <alignment horizontal="center" vertical="center"/>
      <protection locked="0"/>
    </xf>
    <xf numFmtId="0" fontId="0" fillId="116" borderId="0" xfId="0" applyFill="1" applyAlignment="1" applyProtection="1">
      <alignment horizontal="center" vertical="top"/>
      <protection locked="0"/>
    </xf>
    <xf numFmtId="0" fontId="281" fillId="116" borderId="0" xfId="0" applyFont="1" applyFill="1" applyAlignment="1" applyProtection="1">
      <alignment horizontal="left" vertical="top"/>
      <protection locked="0"/>
    </xf>
    <xf numFmtId="0" fontId="0" fillId="116" borderId="0" xfId="0" applyFill="1" applyAlignment="1" applyProtection="1">
      <alignment horizontal="left" vertical="top" indent="1"/>
      <protection locked="0"/>
    </xf>
    <xf numFmtId="0" fontId="9" fillId="52" borderId="0" xfId="0" applyFont="1" applyFill="1" applyAlignment="1" applyProtection="1">
      <alignment horizontal="left" vertical="top" indent="1"/>
      <protection locked="0"/>
    </xf>
    <xf numFmtId="0" fontId="0" fillId="133" borderId="0" xfId="0" applyFill="1" applyAlignment="1" applyProtection="1">
      <alignment horizontal="center" vertical="center"/>
      <protection locked="0"/>
    </xf>
    <xf numFmtId="0" fontId="0" fillId="0" borderId="0" xfId="0" applyAlignment="1" applyProtection="1">
      <alignment horizontal="center" vertical="top"/>
      <protection locked="0"/>
    </xf>
    <xf numFmtId="0" fontId="0" fillId="0" borderId="0" xfId="0" applyAlignment="1" applyProtection="1">
      <alignment horizontal="center" vertical="center" wrapText="1"/>
      <protection locked="0"/>
    </xf>
    <xf numFmtId="177" fontId="0" fillId="131" borderId="63" xfId="0" applyNumberFormat="1" applyFill="1" applyBorder="1" applyAlignment="1" applyProtection="1">
      <alignment horizontal="right" vertical="top"/>
      <protection locked="0"/>
    </xf>
    <xf numFmtId="0" fontId="0" fillId="0" borderId="0" xfId="0" applyAlignment="1" applyProtection="1">
      <alignment horizontal="left" vertical="top" wrapText="1" indent="1"/>
      <protection locked="0"/>
    </xf>
    <xf numFmtId="170" fontId="0" fillId="0" borderId="0" xfId="0" applyNumberFormat="1" applyAlignment="1" applyProtection="1">
      <alignment horizontal="left" vertical="top"/>
      <protection locked="0"/>
    </xf>
    <xf numFmtId="0" fontId="0" fillId="0" borderId="0" xfId="0" applyAlignment="1" applyProtection="1">
      <alignment horizontal="center" wrapText="1"/>
      <protection locked="0"/>
    </xf>
    <xf numFmtId="0" fontId="43" fillId="0" borderId="0" xfId="0" applyFont="1" applyAlignment="1" applyProtection="1">
      <alignment horizontal="center"/>
      <protection locked="0"/>
    </xf>
    <xf numFmtId="10" fontId="0" fillId="0" borderId="0" xfId="0" applyNumberFormat="1" applyAlignment="1" applyProtection="1">
      <alignment horizontal="right" vertical="top"/>
      <protection locked="0"/>
    </xf>
    <xf numFmtId="177" fontId="0" fillId="3" borderId="63" xfId="0" applyNumberFormat="1" applyFill="1" applyBorder="1" applyAlignment="1" applyProtection="1">
      <alignment horizontal="right" vertical="top"/>
      <protection locked="0"/>
    </xf>
    <xf numFmtId="0" fontId="9" fillId="0" borderId="0" xfId="0" applyFont="1" applyAlignment="1" applyProtection="1">
      <alignment horizontal="center" vertical="center" wrapText="1"/>
      <protection locked="0"/>
    </xf>
    <xf numFmtId="0" fontId="9" fillId="133" borderId="0" xfId="0" applyFont="1" applyFill="1" applyAlignment="1" applyProtection="1">
      <alignment horizontal="left" vertical="top" indent="1"/>
      <protection locked="0"/>
    </xf>
    <xf numFmtId="0" fontId="0" fillId="0" borderId="0" xfId="0" applyAlignment="1" applyProtection="1">
      <alignment horizontal="center" vertical="top" wrapText="1"/>
      <protection locked="0"/>
    </xf>
    <xf numFmtId="0" fontId="0" fillId="0" borderId="0" xfId="0" applyAlignment="1" applyProtection="1">
      <alignment vertical="top"/>
      <protection locked="0"/>
    </xf>
    <xf numFmtId="0" fontId="0" fillId="0" borderId="0" xfId="0" applyAlignment="1" applyProtection="1">
      <alignment horizontal="right" vertical="top"/>
      <protection locked="0"/>
    </xf>
    <xf numFmtId="0" fontId="0" fillId="0" borderId="72" xfId="0" applyBorder="1" applyAlignment="1" applyProtection="1">
      <alignment horizontal="center" vertical="top"/>
      <protection locked="0"/>
    </xf>
    <xf numFmtId="0" fontId="9" fillId="0" borderId="0" xfId="0" applyFont="1" applyAlignment="1" applyProtection="1">
      <alignment horizontal="left" vertical="top"/>
      <protection locked="0"/>
    </xf>
    <xf numFmtId="177" fontId="0" fillId="3" borderId="62" xfId="0" applyNumberFormat="1" applyFill="1" applyBorder="1" applyAlignment="1" applyProtection="1">
      <alignment horizontal="right" vertical="top"/>
      <protection locked="0"/>
    </xf>
    <xf numFmtId="177" fontId="0" fillId="3" borderId="65" xfId="0" applyNumberFormat="1" applyFill="1" applyBorder="1" applyAlignment="1" applyProtection="1">
      <alignment horizontal="right" vertical="top"/>
      <protection locked="0"/>
    </xf>
    <xf numFmtId="177" fontId="0" fillId="3" borderId="66" xfId="0" applyNumberFormat="1" applyFill="1" applyBorder="1" applyAlignment="1" applyProtection="1">
      <alignment horizontal="right" vertical="top"/>
      <protection locked="0"/>
    </xf>
    <xf numFmtId="177" fontId="0" fillId="3" borderId="60" xfId="0" applyNumberFormat="1" applyFill="1" applyBorder="1" applyAlignment="1" applyProtection="1">
      <alignment horizontal="right" vertical="top"/>
      <protection locked="0"/>
    </xf>
    <xf numFmtId="177" fontId="0" fillId="3" borderId="68" xfId="0" applyNumberFormat="1" applyFill="1" applyBorder="1" applyAlignment="1" applyProtection="1">
      <alignment horizontal="right" vertical="top"/>
      <protection locked="0"/>
    </xf>
    <xf numFmtId="177" fontId="0" fillId="3" borderId="69" xfId="0" applyNumberFormat="1" applyFill="1" applyBorder="1" applyAlignment="1" applyProtection="1">
      <alignment horizontal="right" vertical="top"/>
      <protection locked="0"/>
    </xf>
    <xf numFmtId="0" fontId="0" fillId="0" borderId="0" xfId="0" applyAlignment="1" applyProtection="1">
      <alignment horizontal="left"/>
      <protection locked="0"/>
    </xf>
    <xf numFmtId="177" fontId="0" fillId="3" borderId="61" xfId="0" applyNumberFormat="1" applyFill="1" applyBorder="1" applyAlignment="1" applyProtection="1">
      <alignment horizontal="right" vertical="top"/>
      <protection locked="0"/>
    </xf>
    <xf numFmtId="177" fontId="0" fillId="3" borderId="64" xfId="0" applyNumberFormat="1" applyFill="1" applyBorder="1" applyAlignment="1" applyProtection="1">
      <alignment horizontal="right" vertical="top"/>
      <protection locked="0"/>
    </xf>
    <xf numFmtId="177" fontId="0" fillId="3" borderId="67" xfId="0" applyNumberFormat="1" applyFill="1" applyBorder="1" applyAlignment="1" applyProtection="1">
      <alignment horizontal="right" vertical="top"/>
      <protection locked="0"/>
    </xf>
    <xf numFmtId="0" fontId="9" fillId="0" borderId="0" xfId="0" applyFont="1" applyAlignment="1" applyProtection="1">
      <alignment horizontal="left"/>
      <protection locked="0"/>
    </xf>
    <xf numFmtId="178" fontId="0" fillId="0" borderId="0" xfId="0" applyNumberFormat="1" applyAlignment="1" applyProtection="1">
      <alignment horizontal="right" vertical="top"/>
      <protection locked="0"/>
    </xf>
    <xf numFmtId="0" fontId="27" fillId="0" borderId="0" xfId="0" applyFont="1" applyAlignment="1" applyProtection="1">
      <alignment horizontal="left" vertical="top"/>
      <protection locked="0"/>
    </xf>
    <xf numFmtId="177" fontId="0" fillId="3" borderId="6" xfId="0" applyNumberFormat="1" applyFill="1" applyBorder="1" applyAlignment="1" applyProtection="1">
      <alignment horizontal="right" vertical="top"/>
      <protection locked="0"/>
    </xf>
    <xf numFmtId="177" fontId="0" fillId="131" borderId="69" xfId="0" applyNumberFormat="1" applyFill="1" applyBorder="1" applyAlignment="1" applyProtection="1">
      <alignment horizontal="right" vertical="top"/>
      <protection locked="0"/>
    </xf>
    <xf numFmtId="177" fontId="0" fillId="52" borderId="63" xfId="0" applyNumberFormat="1" applyFill="1" applyBorder="1" applyAlignment="1">
      <alignment horizontal="right" vertical="top"/>
    </xf>
    <xf numFmtId="170" fontId="11" fillId="52" borderId="59" xfId="2" applyNumberFormat="1" applyFont="1" applyFill="1" applyBorder="1" applyAlignment="1" applyProtection="1">
      <alignment vertical="center"/>
    </xf>
    <xf numFmtId="170" fontId="11" fillId="52" borderId="61" xfId="2" applyNumberFormat="1" applyFont="1" applyFill="1" applyBorder="1" applyAlignment="1" applyProtection="1">
      <alignment vertical="center"/>
    </xf>
    <xf numFmtId="170" fontId="11" fillId="52" borderId="68" xfId="2" applyNumberFormat="1" applyFont="1" applyFill="1" applyBorder="1" applyAlignment="1" applyProtection="1">
      <alignment vertical="center"/>
    </xf>
    <xf numFmtId="170" fontId="11" fillId="52" borderId="70" xfId="2" applyNumberFormat="1" applyFont="1" applyFill="1" applyBorder="1" applyAlignment="1" applyProtection="1">
      <alignment vertical="center"/>
    </xf>
    <xf numFmtId="10" fontId="0" fillId="51" borderId="72" xfId="0" applyNumberFormat="1" applyFill="1" applyBorder="1" applyAlignment="1">
      <alignment horizontal="right" vertical="top"/>
    </xf>
    <xf numFmtId="177" fontId="11" fillId="52" borderId="102" xfId="2" applyNumberFormat="1" applyFont="1" applyFill="1" applyBorder="1" applyAlignment="1" applyProtection="1">
      <alignment vertical="center"/>
    </xf>
    <xf numFmtId="177" fontId="11" fillId="52" borderId="78" xfId="2" applyNumberFormat="1" applyFont="1" applyFill="1" applyBorder="1" applyAlignment="1" applyProtection="1">
      <alignment vertical="center"/>
    </xf>
    <xf numFmtId="177" fontId="11" fillId="52" borderId="103" xfId="2" applyNumberFormat="1" applyFont="1" applyFill="1" applyBorder="1" applyAlignment="1" applyProtection="1">
      <alignment vertical="center"/>
    </xf>
    <xf numFmtId="177" fontId="11" fillId="52" borderId="121" xfId="2" applyNumberFormat="1" applyFont="1" applyFill="1" applyBorder="1" applyAlignment="1" applyProtection="1">
      <alignment vertical="center"/>
    </xf>
    <xf numFmtId="10" fontId="0" fillId="51" borderId="71" xfId="0" applyNumberFormat="1" applyFill="1" applyBorder="1" applyAlignment="1">
      <alignment horizontal="right" vertical="top"/>
    </xf>
    <xf numFmtId="177" fontId="11" fillId="52" borderId="103" xfId="2" applyNumberFormat="1" applyFont="1" applyFill="1" applyBorder="1" applyAlignment="1" applyProtection="1">
      <alignment vertical="top"/>
    </xf>
    <xf numFmtId="177" fontId="11" fillId="52" borderId="121" xfId="2" applyNumberFormat="1" applyFont="1" applyFill="1" applyBorder="1" applyAlignment="1" applyProtection="1">
      <alignment vertical="top"/>
    </xf>
    <xf numFmtId="177" fontId="9" fillId="52" borderId="71" xfId="0" applyNumberFormat="1" applyFont="1" applyFill="1" applyBorder="1" applyAlignment="1">
      <alignment horizontal="right" vertical="top"/>
    </xf>
    <xf numFmtId="177" fontId="0" fillId="52" borderId="72" xfId="0" applyNumberFormat="1" applyFill="1" applyBorder="1" applyAlignment="1">
      <alignment horizontal="right" vertical="top"/>
    </xf>
    <xf numFmtId="177" fontId="0" fillId="52" borderId="73" xfId="0" applyNumberFormat="1" applyFill="1" applyBorder="1" applyAlignment="1">
      <alignment horizontal="right" vertical="top"/>
    </xf>
    <xf numFmtId="177" fontId="0" fillId="52" borderId="84" xfId="0" applyNumberFormat="1" applyFill="1" applyBorder="1" applyAlignment="1">
      <alignment horizontal="right" vertical="top"/>
    </xf>
    <xf numFmtId="177" fontId="0" fillId="52" borderId="6" xfId="0" applyNumberFormat="1" applyFill="1" applyBorder="1" applyAlignment="1">
      <alignment horizontal="right" vertical="top"/>
    </xf>
    <xf numFmtId="177" fontId="0" fillId="52" borderId="69" xfId="0" applyNumberFormat="1" applyFill="1" applyBorder="1" applyAlignment="1">
      <alignment horizontal="right" vertical="top"/>
    </xf>
    <xf numFmtId="177" fontId="0" fillId="52" borderId="139" xfId="0" applyNumberFormat="1" applyFill="1" applyBorder="1" applyAlignment="1">
      <alignment horizontal="right" vertical="top"/>
    </xf>
    <xf numFmtId="177" fontId="0" fillId="52" borderId="141" xfId="0" applyNumberFormat="1" applyFill="1" applyBorder="1" applyAlignment="1">
      <alignment horizontal="right" vertical="top"/>
    </xf>
    <xf numFmtId="177" fontId="0" fillId="52" borderId="140" xfId="0" applyNumberFormat="1" applyFill="1" applyBorder="1" applyAlignment="1">
      <alignment horizontal="right" vertical="top"/>
    </xf>
    <xf numFmtId="170" fontId="11" fillId="52" borderId="6" xfId="1" applyNumberFormat="1" applyFont="1" applyFill="1" applyBorder="1" applyProtection="1"/>
    <xf numFmtId="177" fontId="0" fillId="54" borderId="71" xfId="0" applyNumberFormat="1" applyFill="1" applyBorder="1" applyAlignment="1">
      <alignment horizontal="right" vertical="top"/>
    </xf>
    <xf numFmtId="177" fontId="0" fillId="51" borderId="63" xfId="0" applyNumberFormat="1" applyFill="1" applyBorder="1" applyAlignment="1">
      <alignment horizontal="right" vertical="top"/>
    </xf>
    <xf numFmtId="177" fontId="0" fillId="51" borderId="94" xfId="0" applyNumberFormat="1" applyFill="1" applyBorder="1" applyAlignment="1">
      <alignment horizontal="right" vertical="top"/>
    </xf>
    <xf numFmtId="0" fontId="0" fillId="52" borderId="105" xfId="0" applyFill="1" applyBorder="1" applyAlignment="1">
      <alignment horizontal="right" vertical="top"/>
    </xf>
    <xf numFmtId="0" fontId="274" fillId="47" borderId="166" xfId="90" applyFont="1" applyFill="1" applyBorder="1" applyAlignment="1" applyProtection="1">
      <alignment horizontal="left"/>
      <protection locked="0"/>
    </xf>
    <xf numFmtId="0" fontId="275" fillId="47" borderId="130" xfId="90" applyFont="1" applyFill="1" applyBorder="1" applyAlignment="1" applyProtection="1">
      <alignment horizontal="left"/>
      <protection locked="0"/>
    </xf>
    <xf numFmtId="0" fontId="36" fillId="47" borderId="130" xfId="90" applyFont="1" applyFill="1" applyBorder="1" applyAlignment="1" applyProtection="1">
      <alignment horizontal="center" vertical="center"/>
      <protection locked="0"/>
    </xf>
    <xf numFmtId="0" fontId="36" fillId="47" borderId="130" xfId="90" applyFont="1" applyFill="1" applyBorder="1" applyAlignment="1" applyProtection="1">
      <alignment horizontal="left"/>
      <protection locked="0"/>
    </xf>
    <xf numFmtId="0" fontId="275" fillId="47" borderId="0" xfId="90" applyFont="1" applyFill="1" applyAlignment="1" applyProtection="1">
      <alignment horizontal="left"/>
      <protection locked="0"/>
    </xf>
    <xf numFmtId="0" fontId="36" fillId="47" borderId="0" xfId="90" applyFont="1" applyFill="1" applyAlignment="1" applyProtection="1">
      <alignment horizontal="center" vertical="center"/>
      <protection locked="0"/>
    </xf>
    <xf numFmtId="0" fontId="36" fillId="47" borderId="0" xfId="90" applyFont="1" applyFill="1" applyAlignment="1" applyProtection="1">
      <alignment horizontal="left"/>
      <protection locked="0"/>
    </xf>
    <xf numFmtId="0" fontId="36" fillId="47" borderId="142" xfId="90" applyFont="1" applyFill="1" applyBorder="1" applyAlignment="1" applyProtection="1">
      <alignment horizontal="center" vertical="center"/>
      <protection locked="0"/>
    </xf>
    <xf numFmtId="0" fontId="36" fillId="47" borderId="142" xfId="90" applyFont="1" applyFill="1" applyBorder="1" applyAlignment="1" applyProtection="1">
      <alignment horizontal="left"/>
      <protection locked="0"/>
    </xf>
    <xf numFmtId="0" fontId="279" fillId="53" borderId="0" xfId="0" applyFont="1" applyFill="1" applyAlignment="1" applyProtection="1">
      <alignment horizontal="left" vertical="top"/>
      <protection locked="0"/>
    </xf>
    <xf numFmtId="0" fontId="277" fillId="0" borderId="0" xfId="0" applyFont="1" applyAlignment="1" applyProtection="1">
      <alignment horizontal="left"/>
      <protection locked="0"/>
    </xf>
    <xf numFmtId="3" fontId="0" fillId="51" borderId="0" xfId="0" applyNumberFormat="1" applyFill="1" applyAlignment="1" applyProtection="1">
      <alignment horizontal="left" vertical="top"/>
      <protection locked="0"/>
    </xf>
    <xf numFmtId="2" fontId="11" fillId="40" borderId="6" xfId="75" applyNumberFormat="1" applyFont="1" applyFill="1" applyBorder="1" applyProtection="1">
      <protection locked="0"/>
    </xf>
    <xf numFmtId="0" fontId="0" fillId="42" borderId="0" xfId="0" applyFill="1" applyAlignment="1" applyProtection="1">
      <alignment horizontal="right" vertical="top" indent="1"/>
      <protection locked="0"/>
    </xf>
    <xf numFmtId="0" fontId="0" fillId="42" borderId="0" xfId="0" applyFill="1" applyAlignment="1" applyProtection="1">
      <alignment horizontal="left" vertical="top"/>
      <protection locked="0"/>
    </xf>
    <xf numFmtId="0" fontId="0" fillId="3" borderId="0" xfId="0" applyFill="1" applyAlignment="1" applyProtection="1">
      <alignment horizontal="left" vertical="top"/>
      <protection locked="0"/>
    </xf>
    <xf numFmtId="0" fontId="9" fillId="3" borderId="0" xfId="0" applyFont="1" applyFill="1" applyAlignment="1" applyProtection="1">
      <alignment horizontal="left" vertical="top"/>
      <protection locked="0"/>
    </xf>
    <xf numFmtId="0" fontId="9" fillId="3" borderId="0" xfId="0" applyFont="1" applyFill="1" applyAlignment="1" applyProtection="1">
      <alignment horizontal="center" vertical="center" wrapText="1"/>
      <protection locked="0"/>
    </xf>
    <xf numFmtId="0" fontId="0" fillId="3" borderId="0" xfId="0" applyFill="1" applyAlignment="1" applyProtection="1">
      <alignment horizontal="right" vertical="top"/>
      <protection locked="0"/>
    </xf>
    <xf numFmtId="0" fontId="277" fillId="0" borderId="0" xfId="0" applyFont="1" applyAlignment="1" applyProtection="1">
      <alignment horizontal="left" vertical="top"/>
      <protection locked="0"/>
    </xf>
    <xf numFmtId="177" fontId="0" fillId="131" borderId="62" xfId="0" applyNumberFormat="1" applyFill="1" applyBorder="1" applyAlignment="1" applyProtection="1">
      <alignment horizontal="right" vertical="top"/>
      <protection locked="0"/>
    </xf>
    <xf numFmtId="177" fontId="0" fillId="0" borderId="0" xfId="0" applyNumberFormat="1" applyAlignment="1" applyProtection="1">
      <alignment horizontal="right" vertical="top"/>
      <protection locked="0"/>
    </xf>
    <xf numFmtId="0" fontId="26" fillId="41" borderId="6" xfId="75" applyFont="1" applyFill="1" applyBorder="1" applyProtection="1">
      <protection locked="0"/>
    </xf>
    <xf numFmtId="0" fontId="0" fillId="0" borderId="0" xfId="0" applyAlignment="1" applyProtection="1">
      <alignment horizontal="right"/>
      <protection locked="0"/>
    </xf>
    <xf numFmtId="173" fontId="38" fillId="48" borderId="0" xfId="94" applyProtection="1">
      <alignment vertical="center"/>
      <protection locked="0"/>
    </xf>
    <xf numFmtId="173" fontId="288" fillId="48" borderId="0" xfId="94" applyFont="1" applyProtection="1">
      <alignment vertical="center"/>
      <protection locked="0"/>
    </xf>
    <xf numFmtId="0" fontId="281" fillId="0" borderId="0" xfId="0" applyFont="1" applyAlignment="1" applyProtection="1">
      <alignment horizontal="left" vertical="top"/>
      <protection locked="0"/>
    </xf>
    <xf numFmtId="0" fontId="0" fillId="51" borderId="0" xfId="0" applyFill="1" applyAlignment="1" applyProtection="1">
      <alignment horizontal="left" vertical="top"/>
      <protection locked="0"/>
    </xf>
    <xf numFmtId="177" fontId="9" fillId="52" borderId="72" xfId="0" applyNumberFormat="1" applyFont="1" applyFill="1" applyBorder="1" applyAlignment="1">
      <alignment horizontal="right" vertical="top"/>
    </xf>
    <xf numFmtId="177" fontId="0" fillId="52" borderId="71" xfId="0" applyNumberFormat="1" applyFill="1" applyBorder="1" applyAlignment="1">
      <alignment horizontal="right" vertical="top"/>
    </xf>
    <xf numFmtId="0" fontId="272" fillId="47" borderId="142" xfId="90" applyFont="1" applyFill="1" applyBorder="1" applyAlignment="1" applyProtection="1">
      <alignment horizontal="left"/>
      <protection locked="0"/>
    </xf>
    <xf numFmtId="0" fontId="274" fillId="47" borderId="142" xfId="90" applyFont="1" applyFill="1" applyBorder="1" applyAlignment="1" applyProtection="1">
      <alignment horizontal="left"/>
      <protection locked="0"/>
    </xf>
    <xf numFmtId="0" fontId="31" fillId="0" borderId="0" xfId="90" applyFont="1" applyAlignment="1" applyProtection="1">
      <alignment horizontal="left"/>
      <protection locked="0"/>
    </xf>
    <xf numFmtId="0" fontId="33" fillId="0" borderId="0" xfId="75" applyFont="1" applyProtection="1">
      <protection locked="0"/>
    </xf>
    <xf numFmtId="1" fontId="9" fillId="2" borderId="73" xfId="0" applyNumberFormat="1" applyFont="1" applyFill="1" applyBorder="1" applyAlignment="1" applyProtection="1">
      <alignment horizontal="center" vertical="center"/>
      <protection locked="0"/>
    </xf>
    <xf numFmtId="1" fontId="9" fillId="2" borderId="85" xfId="0" applyNumberFormat="1" applyFont="1" applyFill="1" applyBorder="1" applyAlignment="1" applyProtection="1">
      <alignment horizontal="center" vertical="center" wrapText="1"/>
      <protection locked="0"/>
    </xf>
    <xf numFmtId="1" fontId="9" fillId="2" borderId="73" xfId="0" applyNumberFormat="1" applyFont="1" applyFill="1" applyBorder="1" applyAlignment="1" applyProtection="1">
      <alignment horizontal="center" vertical="center" wrapText="1"/>
      <protection locked="0"/>
    </xf>
    <xf numFmtId="1" fontId="9" fillId="2" borderId="6" xfId="0" applyNumberFormat="1" applyFont="1" applyFill="1" applyBorder="1" applyAlignment="1" applyProtection="1">
      <alignment horizontal="center" vertical="center"/>
      <protection locked="0"/>
    </xf>
    <xf numFmtId="173" fontId="12" fillId="0" borderId="0" xfId="0" applyNumberFormat="1" applyFont="1" applyAlignment="1" applyProtection="1">
      <alignment horizontal="left" vertical="center"/>
      <protection locked="0"/>
    </xf>
    <xf numFmtId="0" fontId="28" fillId="0" borderId="0" xfId="0" applyFont="1" applyProtection="1">
      <protection locked="0"/>
    </xf>
    <xf numFmtId="178" fontId="0" fillId="0" borderId="0" xfId="0" applyNumberFormat="1" applyAlignment="1" applyProtection="1">
      <alignment horizontal="left" vertical="top"/>
      <protection locked="0"/>
    </xf>
    <xf numFmtId="173" fontId="11" fillId="0" borderId="0" xfId="0" applyNumberFormat="1" applyFont="1" applyAlignment="1" applyProtection="1">
      <alignment horizontal="left" vertical="center" indent="1"/>
      <protection locked="0"/>
    </xf>
    <xf numFmtId="0" fontId="12" fillId="0" borderId="0" xfId="85" applyFont="1" applyAlignment="1" applyProtection="1">
      <alignment horizontal="left" vertical="center" wrapText="1"/>
      <protection locked="0"/>
    </xf>
    <xf numFmtId="0" fontId="11" fillId="0" borderId="0" xfId="85" applyFont="1" applyAlignment="1" applyProtection="1">
      <alignment horizontal="left" vertical="center" wrapText="1" indent="1"/>
      <protection locked="0"/>
    </xf>
    <xf numFmtId="177" fontId="11" fillId="3" borderId="62" xfId="2" applyNumberFormat="1" applyFont="1" applyFill="1" applyBorder="1" applyProtection="1">
      <protection locked="0"/>
    </xf>
    <xf numFmtId="0" fontId="11" fillId="42" borderId="0" xfId="75" applyFont="1" applyFill="1" applyAlignment="1" applyProtection="1">
      <alignment horizontal="center" vertical="top"/>
      <protection locked="0"/>
    </xf>
    <xf numFmtId="177" fontId="11" fillId="0" borderId="0" xfId="2" applyNumberFormat="1" applyFont="1" applyFill="1" applyBorder="1" applyProtection="1">
      <protection locked="0"/>
    </xf>
    <xf numFmtId="0" fontId="11" fillId="0" borderId="0" xfId="7" applyFont="1" applyAlignment="1" applyProtection="1">
      <alignment horizontal="left" vertical="center" wrapText="1" indent="1"/>
      <protection locked="0"/>
    </xf>
    <xf numFmtId="177" fontId="11" fillId="0" borderId="0" xfId="1" applyNumberFormat="1" applyFont="1" applyFill="1" applyBorder="1" applyProtection="1">
      <protection locked="0"/>
    </xf>
    <xf numFmtId="177" fontId="11" fillId="0" borderId="0" xfId="2" applyNumberFormat="1" applyFont="1" applyFill="1" applyBorder="1" applyAlignment="1" applyProtection="1">
      <alignment horizontal="right" vertical="center"/>
      <protection locked="0"/>
    </xf>
    <xf numFmtId="0" fontId="0" fillId="42" borderId="0" xfId="0" applyFill="1" applyProtection="1">
      <protection locked="0"/>
    </xf>
    <xf numFmtId="173" fontId="11" fillId="42" borderId="0" xfId="0" applyNumberFormat="1" applyFont="1" applyFill="1" applyAlignment="1" applyProtection="1">
      <alignment horizontal="left" vertical="center" indent="1"/>
      <protection locked="0"/>
    </xf>
    <xf numFmtId="177" fontId="12" fillId="42" borderId="28" xfId="1" applyNumberFormat="1" applyFont="1" applyFill="1" applyBorder="1" applyProtection="1">
      <protection locked="0"/>
    </xf>
    <xf numFmtId="177" fontId="12" fillId="42" borderId="28" xfId="2" applyNumberFormat="1" applyFont="1" applyFill="1" applyBorder="1" applyAlignment="1" applyProtection="1">
      <alignment horizontal="right" vertical="center"/>
      <protection locked="0"/>
    </xf>
    <xf numFmtId="173" fontId="12" fillId="0" borderId="0" xfId="0" applyNumberFormat="1" applyFont="1" applyAlignment="1" applyProtection="1">
      <alignment horizontal="left" vertical="center" indent="1"/>
      <protection locked="0"/>
    </xf>
    <xf numFmtId="0" fontId="9" fillId="53" borderId="0" xfId="0" applyFont="1" applyFill="1" applyProtection="1">
      <protection locked="0"/>
    </xf>
    <xf numFmtId="0" fontId="248" fillId="116" borderId="0" xfId="0" applyFont="1" applyFill="1" applyAlignment="1" applyProtection="1">
      <alignment horizontal="left" vertical="top" indent="1"/>
      <protection locked="0"/>
    </xf>
    <xf numFmtId="0" fontId="0" fillId="116" borderId="0" xfId="0" applyFill="1" applyAlignment="1" applyProtection="1">
      <alignment horizontal="left" vertical="top"/>
      <protection locked="0"/>
    </xf>
    <xf numFmtId="0" fontId="9" fillId="53" borderId="0" xfId="0" applyFont="1" applyFill="1" applyAlignment="1" applyProtection="1">
      <alignment horizontal="left"/>
      <protection locked="0"/>
    </xf>
    <xf numFmtId="0" fontId="0" fillId="53" borderId="0" xfId="0" applyFill="1" applyAlignment="1" applyProtection="1">
      <alignment horizontal="center" vertical="center" wrapText="1"/>
      <protection locked="0"/>
    </xf>
    <xf numFmtId="0" fontId="248" fillId="116" borderId="0" xfId="0" applyFont="1" applyFill="1" applyAlignment="1" applyProtection="1">
      <alignment horizontal="left" vertical="top"/>
      <protection locked="0"/>
    </xf>
    <xf numFmtId="0" fontId="248" fillId="0" borderId="0" xfId="0" applyFont="1" applyAlignment="1" applyProtection="1">
      <alignment horizontal="left" vertical="top"/>
      <protection locked="0"/>
    </xf>
    <xf numFmtId="177" fontId="11" fillId="42" borderId="0" xfId="2" applyNumberFormat="1" applyFont="1" applyFill="1" applyBorder="1" applyAlignment="1" applyProtection="1">
      <alignment horizontal="right" vertical="center"/>
      <protection locked="0"/>
    </xf>
    <xf numFmtId="177" fontId="0" fillId="0" borderId="0" xfId="1" applyNumberFormat="1" applyFont="1" applyFill="1" applyBorder="1" applyAlignment="1" applyProtection="1">
      <alignment horizontal="right"/>
      <protection locked="0"/>
    </xf>
    <xf numFmtId="177" fontId="0" fillId="0" borderId="0" xfId="1" applyNumberFormat="1" applyFont="1" applyFill="1" applyBorder="1" applyAlignment="1" applyProtection="1">
      <protection locked="0"/>
    </xf>
    <xf numFmtId="0" fontId="9" fillId="53" borderId="0" xfId="0" applyFont="1" applyFill="1" applyAlignment="1" applyProtection="1">
      <alignment horizontal="left" indent="1"/>
      <protection locked="0"/>
    </xf>
    <xf numFmtId="177" fontId="0" fillId="51" borderId="71" xfId="1" applyNumberFormat="1" applyFont="1" applyFill="1" applyBorder="1" applyAlignment="1" applyProtection="1">
      <alignment horizontal="right" vertical="top"/>
    </xf>
    <xf numFmtId="0" fontId="11" fillId="37" borderId="71" xfId="75" applyFont="1" applyFill="1" applyBorder="1" applyAlignment="1">
      <alignment horizontal="center" vertical="top"/>
    </xf>
    <xf numFmtId="0" fontId="11" fillId="37" borderId="72" xfId="75" applyFont="1" applyFill="1" applyBorder="1" applyAlignment="1">
      <alignment horizontal="center" vertical="top"/>
    </xf>
    <xf numFmtId="183" fontId="0" fillId="51" borderId="71" xfId="1" applyNumberFormat="1" applyFont="1" applyFill="1" applyBorder="1" applyAlignment="1" applyProtection="1">
      <alignment horizontal="right"/>
    </xf>
    <xf numFmtId="177" fontId="12" fillId="52" borderId="71" xfId="2" applyNumberFormat="1" applyFont="1" applyFill="1" applyBorder="1" applyAlignment="1" applyProtection="1">
      <alignment horizontal="right" vertical="center"/>
    </xf>
    <xf numFmtId="177" fontId="12" fillId="52" borderId="73" xfId="2" applyNumberFormat="1" applyFont="1" applyFill="1" applyBorder="1" applyAlignment="1" applyProtection="1">
      <alignment horizontal="right" vertical="center"/>
    </xf>
    <xf numFmtId="177" fontId="11" fillId="52" borderId="71" xfId="2" applyNumberFormat="1" applyFont="1" applyFill="1" applyBorder="1" applyAlignment="1" applyProtection="1">
      <alignment horizontal="right" vertical="center"/>
    </xf>
    <xf numFmtId="177" fontId="11" fillId="52" borderId="73" xfId="2" applyNumberFormat="1" applyFont="1" applyFill="1" applyBorder="1" applyAlignment="1" applyProtection="1">
      <alignment horizontal="right" vertical="center"/>
    </xf>
    <xf numFmtId="0" fontId="32" fillId="47" borderId="130" xfId="75" applyFont="1" applyFill="1" applyBorder="1" applyProtection="1">
      <protection locked="0"/>
    </xf>
    <xf numFmtId="0" fontId="275" fillId="47" borderId="142" xfId="90" applyFont="1" applyFill="1" applyBorder="1" applyAlignment="1" applyProtection="1">
      <alignment horizontal="left"/>
      <protection locked="0"/>
    </xf>
    <xf numFmtId="0" fontId="249" fillId="48" borderId="0" xfId="79" applyFont="1" applyFill="1" applyAlignment="1" applyProtection="1">
      <alignment horizontal="left"/>
      <protection locked="0"/>
    </xf>
    <xf numFmtId="173" fontId="38" fillId="0" borderId="0" xfId="0" applyNumberFormat="1" applyFont="1" applyAlignment="1" applyProtection="1">
      <alignment vertical="center"/>
      <protection locked="0"/>
    </xf>
    <xf numFmtId="173" fontId="38" fillId="0" borderId="0" xfId="94" applyFill="1" applyProtection="1">
      <alignment vertical="center"/>
      <protection locked="0"/>
    </xf>
    <xf numFmtId="0" fontId="253" fillId="0" borderId="0" xfId="85" applyFont="1" applyProtection="1">
      <protection locked="0"/>
    </xf>
    <xf numFmtId="0" fontId="12" fillId="0" borderId="0" xfId="85" applyFont="1" applyProtection="1">
      <protection locked="0"/>
    </xf>
    <xf numFmtId="0" fontId="11" fillId="0" borderId="0" xfId="85" applyFont="1" applyProtection="1">
      <protection locked="0"/>
    </xf>
    <xf numFmtId="0" fontId="0" fillId="0" borderId="135" xfId="0" applyBorder="1" applyAlignment="1" applyProtection="1">
      <alignment horizontal="center" vertical="top"/>
      <protection locked="0"/>
    </xf>
    <xf numFmtId="0" fontId="0" fillId="0" borderId="28" xfId="0" applyBorder="1" applyAlignment="1" applyProtection="1">
      <alignment horizontal="center" vertical="top"/>
      <protection locked="0"/>
    </xf>
    <xf numFmtId="0" fontId="0" fillId="0" borderId="183" xfId="0" applyBorder="1" applyAlignment="1" applyProtection="1">
      <alignment horizontal="center" vertical="top"/>
      <protection locked="0"/>
    </xf>
    <xf numFmtId="0" fontId="0" fillId="0" borderId="138" xfId="0" applyBorder="1" applyAlignment="1" applyProtection="1">
      <alignment horizontal="center" vertical="top"/>
      <protection locked="0"/>
    </xf>
    <xf numFmtId="353" fontId="9" fillId="2" borderId="6" xfId="0" applyNumberFormat="1" applyFont="1" applyFill="1" applyBorder="1" applyAlignment="1" applyProtection="1">
      <alignment horizontal="center" vertical="center"/>
      <protection locked="0"/>
    </xf>
    <xf numFmtId="0" fontId="11" fillId="0" borderId="0" xfId="80" applyFont="1" applyAlignment="1" applyProtection="1">
      <alignment horizontal="right" indent="1"/>
      <protection locked="0"/>
    </xf>
    <xf numFmtId="1" fontId="9" fillId="2" borderId="105" xfId="0" applyNumberFormat="1" applyFont="1" applyFill="1" applyBorder="1" applyAlignment="1" applyProtection="1">
      <alignment horizontal="center" vertical="center"/>
      <protection locked="0"/>
    </xf>
    <xf numFmtId="1" fontId="9" fillId="2" borderId="106" xfId="0" applyNumberFormat="1" applyFont="1" applyFill="1" applyBorder="1" applyAlignment="1" applyProtection="1">
      <alignment horizontal="center" vertical="center"/>
      <protection locked="0"/>
    </xf>
    <xf numFmtId="1" fontId="9" fillId="2" borderId="91" xfId="0" applyNumberFormat="1" applyFont="1" applyFill="1" applyBorder="1" applyAlignment="1" applyProtection="1">
      <alignment horizontal="center" vertical="center"/>
      <protection locked="0"/>
    </xf>
    <xf numFmtId="1" fontId="9" fillId="2" borderId="184" xfId="0" applyNumberFormat="1" applyFont="1" applyFill="1" applyBorder="1" applyAlignment="1" applyProtection="1">
      <alignment horizontal="center" vertical="center"/>
      <protection locked="0"/>
    </xf>
    <xf numFmtId="1" fontId="9" fillId="2" borderId="182" xfId="0" applyNumberFormat="1" applyFont="1" applyFill="1" applyBorder="1" applyAlignment="1" applyProtection="1">
      <alignment horizontal="center" vertical="center"/>
      <protection locked="0"/>
    </xf>
    <xf numFmtId="0" fontId="11" fillId="0" borderId="0" xfId="48234" applyFont="1" applyAlignment="1" applyProtection="1">
      <alignment horizontal="center" vertical="center"/>
      <protection locked="0"/>
    </xf>
    <xf numFmtId="0" fontId="11" fillId="0" borderId="185" xfId="48234" applyFont="1" applyBorder="1" applyAlignment="1" applyProtection="1">
      <alignment horizontal="center" vertical="center"/>
      <protection locked="0"/>
    </xf>
    <xf numFmtId="0" fontId="11" fillId="0" borderId="130" xfId="48234" applyFont="1" applyBorder="1" applyAlignment="1" applyProtection="1">
      <alignment horizontal="center" vertical="center"/>
      <protection locked="0"/>
    </xf>
    <xf numFmtId="0" fontId="255" fillId="53" borderId="0" xfId="48236" applyFont="1" applyFill="1" applyAlignment="1" applyProtection="1">
      <alignment horizontal="left"/>
      <protection locked="0"/>
    </xf>
    <xf numFmtId="0" fontId="11" fillId="53" borderId="0" xfId="85" applyFont="1" applyFill="1" applyProtection="1">
      <protection locked="0"/>
    </xf>
    <xf numFmtId="0" fontId="11" fillId="53" borderId="0" xfId="48236" applyFill="1" applyProtection="1">
      <protection locked="0"/>
    </xf>
    <xf numFmtId="0" fontId="11" fillId="53" borderId="185" xfId="85" applyFont="1" applyFill="1" applyBorder="1" applyProtection="1">
      <protection locked="0"/>
    </xf>
    <xf numFmtId="0" fontId="258" fillId="0" borderId="0" xfId="85" applyFont="1" applyAlignment="1" applyProtection="1">
      <alignment horizontal="center"/>
      <protection locked="0"/>
    </xf>
    <xf numFmtId="0" fontId="258" fillId="0" borderId="0" xfId="85" applyFont="1" applyProtection="1">
      <protection locked="0"/>
    </xf>
    <xf numFmtId="0" fontId="259" fillId="0" borderId="0" xfId="85" applyFont="1" applyProtection="1">
      <protection locked="0"/>
    </xf>
    <xf numFmtId="0" fontId="259" fillId="0" borderId="185" xfId="85" applyFont="1" applyBorder="1" applyProtection="1">
      <protection locked="0"/>
    </xf>
    <xf numFmtId="0" fontId="12" fillId="51" borderId="0" xfId="85" applyFont="1" applyFill="1" applyProtection="1">
      <protection locked="0"/>
    </xf>
    <xf numFmtId="0" fontId="11" fillId="51" borderId="0" xfId="85" applyFont="1" applyFill="1" applyProtection="1">
      <protection locked="0"/>
    </xf>
    <xf numFmtId="0" fontId="11" fillId="0" borderId="6" xfId="85" applyFont="1" applyBorder="1" applyProtection="1">
      <protection locked="0"/>
    </xf>
    <xf numFmtId="0" fontId="11" fillId="0" borderId="0" xfId="85" applyFont="1" applyAlignment="1" applyProtection="1">
      <alignment horizontal="left" indent="1"/>
      <protection locked="0"/>
    </xf>
    <xf numFmtId="0" fontId="11" fillId="51" borderId="0" xfId="85" applyFont="1" applyFill="1" applyAlignment="1" applyProtection="1">
      <alignment horizontal="left" indent="1"/>
      <protection locked="0"/>
    </xf>
    <xf numFmtId="0" fontId="256" fillId="0" borderId="0" xfId="85" applyFont="1" applyProtection="1">
      <protection locked="0"/>
    </xf>
    <xf numFmtId="177" fontId="8" fillId="3" borderId="71" xfId="51696" applyNumberFormat="1" applyFill="1" applyBorder="1" applyProtection="1">
      <alignment vertical="center"/>
      <protection locked="0"/>
    </xf>
    <xf numFmtId="0" fontId="12" fillId="0" borderId="0" xfId="85" applyFont="1" applyAlignment="1" applyProtection="1">
      <alignment horizontal="center"/>
      <protection locked="0"/>
    </xf>
    <xf numFmtId="0" fontId="11" fillId="0" borderId="0" xfId="85" applyFont="1" applyAlignment="1" applyProtection="1">
      <alignment horizontal="center"/>
      <protection locked="0"/>
    </xf>
    <xf numFmtId="0" fontId="11" fillId="0" borderId="185" xfId="85" applyFont="1" applyBorder="1" applyProtection="1">
      <protection locked="0"/>
    </xf>
    <xf numFmtId="0" fontId="255" fillId="0" borderId="0" xfId="48236" applyFont="1" applyAlignment="1" applyProtection="1">
      <alignment horizontal="left"/>
      <protection locked="0"/>
    </xf>
    <xf numFmtId="0" fontId="11" fillId="0" borderId="0" xfId="48236" applyProtection="1">
      <protection locked="0"/>
    </xf>
    <xf numFmtId="0" fontId="256" fillId="0" borderId="0" xfId="48236" applyFont="1" applyProtection="1">
      <protection locked="0"/>
    </xf>
    <xf numFmtId="0" fontId="11" fillId="0" borderId="59" xfId="85" applyFont="1" applyBorder="1" applyAlignment="1" applyProtection="1">
      <alignment horizontal="center"/>
      <protection locked="0"/>
    </xf>
    <xf numFmtId="0" fontId="11" fillId="0" borderId="60" xfId="85" applyFont="1" applyBorder="1" applyAlignment="1" applyProtection="1">
      <alignment horizontal="center"/>
      <protection locked="0"/>
    </xf>
    <xf numFmtId="0" fontId="11" fillId="0" borderId="96" xfId="85" applyFont="1" applyBorder="1" applyAlignment="1" applyProtection="1">
      <alignment horizontal="center"/>
      <protection locked="0"/>
    </xf>
    <xf numFmtId="0" fontId="11" fillId="0" borderId="188" xfId="85" applyFont="1" applyBorder="1" applyAlignment="1" applyProtection="1">
      <alignment horizontal="center"/>
      <protection locked="0"/>
    </xf>
    <xf numFmtId="0" fontId="11" fillId="0" borderId="85" xfId="85" applyFont="1" applyBorder="1" applyAlignment="1" applyProtection="1">
      <alignment horizontal="center"/>
      <protection locked="0"/>
    </xf>
    <xf numFmtId="0" fontId="11" fillId="0" borderId="107" xfId="48236" applyBorder="1" applyAlignment="1" applyProtection="1">
      <alignment horizontal="left"/>
      <protection locked="0"/>
    </xf>
    <xf numFmtId="0" fontId="11" fillId="0" borderId="107" xfId="85" applyFont="1" applyBorder="1" applyProtection="1">
      <protection locked="0"/>
    </xf>
    <xf numFmtId="0" fontId="11" fillId="0" borderId="107" xfId="48236" applyBorder="1" applyProtection="1">
      <protection locked="0"/>
    </xf>
    <xf numFmtId="0" fontId="11" fillId="51" borderId="107" xfId="85" applyFont="1" applyFill="1" applyBorder="1" applyProtection="1">
      <protection locked="0"/>
    </xf>
    <xf numFmtId="0" fontId="11" fillId="51" borderId="107" xfId="48236" applyFill="1" applyBorder="1" applyProtection="1">
      <protection locked="0"/>
    </xf>
    <xf numFmtId="172" fontId="11" fillId="44" borderId="6" xfId="85" applyNumberFormat="1" applyFont="1" applyFill="1" applyBorder="1" applyProtection="1">
      <protection locked="0"/>
    </xf>
    <xf numFmtId="0" fontId="11" fillId="51" borderId="107" xfId="48236" applyFill="1" applyBorder="1" applyAlignment="1" applyProtection="1">
      <alignment horizontal="left"/>
      <protection locked="0"/>
    </xf>
    <xf numFmtId="0" fontId="11" fillId="3" borderId="107" xfId="48236" applyFill="1" applyBorder="1" applyAlignment="1" applyProtection="1">
      <alignment horizontal="left"/>
      <protection locked="0"/>
    </xf>
    <xf numFmtId="0" fontId="11" fillId="3" borderId="107" xfId="85" applyFont="1" applyFill="1" applyBorder="1" applyProtection="1">
      <protection locked="0"/>
    </xf>
    <xf numFmtId="0" fontId="11" fillId="0" borderId="107" xfId="84" applyFont="1" applyBorder="1" applyAlignment="1" applyProtection="1">
      <alignment wrapText="1"/>
      <protection locked="0"/>
    </xf>
    <xf numFmtId="0" fontId="12" fillId="0" borderId="107" xfId="48236" applyFont="1" applyBorder="1" applyAlignment="1" applyProtection="1">
      <alignment horizontal="left"/>
      <protection locked="0"/>
    </xf>
    <xf numFmtId="172" fontId="8" fillId="43" borderId="6" xfId="51696" applyProtection="1">
      <alignment vertical="center"/>
      <protection locked="0"/>
    </xf>
    <xf numFmtId="0" fontId="11" fillId="0" borderId="107" xfId="84" applyFont="1" applyBorder="1" applyAlignment="1" applyProtection="1">
      <alignment horizontal="left" wrapText="1"/>
      <protection locked="0"/>
    </xf>
    <xf numFmtId="0" fontId="11" fillId="0" borderId="108" xfId="48236" applyBorder="1" applyAlignment="1" applyProtection="1">
      <alignment horizontal="center"/>
      <protection locked="0"/>
    </xf>
    <xf numFmtId="0" fontId="11" fillId="0" borderId="108" xfId="85" applyFont="1" applyBorder="1" applyProtection="1">
      <protection locked="0"/>
    </xf>
    <xf numFmtId="0" fontId="11" fillId="0" borderId="108" xfId="48236" applyBorder="1" applyProtection="1">
      <protection locked="0"/>
    </xf>
    <xf numFmtId="176" fontId="11" fillId="0" borderId="0" xfId="48236" applyNumberFormat="1" applyProtection="1">
      <protection locked="0"/>
    </xf>
    <xf numFmtId="176" fontId="11" fillId="0" borderId="185" xfId="48236" applyNumberFormat="1" applyBorder="1" applyProtection="1">
      <protection locked="0"/>
    </xf>
    <xf numFmtId="0" fontId="12" fillId="0" borderId="109" xfId="48236" applyFont="1" applyBorder="1" applyAlignment="1" applyProtection="1">
      <alignment horizontal="left"/>
      <protection locked="0"/>
    </xf>
    <xf numFmtId="0" fontId="11" fillId="0" borderId="109" xfId="85" applyFont="1" applyBorder="1" applyProtection="1">
      <protection locked="0"/>
    </xf>
    <xf numFmtId="0" fontId="11" fillId="0" borderId="109" xfId="48236" applyBorder="1" applyProtection="1">
      <protection locked="0"/>
    </xf>
    <xf numFmtId="172" fontId="11" fillId="44" borderId="135" xfId="85" applyNumberFormat="1" applyFont="1" applyFill="1" applyBorder="1" applyProtection="1">
      <protection locked="0"/>
    </xf>
    <xf numFmtId="0" fontId="11" fillId="0" borderId="108" xfId="48236" applyBorder="1" applyAlignment="1" applyProtection="1">
      <alignment horizontal="left"/>
      <protection locked="0"/>
    </xf>
    <xf numFmtId="0" fontId="12" fillId="0" borderId="109" xfId="85" applyFont="1" applyBorder="1" applyAlignment="1" applyProtection="1">
      <alignment vertical="center"/>
      <protection locked="0"/>
    </xf>
    <xf numFmtId="0" fontId="8" fillId="0" borderId="109" xfId="0" applyFont="1" applyBorder="1" applyProtection="1">
      <protection locked="0"/>
    </xf>
    <xf numFmtId="0" fontId="11" fillId="0" borderId="107" xfId="85" applyFont="1" applyBorder="1" applyAlignment="1" applyProtection="1">
      <alignment horizontal="left" vertical="center"/>
      <protection locked="0"/>
    </xf>
    <xf numFmtId="0" fontId="11" fillId="0" borderId="107" xfId="85" applyFont="1" applyBorder="1" applyAlignment="1" applyProtection="1">
      <alignment horizontal="left" vertical="center" wrapText="1"/>
      <protection locked="0"/>
    </xf>
    <xf numFmtId="0" fontId="11" fillId="0" borderId="0" xfId="85" applyFont="1" applyAlignment="1" applyProtection="1">
      <alignment horizontal="left"/>
      <protection locked="0"/>
    </xf>
    <xf numFmtId="0" fontId="12" fillId="0" borderId="109" xfId="85" applyFont="1" applyBorder="1" applyProtection="1">
      <protection locked="0"/>
    </xf>
    <xf numFmtId="0" fontId="11" fillId="3" borderId="0" xfId="85" applyFont="1" applyFill="1" applyAlignment="1" applyProtection="1">
      <alignment horizontal="left" vertical="center"/>
      <protection locked="0"/>
    </xf>
    <xf numFmtId="0" fontId="12" fillId="0" borderId="107" xfId="85" applyFont="1" applyBorder="1" applyAlignment="1" applyProtection="1">
      <alignment horizontal="left" vertical="center"/>
      <protection locked="0"/>
    </xf>
    <xf numFmtId="0" fontId="12" fillId="0" borderId="107" xfId="85" applyFont="1" applyBorder="1" applyAlignment="1" applyProtection="1">
      <alignment horizontal="left" vertical="center" wrapText="1"/>
      <protection locked="0"/>
    </xf>
    <xf numFmtId="0" fontId="257" fillId="0" borderId="108" xfId="48237" applyFont="1" applyBorder="1" applyProtection="1">
      <protection locked="0"/>
    </xf>
    <xf numFmtId="0" fontId="8" fillId="0" borderId="108" xfId="0" applyFont="1" applyBorder="1" applyProtection="1">
      <protection locked="0"/>
    </xf>
    <xf numFmtId="0" fontId="11" fillId="0" borderId="0" xfId="85" applyFont="1" applyAlignment="1" applyProtection="1">
      <alignment horizontal="left" vertical="center"/>
      <protection locked="0"/>
    </xf>
    <xf numFmtId="0" fontId="9" fillId="42" borderId="0" xfId="0" applyFont="1" applyFill="1" applyAlignment="1" applyProtection="1">
      <alignment horizontal="left" indent="1"/>
      <protection locked="0"/>
    </xf>
    <xf numFmtId="0" fontId="11" fillId="42" borderId="0" xfId="85" applyFont="1" applyFill="1" applyProtection="1">
      <protection locked="0"/>
    </xf>
    <xf numFmtId="177" fontId="8" fillId="42" borderId="0" xfId="51696" applyNumberFormat="1" applyFill="1" applyBorder="1" applyProtection="1">
      <alignment vertical="center"/>
      <protection locked="0"/>
    </xf>
    <xf numFmtId="177" fontId="8" fillId="42" borderId="185" xfId="51696" applyNumberFormat="1" applyFill="1" applyBorder="1" applyProtection="1">
      <alignment vertical="center"/>
      <protection locked="0"/>
    </xf>
    <xf numFmtId="0" fontId="11" fillId="3" borderId="107" xfId="84" applyFont="1" applyFill="1" applyBorder="1" applyAlignment="1" applyProtection="1">
      <alignment wrapText="1"/>
      <protection locked="0"/>
    </xf>
    <xf numFmtId="174" fontId="11" fillId="0" borderId="0" xfId="85" applyNumberFormat="1" applyFont="1" applyProtection="1">
      <protection locked="0"/>
    </xf>
    <xf numFmtId="174" fontId="11" fillId="0" borderId="185" xfId="85" applyNumberFormat="1" applyFont="1" applyBorder="1" applyProtection="1">
      <protection locked="0"/>
    </xf>
    <xf numFmtId="174" fontId="11" fillId="0" borderId="0" xfId="48236" applyNumberFormat="1" applyProtection="1">
      <protection locked="0"/>
    </xf>
    <xf numFmtId="174" fontId="11" fillId="0" borderId="185" xfId="48236" applyNumberFormat="1" applyBorder="1" applyProtection="1">
      <protection locked="0"/>
    </xf>
    <xf numFmtId="0" fontId="11" fillId="0" borderId="108" xfId="85" applyFont="1" applyBorder="1" applyAlignment="1" applyProtection="1">
      <alignment horizontal="left" vertical="center"/>
      <protection locked="0"/>
    </xf>
    <xf numFmtId="0" fontId="11" fillId="0" borderId="111" xfId="85" applyFont="1" applyBorder="1" applyProtection="1">
      <protection locked="0"/>
    </xf>
    <xf numFmtId="0" fontId="12" fillId="0" borderId="0" xfId="85" applyFont="1" applyAlignment="1" applyProtection="1">
      <alignment horizontal="left" indent="1"/>
      <protection locked="0"/>
    </xf>
    <xf numFmtId="173" fontId="37" fillId="0" borderId="0" xfId="0" applyNumberFormat="1" applyFont="1" applyAlignment="1" applyProtection="1">
      <alignment vertical="center"/>
      <protection locked="0"/>
    </xf>
    <xf numFmtId="173" fontId="39" fillId="49" borderId="0" xfId="96" applyAlignment="1" applyProtection="1">
      <alignment vertical="center"/>
      <protection locked="0"/>
    </xf>
    <xf numFmtId="173" fontId="39" fillId="49" borderId="185" xfId="96" applyBorder="1" applyAlignment="1" applyProtection="1">
      <alignment vertical="center"/>
      <protection locked="0"/>
    </xf>
    <xf numFmtId="173" fontId="39" fillId="0" borderId="0" xfId="96" applyFill="1" applyAlignment="1" applyProtection="1">
      <alignment vertical="center"/>
      <protection locked="0"/>
    </xf>
    <xf numFmtId="173" fontId="39" fillId="42" borderId="0" xfId="96" applyFill="1" applyAlignment="1" applyProtection="1">
      <alignment vertical="center"/>
      <protection locked="0"/>
    </xf>
    <xf numFmtId="173" fontId="37" fillId="42" borderId="0" xfId="0" applyNumberFormat="1" applyFont="1" applyFill="1" applyAlignment="1" applyProtection="1">
      <alignment vertical="center"/>
      <protection locked="0"/>
    </xf>
    <xf numFmtId="177" fontId="8" fillId="43" borderId="71" xfId="51696" applyNumberFormat="1" applyBorder="1">
      <alignment vertical="center"/>
    </xf>
    <xf numFmtId="177" fontId="8" fillId="43" borderId="72" xfId="51696" applyNumberFormat="1" applyBorder="1">
      <alignment vertical="center"/>
    </xf>
    <xf numFmtId="177" fontId="8" fillId="43" borderId="104" xfId="51696" applyNumberFormat="1" applyBorder="1">
      <alignment vertical="center"/>
    </xf>
    <xf numFmtId="177" fontId="8" fillId="43" borderId="186" xfId="51696" applyNumberFormat="1" applyBorder="1">
      <alignment vertical="center"/>
    </xf>
    <xf numFmtId="177" fontId="8" fillId="43" borderId="164" xfId="51696" applyNumberFormat="1" applyBorder="1">
      <alignment vertical="center"/>
    </xf>
    <xf numFmtId="177" fontId="8" fillId="43" borderId="65" xfId="51696" applyNumberFormat="1" applyBorder="1">
      <alignment vertical="center"/>
    </xf>
    <xf numFmtId="177" fontId="8" fillId="43" borderId="66" xfId="51696" applyNumberFormat="1" applyBorder="1">
      <alignment vertical="center"/>
    </xf>
    <xf numFmtId="177" fontId="8" fillId="43" borderId="92" xfId="51696" applyNumberFormat="1" applyBorder="1">
      <alignment vertical="center"/>
    </xf>
    <xf numFmtId="177" fontId="8" fillId="43" borderId="187" xfId="51696" applyNumberFormat="1" applyBorder="1">
      <alignment vertical="center"/>
    </xf>
    <xf numFmtId="177" fontId="8" fillId="43" borderId="86" xfId="51696" applyNumberFormat="1" applyBorder="1">
      <alignment vertical="center"/>
    </xf>
    <xf numFmtId="0" fontId="11" fillId="52" borderId="0" xfId="85" applyFont="1" applyFill="1"/>
    <xf numFmtId="0" fontId="11" fillId="52" borderId="185" xfId="85" applyFont="1" applyFill="1" applyBorder="1"/>
    <xf numFmtId="177" fontId="11" fillId="51" borderId="62" xfId="85" applyNumberFormat="1" applyFont="1" applyFill="1" applyBorder="1"/>
    <xf numFmtId="177" fontId="11" fillId="51" borderId="63" xfId="85" applyNumberFormat="1" applyFont="1" applyFill="1" applyBorder="1"/>
    <xf numFmtId="177" fontId="11" fillId="51" borderId="94" xfId="85" applyNumberFormat="1" applyFont="1" applyFill="1" applyBorder="1"/>
    <xf numFmtId="177" fontId="11" fillId="51" borderId="189" xfId="85" applyNumberFormat="1" applyFont="1" applyFill="1" applyBorder="1"/>
    <xf numFmtId="177" fontId="11" fillId="51" borderId="81" xfId="85" applyNumberFormat="1" applyFont="1" applyFill="1" applyBorder="1"/>
    <xf numFmtId="177" fontId="11" fillId="51" borderId="101" xfId="85" applyNumberFormat="1" applyFont="1" applyFill="1" applyBorder="1"/>
    <xf numFmtId="177" fontId="11" fillId="51" borderId="190" xfId="85" applyNumberFormat="1" applyFont="1" applyFill="1" applyBorder="1"/>
    <xf numFmtId="177" fontId="11" fillId="52" borderId="62" xfId="85" applyNumberFormat="1" applyFont="1" applyFill="1" applyBorder="1"/>
    <xf numFmtId="177" fontId="11" fillId="52" borderId="100" xfId="85" applyNumberFormat="1" applyFont="1" applyFill="1" applyBorder="1"/>
    <xf numFmtId="177" fontId="11" fillId="52" borderId="191" xfId="85" applyNumberFormat="1" applyFont="1" applyFill="1" applyBorder="1"/>
    <xf numFmtId="177" fontId="11" fillId="52" borderId="81" xfId="85" applyNumberFormat="1" applyFont="1" applyFill="1" applyBorder="1"/>
    <xf numFmtId="177" fontId="8" fillId="43" borderId="59" xfId="51696" applyNumberFormat="1" applyBorder="1">
      <alignment vertical="center"/>
    </xf>
    <xf numFmtId="177" fontId="8" fillId="43" borderId="60" xfId="51696" applyNumberFormat="1" applyBorder="1">
      <alignment vertical="center"/>
    </xf>
    <xf numFmtId="177" fontId="8" fillId="43" borderId="96" xfId="51696" applyNumberFormat="1" applyBorder="1">
      <alignment vertical="center"/>
    </xf>
    <xf numFmtId="177" fontId="8" fillId="43" borderId="188" xfId="51696" applyNumberFormat="1" applyBorder="1">
      <alignment vertical="center"/>
    </xf>
    <xf numFmtId="177" fontId="8" fillId="43" borderId="85" xfId="51696" applyNumberFormat="1" applyBorder="1">
      <alignment vertical="center"/>
    </xf>
    <xf numFmtId="177" fontId="11" fillId="51" borderId="68" xfId="85" applyNumberFormat="1" applyFont="1" applyFill="1" applyBorder="1"/>
    <xf numFmtId="177" fontId="11" fillId="51" borderId="69" xfId="85" applyNumberFormat="1" applyFont="1" applyFill="1" applyBorder="1"/>
    <xf numFmtId="177" fontId="11" fillId="51" borderId="110" xfId="85" applyNumberFormat="1" applyFont="1" applyFill="1" applyBorder="1"/>
    <xf numFmtId="177" fontId="11" fillId="51" borderId="192" xfId="85" applyNumberFormat="1" applyFont="1" applyFill="1" applyBorder="1"/>
    <xf numFmtId="177" fontId="11" fillId="51" borderId="82" xfId="85" applyNumberFormat="1" applyFont="1" applyFill="1" applyBorder="1"/>
    <xf numFmtId="177" fontId="11" fillId="51" borderId="59" xfId="85" applyNumberFormat="1" applyFont="1" applyFill="1" applyBorder="1"/>
    <xf numFmtId="177" fontId="11" fillId="51" borderId="60" xfId="85" applyNumberFormat="1" applyFont="1" applyFill="1" applyBorder="1"/>
    <xf numFmtId="177" fontId="11" fillId="51" borderId="96" xfId="85" applyNumberFormat="1" applyFont="1" applyFill="1" applyBorder="1"/>
    <xf numFmtId="177" fontId="11" fillId="51" borderId="188" xfId="85" applyNumberFormat="1" applyFont="1" applyFill="1" applyBorder="1"/>
    <xf numFmtId="177" fontId="11" fillId="51" borderId="85" xfId="85" applyNumberFormat="1" applyFont="1" applyFill="1" applyBorder="1"/>
    <xf numFmtId="177" fontId="8" fillId="51" borderId="71" xfId="51696" applyNumberFormat="1" applyFill="1" applyBorder="1">
      <alignment vertical="center"/>
    </xf>
    <xf numFmtId="177" fontId="8" fillId="51" borderId="135" xfId="51696" applyNumberFormat="1" applyFill="1" applyBorder="1">
      <alignment vertical="center"/>
    </xf>
    <xf numFmtId="177" fontId="8" fillId="51" borderId="193" xfId="51696" applyNumberFormat="1" applyFill="1" applyBorder="1">
      <alignment vertical="center"/>
    </xf>
    <xf numFmtId="177" fontId="8" fillId="51" borderId="164" xfId="51696" applyNumberFormat="1" applyFill="1" applyBorder="1">
      <alignment vertical="center"/>
    </xf>
    <xf numFmtId="177" fontId="8" fillId="43" borderId="135" xfId="51696" applyNumberFormat="1" applyBorder="1">
      <alignment vertical="center"/>
    </xf>
    <xf numFmtId="177" fontId="8" fillId="43" borderId="193" xfId="51696" applyNumberFormat="1" applyBorder="1">
      <alignment vertical="center"/>
    </xf>
    <xf numFmtId="177" fontId="11" fillId="44" borderId="59" xfId="85" applyNumberFormat="1" applyFont="1" applyFill="1" applyBorder="1"/>
    <xf numFmtId="177" fontId="11" fillId="44" borderId="60" xfId="85" applyNumberFormat="1" applyFont="1" applyFill="1" applyBorder="1"/>
    <xf numFmtId="177" fontId="11" fillId="44" borderId="96" xfId="85" applyNumberFormat="1" applyFont="1" applyFill="1" applyBorder="1"/>
    <xf numFmtId="177" fontId="11" fillId="44" borderId="188" xfId="85" applyNumberFormat="1" applyFont="1" applyFill="1" applyBorder="1"/>
    <xf numFmtId="177" fontId="11" fillId="44" borderId="85" xfId="85" applyNumberFormat="1" applyFont="1" applyFill="1" applyBorder="1"/>
    <xf numFmtId="177" fontId="11" fillId="51" borderId="65" xfId="85" applyNumberFormat="1" applyFont="1" applyFill="1" applyBorder="1"/>
    <xf numFmtId="177" fontId="11" fillId="51" borderId="66" xfId="85" applyNumberFormat="1" applyFont="1" applyFill="1" applyBorder="1"/>
    <xf numFmtId="177" fontId="11" fillId="51" borderId="92" xfId="85" applyNumberFormat="1" applyFont="1" applyFill="1" applyBorder="1"/>
    <xf numFmtId="177" fontId="11" fillId="51" borderId="187" xfId="85" applyNumberFormat="1" applyFont="1" applyFill="1" applyBorder="1"/>
    <xf numFmtId="177" fontId="11" fillId="51" borderId="86" xfId="85" applyNumberFormat="1" applyFont="1" applyFill="1" applyBorder="1"/>
    <xf numFmtId="177" fontId="8" fillId="51" borderId="59" xfId="51696" applyNumberFormat="1" applyFill="1" applyBorder="1">
      <alignment vertical="center"/>
    </xf>
    <xf numFmtId="177" fontId="8" fillId="51" borderId="102" xfId="51696" applyNumberFormat="1" applyFill="1" applyBorder="1">
      <alignment vertical="center"/>
    </xf>
    <xf numFmtId="177" fontId="8" fillId="51" borderId="194" xfId="51696" applyNumberFormat="1" applyFill="1" applyBorder="1">
      <alignment vertical="center"/>
    </xf>
    <xf numFmtId="177" fontId="8" fillId="51" borderId="85" xfId="51696" applyNumberFormat="1" applyFill="1" applyBorder="1">
      <alignment vertical="center"/>
    </xf>
    <xf numFmtId="177" fontId="8" fillId="51" borderId="74" xfId="51696" applyNumberFormat="1" applyFill="1" applyBorder="1">
      <alignment vertical="center"/>
    </xf>
    <xf numFmtId="177" fontId="8" fillId="51" borderId="168" xfId="51696" applyNumberFormat="1" applyFill="1" applyBorder="1">
      <alignment vertical="center"/>
    </xf>
    <xf numFmtId="177" fontId="8" fillId="51" borderId="0" xfId="51696" applyNumberFormat="1" applyFill="1" applyBorder="1">
      <alignment vertical="center"/>
    </xf>
    <xf numFmtId="177" fontId="8" fillId="51" borderId="185" xfId="51696" applyNumberFormat="1" applyFill="1" applyBorder="1">
      <alignment vertical="center"/>
    </xf>
    <xf numFmtId="177" fontId="8" fillId="51" borderId="60" xfId="51696" applyNumberFormat="1" applyFill="1" applyBorder="1">
      <alignment vertical="center"/>
    </xf>
    <xf numFmtId="177" fontId="8" fillId="51" borderId="96" xfId="51696" applyNumberFormat="1" applyFill="1" applyBorder="1">
      <alignment vertical="center"/>
    </xf>
    <xf numFmtId="177" fontId="8" fillId="51" borderId="188" xfId="51696" applyNumberFormat="1" applyFill="1" applyBorder="1">
      <alignment vertical="center"/>
    </xf>
    <xf numFmtId="177" fontId="8" fillId="51" borderId="72" xfId="51696" applyNumberFormat="1" applyFill="1" applyBorder="1">
      <alignment vertical="center"/>
    </xf>
    <xf numFmtId="177" fontId="8" fillId="51" borderId="104" xfId="51696" applyNumberFormat="1" applyFill="1" applyBorder="1">
      <alignment vertical="center"/>
    </xf>
    <xf numFmtId="177" fontId="8" fillId="51" borderId="186" xfId="51696" applyNumberFormat="1" applyFill="1" applyBorder="1">
      <alignment vertical="center"/>
    </xf>
    <xf numFmtId="177" fontId="8" fillId="43" borderId="62" xfId="51696" applyNumberFormat="1" applyBorder="1">
      <alignment vertical="center"/>
    </xf>
    <xf numFmtId="177" fontId="8" fillId="43" borderId="100" xfId="51696" applyNumberFormat="1" applyBorder="1">
      <alignment vertical="center"/>
    </xf>
    <xf numFmtId="177" fontId="8" fillId="43" borderId="191" xfId="51696" applyNumberFormat="1" applyBorder="1">
      <alignment vertical="center"/>
    </xf>
    <xf numFmtId="177" fontId="8" fillId="43" borderId="81" xfId="51696" applyNumberFormat="1" applyBorder="1">
      <alignment vertical="center"/>
    </xf>
    <xf numFmtId="177" fontId="9" fillId="43" borderId="62" xfId="51696" applyNumberFormat="1" applyFont="1" applyBorder="1">
      <alignment vertical="center"/>
    </xf>
    <xf numFmtId="177" fontId="9" fillId="43" borderId="100" xfId="51696" applyNumberFormat="1" applyFont="1" applyBorder="1">
      <alignment vertical="center"/>
    </xf>
    <xf numFmtId="177" fontId="9" fillId="43" borderId="191" xfId="51696" applyNumberFormat="1" applyFont="1" applyBorder="1">
      <alignment vertical="center"/>
    </xf>
    <xf numFmtId="177" fontId="9" fillId="43" borderId="81" xfId="51696" applyNumberFormat="1" applyFont="1" applyBorder="1">
      <alignment vertical="center"/>
    </xf>
    <xf numFmtId="177" fontId="11" fillId="3" borderId="6" xfId="2" applyNumberFormat="1" applyFont="1" applyFill="1" applyBorder="1" applyProtection="1">
      <protection locked="0"/>
    </xf>
    <xf numFmtId="0" fontId="30" fillId="0" borderId="0" xfId="0" applyFont="1" applyAlignment="1" applyProtection="1">
      <alignment horizontal="left" vertical="top"/>
      <protection locked="0"/>
    </xf>
    <xf numFmtId="256" fontId="0" fillId="0" borderId="0" xfId="0" applyNumberFormat="1" applyAlignment="1" applyProtection="1">
      <alignment horizontal="left" vertical="top"/>
      <protection locked="0"/>
    </xf>
    <xf numFmtId="10" fontId="0" fillId="0" borderId="0" xfId="77" applyNumberFormat="1" applyFont="1" applyProtection="1">
      <protection locked="0"/>
    </xf>
    <xf numFmtId="177" fontId="11" fillId="3" borderId="59" xfId="1" applyNumberFormat="1" applyFont="1" applyFill="1" applyBorder="1" applyProtection="1">
      <protection locked="0"/>
    </xf>
    <xf numFmtId="0" fontId="11" fillId="0" borderId="0" xfId="85" applyFont="1" applyAlignment="1" applyProtection="1">
      <alignment horizontal="left" vertical="center" wrapText="1"/>
      <protection locked="0"/>
    </xf>
    <xf numFmtId="0" fontId="11" fillId="0" borderId="0" xfId="75" applyFont="1" applyAlignment="1" applyProtection="1">
      <alignment horizontal="center" vertical="top"/>
      <protection locked="0"/>
    </xf>
    <xf numFmtId="177" fontId="9" fillId="51" borderId="71" xfId="1" applyNumberFormat="1" applyFont="1" applyFill="1" applyBorder="1" applyAlignment="1" applyProtection="1">
      <alignment horizontal="right"/>
    </xf>
    <xf numFmtId="177" fontId="11" fillId="51" borderId="59" xfId="1" applyNumberFormat="1" applyFont="1" applyFill="1" applyBorder="1" applyProtection="1"/>
    <xf numFmtId="177" fontId="11" fillId="51" borderId="62" xfId="1" applyNumberFormat="1" applyFont="1" applyFill="1" applyBorder="1" applyProtection="1"/>
    <xf numFmtId="177" fontId="9" fillId="52" borderId="71" xfId="1" applyNumberFormat="1" applyFont="1" applyFill="1" applyBorder="1" applyAlignment="1" applyProtection="1">
      <alignment horizontal="right"/>
    </xf>
    <xf numFmtId="177" fontId="0" fillId="51" borderId="62" xfId="1" applyNumberFormat="1" applyFont="1" applyFill="1" applyBorder="1" applyAlignment="1" applyProtection="1">
      <alignment horizontal="right"/>
    </xf>
    <xf numFmtId="177" fontId="11" fillId="38" borderId="106" xfId="1" applyNumberFormat="1" applyFont="1" applyFill="1" applyBorder="1" applyProtection="1"/>
    <xf numFmtId="177" fontId="11" fillId="38" borderId="105" xfId="1" applyNumberFormat="1" applyFont="1" applyFill="1" applyBorder="1" applyProtection="1"/>
    <xf numFmtId="9" fontId="0" fillId="51" borderId="136" xfId="1" applyNumberFormat="1" applyFont="1" applyFill="1" applyBorder="1" applyAlignment="1" applyProtection="1">
      <alignment horizontal="right"/>
    </xf>
    <xf numFmtId="9" fontId="11" fillId="52" borderId="65" xfId="75" applyNumberFormat="1" applyFont="1" applyFill="1" applyBorder="1" applyAlignment="1">
      <alignment vertical="top"/>
    </xf>
    <xf numFmtId="9" fontId="11" fillId="52" borderId="66" xfId="75" applyNumberFormat="1" applyFont="1" applyFill="1" applyBorder="1" applyAlignment="1">
      <alignment vertical="top"/>
    </xf>
    <xf numFmtId="177" fontId="0" fillId="52" borderId="59" xfId="0" applyNumberFormat="1" applyFill="1" applyBorder="1"/>
    <xf numFmtId="177" fontId="0" fillId="52" borderId="60" xfId="0" applyNumberFormat="1" applyFill="1" applyBorder="1"/>
    <xf numFmtId="177" fontId="0" fillId="52" borderId="74" xfId="0" applyNumberFormat="1" applyFill="1" applyBorder="1"/>
    <xf numFmtId="177" fontId="0" fillId="52" borderId="75" xfId="0" applyNumberFormat="1" applyFill="1" applyBorder="1"/>
    <xf numFmtId="177" fontId="0" fillId="51" borderId="71" xfId="0" applyNumberFormat="1" applyFill="1" applyBorder="1"/>
    <xf numFmtId="175" fontId="0" fillId="52" borderId="71" xfId="0" applyNumberFormat="1" applyFill="1" applyBorder="1"/>
    <xf numFmtId="175" fontId="0" fillId="52" borderId="72" xfId="0" applyNumberFormat="1" applyFill="1" applyBorder="1"/>
    <xf numFmtId="175" fontId="0" fillId="51" borderId="68" xfId="0" applyNumberFormat="1" applyFill="1" applyBorder="1"/>
    <xf numFmtId="175" fontId="0" fillId="51" borderId="69" xfId="0" applyNumberFormat="1" applyFill="1" applyBorder="1"/>
    <xf numFmtId="175" fontId="0" fillId="52" borderId="71" xfId="0" applyNumberFormat="1" applyFill="1" applyBorder="1" applyAlignment="1">
      <alignment horizontal="right"/>
    </xf>
    <xf numFmtId="175" fontId="0" fillId="52" borderId="72" xfId="0" applyNumberFormat="1" applyFill="1" applyBorder="1" applyAlignment="1">
      <alignment horizontal="right"/>
    </xf>
    <xf numFmtId="351" fontId="0" fillId="52" borderId="59" xfId="0" applyNumberFormat="1" applyFill="1" applyBorder="1" applyAlignment="1">
      <alignment horizontal="right" vertical="top"/>
    </xf>
    <xf numFmtId="178" fontId="0" fillId="52" borderId="60" xfId="0" applyNumberFormat="1" applyFill="1" applyBorder="1" applyAlignment="1">
      <alignment horizontal="right" vertical="top"/>
    </xf>
    <xf numFmtId="177" fontId="0" fillId="52" borderId="74" xfId="0" applyNumberFormat="1" applyFill="1" applyBorder="1" applyAlignment="1">
      <alignment horizontal="right" vertical="top"/>
    </xf>
    <xf numFmtId="177" fontId="0" fillId="52" borderId="75" xfId="0" applyNumberFormat="1" applyFill="1" applyBorder="1" applyAlignment="1">
      <alignment horizontal="right" vertical="top"/>
    </xf>
    <xf numFmtId="177" fontId="8" fillId="43" borderId="114" xfId="51696" applyNumberFormat="1" applyBorder="1">
      <alignment vertical="center"/>
    </xf>
    <xf numFmtId="177" fontId="8" fillId="43" borderId="68" xfId="51696" applyNumberFormat="1" applyBorder="1">
      <alignment vertical="center"/>
    </xf>
    <xf numFmtId="177" fontId="8" fillId="43" borderId="69" xfId="51696" applyNumberFormat="1" applyBorder="1">
      <alignment vertical="center"/>
    </xf>
    <xf numFmtId="177" fontId="8" fillId="43" borderId="110" xfId="51696" applyNumberFormat="1" applyBorder="1">
      <alignment vertical="center"/>
    </xf>
    <xf numFmtId="177" fontId="8" fillId="43" borderId="117" xfId="51696" applyNumberFormat="1" applyBorder="1">
      <alignment vertical="center"/>
    </xf>
    <xf numFmtId="177" fontId="8" fillId="43" borderId="169" xfId="51696" applyNumberFormat="1" applyBorder="1">
      <alignment vertical="center"/>
    </xf>
    <xf numFmtId="177" fontId="8" fillId="43" borderId="170" xfId="51696" applyNumberFormat="1" applyBorder="1">
      <alignment vertical="center"/>
    </xf>
    <xf numFmtId="177" fontId="8" fillId="43" borderId="171" xfId="51696" applyNumberFormat="1" applyBorder="1">
      <alignment vertical="center"/>
    </xf>
    <xf numFmtId="177" fontId="8" fillId="43" borderId="172" xfId="51696" applyNumberFormat="1" applyBorder="1">
      <alignment vertical="center"/>
    </xf>
    <xf numFmtId="177" fontId="8" fillId="43" borderId="132" xfId="51696" applyNumberFormat="1" applyBorder="1">
      <alignment vertical="center"/>
    </xf>
    <xf numFmtId="177" fontId="8" fillId="43" borderId="133" xfId="51696" applyNumberFormat="1" applyBorder="1">
      <alignment vertical="center"/>
    </xf>
    <xf numFmtId="177" fontId="8" fillId="43" borderId="173" xfId="51696" applyNumberFormat="1" applyBorder="1">
      <alignment vertical="center"/>
    </xf>
    <xf numFmtId="177" fontId="8" fillId="43" borderId="174" xfId="51696" applyNumberFormat="1" applyBorder="1">
      <alignment vertical="center"/>
    </xf>
    <xf numFmtId="177" fontId="8" fillId="43" borderId="105" xfId="51696" applyNumberFormat="1" applyBorder="1">
      <alignment vertical="center"/>
    </xf>
    <xf numFmtId="177" fontId="8" fillId="43" borderId="106" xfId="51696" applyNumberFormat="1" applyBorder="1">
      <alignment vertical="center"/>
    </xf>
    <xf numFmtId="177" fontId="8" fillId="43" borderId="91" xfId="51696" applyNumberFormat="1" applyBorder="1">
      <alignment vertical="center"/>
    </xf>
    <xf numFmtId="177" fontId="8" fillId="43" borderId="115" xfId="51696" applyNumberFormat="1" applyBorder="1">
      <alignment vertical="center"/>
    </xf>
    <xf numFmtId="0" fontId="11" fillId="0" borderId="0" xfId="85" applyFont="1"/>
    <xf numFmtId="0" fontId="11" fillId="0" borderId="175" xfId="85" applyFont="1" applyBorder="1"/>
    <xf numFmtId="177" fontId="8" fillId="43" borderId="116" xfId="51696" applyNumberFormat="1" applyBorder="1">
      <alignment vertical="center"/>
    </xf>
    <xf numFmtId="177" fontId="8" fillId="43" borderId="63" xfId="51696" applyNumberFormat="1" applyBorder="1">
      <alignment vertical="center"/>
    </xf>
    <xf numFmtId="177" fontId="8" fillId="43" borderId="94" xfId="51696" applyNumberFormat="1" applyBorder="1">
      <alignment vertical="center"/>
    </xf>
    <xf numFmtId="177" fontId="8" fillId="43" borderId="113" xfId="51696" applyNumberFormat="1" applyBorder="1">
      <alignment vertical="center"/>
    </xf>
    <xf numFmtId="9" fontId="8" fillId="52" borderId="62" xfId="77" applyFill="1" applyBorder="1" applyAlignment="1" applyProtection="1">
      <alignment vertical="center"/>
    </xf>
    <xf numFmtId="9" fontId="8" fillId="52" borderId="68" xfId="77" applyFill="1" applyBorder="1" applyAlignment="1" applyProtection="1">
      <alignment vertical="center"/>
    </xf>
    <xf numFmtId="9" fontId="8" fillId="52" borderId="82" xfId="77" applyFill="1" applyBorder="1" applyAlignment="1" applyProtection="1">
      <alignment vertical="center"/>
    </xf>
    <xf numFmtId="9" fontId="8" fillId="52" borderId="176" xfId="77" applyFill="1" applyBorder="1" applyAlignment="1" applyProtection="1">
      <alignment vertical="center"/>
    </xf>
    <xf numFmtId="0" fontId="11" fillId="0" borderId="111" xfId="85" applyFont="1" applyBorder="1"/>
    <xf numFmtId="9" fontId="8" fillId="52" borderId="59" xfId="77" applyFill="1" applyBorder="1" applyAlignment="1" applyProtection="1">
      <alignment vertical="center"/>
    </xf>
    <xf numFmtId="0" fontId="31" fillId="47" borderId="130" xfId="90" applyFont="1" applyFill="1" applyBorder="1" applyAlignment="1" applyProtection="1">
      <alignment horizontal="center"/>
      <protection locked="0"/>
    </xf>
    <xf numFmtId="0" fontId="31" fillId="47" borderId="0" xfId="90" applyFont="1" applyFill="1" applyAlignment="1" applyProtection="1">
      <alignment horizontal="center"/>
      <protection locked="0"/>
    </xf>
    <xf numFmtId="0" fontId="12" fillId="0" borderId="0" xfId="0" applyFont="1" applyAlignment="1" applyProtection="1">
      <alignment horizontal="left" vertical="top"/>
      <protection locked="0"/>
    </xf>
    <xf numFmtId="0" fontId="248" fillId="0" borderId="0" xfId="0" applyFont="1" applyAlignment="1" applyProtection="1">
      <alignment horizontal="left" vertical="top" indent="1"/>
      <protection locked="0"/>
    </xf>
    <xf numFmtId="1" fontId="0" fillId="0" borderId="0" xfId="0" applyNumberFormat="1" applyAlignment="1" applyProtection="1">
      <alignment horizontal="center" vertical="top"/>
      <protection locked="0"/>
    </xf>
    <xf numFmtId="177" fontId="11" fillId="131" borderId="60" xfId="2" applyNumberFormat="1" applyFont="1" applyFill="1" applyBorder="1" applyProtection="1">
      <protection locked="0"/>
    </xf>
    <xf numFmtId="177" fontId="11" fillId="131" borderId="68" xfId="2" applyNumberFormat="1" applyFont="1" applyFill="1" applyBorder="1" applyProtection="1">
      <protection locked="0"/>
    </xf>
    <xf numFmtId="0" fontId="0" fillId="0" borderId="0" xfId="0" applyAlignment="1" applyProtection="1">
      <alignment horizontal="left" vertical="top" indent="2"/>
      <protection locked="0"/>
    </xf>
    <xf numFmtId="177" fontId="11" fillId="131" borderId="59" xfId="2" applyNumberFormat="1" applyFont="1" applyFill="1" applyBorder="1" applyProtection="1">
      <protection locked="0"/>
    </xf>
    <xf numFmtId="177" fontId="11" fillId="3" borderId="76" xfId="2" applyNumberFormat="1" applyFont="1" applyFill="1" applyBorder="1" applyProtection="1">
      <protection locked="0"/>
    </xf>
    <xf numFmtId="177" fontId="11" fillId="3" borderId="87" xfId="2" applyNumberFormat="1" applyFont="1" applyFill="1" applyBorder="1" applyProtection="1">
      <protection locked="0"/>
    </xf>
    <xf numFmtId="0" fontId="9" fillId="0" borderId="0" xfId="0" applyFont="1" applyAlignment="1" applyProtection="1">
      <alignment vertical="top"/>
      <protection locked="0"/>
    </xf>
    <xf numFmtId="177" fontId="11" fillId="131" borderId="71" xfId="2" applyNumberFormat="1" applyFont="1" applyFill="1" applyBorder="1" applyProtection="1">
      <protection locked="0"/>
    </xf>
    <xf numFmtId="177" fontId="11" fillId="131" borderId="6" xfId="2" applyNumberFormat="1" applyFont="1" applyFill="1" applyBorder="1" applyProtection="1">
      <protection locked="0"/>
    </xf>
    <xf numFmtId="177" fontId="12" fillId="3" borderId="74" xfId="2" applyNumberFormat="1" applyFont="1" applyFill="1" applyBorder="1" applyProtection="1">
      <protection locked="0"/>
    </xf>
    <xf numFmtId="177" fontId="12" fillId="3" borderId="75" xfId="2" applyNumberFormat="1" applyFont="1" applyFill="1" applyBorder="1" applyProtection="1">
      <protection locked="0"/>
    </xf>
    <xf numFmtId="177" fontId="12" fillId="0" borderId="0" xfId="2" applyNumberFormat="1" applyFont="1" applyFill="1" applyBorder="1" applyProtection="1">
      <protection locked="0"/>
    </xf>
    <xf numFmtId="352" fontId="11" fillId="0" borderId="0" xfId="2" applyNumberFormat="1" applyFont="1" applyFill="1" applyBorder="1" applyAlignment="1" applyProtection="1">
      <alignment horizontal="center"/>
      <protection locked="0"/>
    </xf>
    <xf numFmtId="177" fontId="281" fillId="0" borderId="0" xfId="2" applyNumberFormat="1" applyFont="1" applyFill="1" applyBorder="1" applyProtection="1">
      <protection locked="0"/>
    </xf>
    <xf numFmtId="1" fontId="0" fillId="0" borderId="0" xfId="0" applyNumberFormat="1" applyAlignment="1" applyProtection="1">
      <alignment vertical="top"/>
      <protection locked="0"/>
    </xf>
    <xf numFmtId="256" fontId="12" fillId="0" borderId="0" xfId="2" applyNumberFormat="1" applyFont="1" applyFill="1" applyBorder="1" applyProtection="1">
      <protection locked="0"/>
    </xf>
    <xf numFmtId="0" fontId="28" fillId="0" borderId="0" xfId="0" applyFont="1" applyAlignment="1" applyProtection="1">
      <alignment horizontal="center"/>
      <protection locked="0"/>
    </xf>
    <xf numFmtId="256" fontId="0" fillId="0" borderId="0" xfId="0" applyNumberFormat="1" applyProtection="1">
      <protection locked="0"/>
    </xf>
    <xf numFmtId="177" fontId="0" fillId="0" borderId="0" xfId="0" applyNumberFormat="1" applyProtection="1">
      <protection locked="0"/>
    </xf>
    <xf numFmtId="177" fontId="26" fillId="39" borderId="6" xfId="75" applyNumberFormat="1" applyFont="1" applyFill="1" applyBorder="1"/>
    <xf numFmtId="177" fontId="12" fillId="52" borderId="59" xfId="2" applyNumberFormat="1" applyFont="1" applyFill="1" applyBorder="1" applyProtection="1"/>
    <xf numFmtId="177" fontId="12" fillId="52" borderId="60" xfId="2" applyNumberFormat="1" applyFont="1" applyFill="1" applyBorder="1" applyProtection="1"/>
    <xf numFmtId="177" fontId="12" fillId="52" borderId="74" xfId="2" applyNumberFormat="1" applyFont="1" applyFill="1" applyBorder="1" applyProtection="1"/>
    <xf numFmtId="177" fontId="12" fillId="52" borderId="136" xfId="2" applyNumberFormat="1" applyFont="1" applyFill="1" applyBorder="1" applyProtection="1"/>
    <xf numFmtId="177" fontId="12" fillId="52" borderId="71" xfId="2" applyNumberFormat="1" applyFont="1" applyFill="1" applyBorder="1" applyProtection="1"/>
    <xf numFmtId="177" fontId="12" fillId="52" borderId="164" xfId="2" applyNumberFormat="1" applyFont="1" applyFill="1" applyBorder="1" applyProtection="1"/>
    <xf numFmtId="177" fontId="12" fillId="52" borderId="138" xfId="2" applyNumberFormat="1" applyFont="1" applyFill="1" applyBorder="1" applyProtection="1"/>
    <xf numFmtId="352" fontId="11" fillId="54" borderId="71" xfId="2" applyNumberFormat="1" applyFont="1" applyFill="1" applyBorder="1" applyAlignment="1" applyProtection="1">
      <alignment horizontal="center"/>
    </xf>
    <xf numFmtId="352" fontId="11" fillId="54" borderId="164" xfId="2" applyNumberFormat="1" applyFont="1" applyFill="1" applyBorder="1" applyAlignment="1" applyProtection="1">
      <alignment horizontal="center"/>
    </xf>
    <xf numFmtId="352" fontId="11" fillId="54" borderId="138" xfId="2" applyNumberFormat="1" applyFont="1" applyFill="1" applyBorder="1" applyAlignment="1" applyProtection="1">
      <alignment horizontal="center"/>
    </xf>
    <xf numFmtId="351" fontId="12" fillId="52" borderId="71" xfId="2" applyNumberFormat="1" applyFont="1" applyFill="1" applyBorder="1" applyProtection="1"/>
    <xf numFmtId="10" fontId="0" fillId="51" borderId="59" xfId="0" applyNumberFormat="1" applyFill="1" applyBorder="1" applyAlignment="1">
      <alignment horizontal="right" vertical="top"/>
    </xf>
    <xf numFmtId="10" fontId="0" fillId="51" borderId="62" xfId="0" applyNumberFormat="1" applyFill="1" applyBorder="1" applyAlignment="1">
      <alignment horizontal="right" vertical="top"/>
    </xf>
    <xf numFmtId="175" fontId="0" fillId="51" borderId="65" xfId="0" applyNumberFormat="1" applyFill="1" applyBorder="1" applyAlignment="1">
      <alignment horizontal="right" vertical="top"/>
    </xf>
    <xf numFmtId="10" fontId="11" fillId="52" borderId="71" xfId="2" applyNumberFormat="1" applyFont="1" applyFill="1" applyBorder="1" applyProtection="1"/>
    <xf numFmtId="10" fontId="11" fillId="52" borderId="72" xfId="2" applyNumberFormat="1" applyFont="1" applyFill="1" applyBorder="1" applyProtection="1"/>
    <xf numFmtId="0" fontId="287" fillId="47" borderId="142" xfId="90" applyFont="1" applyFill="1" applyBorder="1" applyAlignment="1" applyProtection="1">
      <alignment horizontal="center"/>
      <protection locked="0"/>
    </xf>
    <xf numFmtId="0" fontId="245" fillId="0" borderId="0" xfId="90" applyFont="1" applyAlignment="1" applyProtection="1">
      <alignment horizontal="left"/>
      <protection locked="0"/>
    </xf>
    <xf numFmtId="0" fontId="246" fillId="0" borderId="0" xfId="0" applyFont="1" applyProtection="1">
      <protection locked="0"/>
    </xf>
    <xf numFmtId="0" fontId="248" fillId="116" borderId="0" xfId="0" applyFont="1" applyFill="1" applyAlignment="1" applyProtection="1">
      <alignment vertical="top"/>
      <protection locked="0"/>
    </xf>
    <xf numFmtId="0" fontId="9" fillId="0" borderId="0" xfId="0" applyFont="1" applyAlignment="1" applyProtection="1">
      <alignment wrapText="1"/>
      <protection locked="0"/>
    </xf>
    <xf numFmtId="177" fontId="0" fillId="3" borderId="71" xfId="0" applyNumberFormat="1" applyFill="1" applyBorder="1" applyAlignment="1" applyProtection="1">
      <alignment horizontal="right" vertical="center"/>
      <protection locked="0"/>
    </xf>
    <xf numFmtId="0" fontId="291" fillId="0" borderId="0" xfId="0" applyFont="1" applyProtection="1">
      <protection locked="0"/>
    </xf>
    <xf numFmtId="177" fontId="0" fillId="0" borderId="0" xfId="0" applyNumberFormat="1" applyAlignment="1" applyProtection="1">
      <alignment horizontal="right" vertical="center"/>
      <protection locked="0"/>
    </xf>
    <xf numFmtId="173" fontId="12" fillId="0" borderId="0" xfId="0" applyNumberFormat="1" applyFont="1" applyAlignment="1" applyProtection="1">
      <alignment vertical="center"/>
      <protection locked="0"/>
    </xf>
    <xf numFmtId="177" fontId="11" fillId="0" borderId="0" xfId="0" applyNumberFormat="1" applyFont="1" applyAlignment="1" applyProtection="1">
      <alignment horizontal="left" vertical="center" indent="1"/>
      <protection locked="0"/>
    </xf>
    <xf numFmtId="173" fontId="30" fillId="0" borderId="0" xfId="0" applyNumberFormat="1" applyFont="1" applyAlignment="1" applyProtection="1">
      <alignment horizontal="left" vertical="center" indent="1"/>
      <protection locked="0"/>
    </xf>
    <xf numFmtId="0" fontId="12" fillId="53" borderId="0" xfId="85" applyFont="1" applyFill="1" applyAlignment="1" applyProtection="1">
      <alignment horizontal="left" vertical="center" wrapText="1"/>
      <protection locked="0"/>
    </xf>
    <xf numFmtId="0" fontId="11" fillId="53" borderId="0" xfId="85" applyFont="1" applyFill="1" applyAlignment="1" applyProtection="1">
      <alignment horizontal="left" vertical="center" wrapText="1"/>
      <protection locked="0"/>
    </xf>
    <xf numFmtId="177" fontId="11" fillId="0" borderId="0" xfId="2" applyNumberFormat="1" applyFont="1" applyProtection="1">
      <protection locked="0"/>
    </xf>
    <xf numFmtId="1" fontId="9" fillId="0" borderId="0" xfId="0" applyNumberFormat="1" applyFont="1" applyAlignment="1" applyProtection="1">
      <alignment horizontal="center" vertical="top"/>
      <protection locked="0"/>
    </xf>
    <xf numFmtId="177" fontId="0" fillId="52" borderId="71" xfId="0" applyNumberFormat="1" applyFill="1" applyBorder="1" applyAlignment="1">
      <alignment horizontal="right" vertical="center"/>
    </xf>
    <xf numFmtId="177" fontId="0" fillId="52" borderId="72" xfId="0" applyNumberFormat="1" applyFill="1" applyBorder="1" applyAlignment="1">
      <alignment horizontal="right" vertical="center"/>
    </xf>
    <xf numFmtId="183" fontId="0" fillId="51" borderId="71" xfId="0" applyNumberFormat="1" applyFill="1" applyBorder="1" applyAlignment="1">
      <alignment horizontal="right" vertical="top"/>
    </xf>
    <xf numFmtId="177" fontId="11" fillId="52" borderId="62" xfId="2" applyNumberFormat="1" applyFont="1" applyFill="1" applyBorder="1" applyProtection="1"/>
    <xf numFmtId="0" fontId="3" fillId="0" borderId="179" xfId="51694" applyBorder="1" applyProtection="1">
      <protection locked="0"/>
    </xf>
    <xf numFmtId="0" fontId="3" fillId="0" borderId="0" xfId="51694" applyProtection="1">
      <protection locked="0"/>
    </xf>
    <xf numFmtId="0" fontId="274" fillId="47" borderId="0" xfId="90" applyFont="1" applyFill="1" applyAlignment="1" applyProtection="1">
      <alignment horizontal="left"/>
      <protection locked="0"/>
    </xf>
    <xf numFmtId="0" fontId="1" fillId="0" borderId="0" xfId="51694" applyFont="1" applyProtection="1">
      <protection locked="0"/>
    </xf>
    <xf numFmtId="180" fontId="272" fillId="47" borderId="0" xfId="90" applyNumberFormat="1" applyFont="1" applyFill="1" applyAlignment="1" applyProtection="1">
      <alignment horizontal="left"/>
      <protection locked="0"/>
    </xf>
    <xf numFmtId="0" fontId="282" fillId="135" borderId="167" xfId="51694" applyFont="1" applyFill="1" applyBorder="1" applyAlignment="1" applyProtection="1">
      <alignment horizontal="center" vertical="top" wrapText="1"/>
      <protection locked="0"/>
    </xf>
    <xf numFmtId="0" fontId="282" fillId="0" borderId="0" xfId="51694" applyFont="1" applyAlignment="1" applyProtection="1">
      <alignment horizontal="center" vertical="top" wrapText="1"/>
      <protection locked="0"/>
    </xf>
    <xf numFmtId="0" fontId="282" fillId="135" borderId="165" xfId="51694" applyFont="1" applyFill="1" applyBorder="1" applyAlignment="1" applyProtection="1">
      <alignment horizontal="center" vertical="center" wrapText="1"/>
      <protection locked="0"/>
    </xf>
    <xf numFmtId="0" fontId="282" fillId="135" borderId="6" xfId="51694" applyFont="1" applyFill="1" applyBorder="1" applyAlignment="1" applyProtection="1">
      <alignment horizontal="center" vertical="top"/>
      <protection locked="0"/>
    </xf>
    <xf numFmtId="0" fontId="282" fillId="0" borderId="0" xfId="51694" applyFont="1" applyAlignment="1" applyProtection="1">
      <alignment horizontal="center" vertical="top"/>
      <protection locked="0"/>
    </xf>
    <xf numFmtId="0" fontId="282" fillId="0" borderId="0" xfId="51694" applyFont="1" applyAlignment="1" applyProtection="1">
      <alignment horizontal="center" vertical="center" wrapText="1"/>
      <protection locked="0"/>
    </xf>
    <xf numFmtId="0" fontId="284" fillId="0" borderId="0" xfId="51694" applyFont="1" applyAlignment="1" applyProtection="1">
      <alignment horizontal="center" vertical="center" wrapText="1"/>
      <protection locked="0"/>
    </xf>
    <xf numFmtId="0" fontId="282" fillId="52" borderId="6" xfId="51694" applyFont="1" applyFill="1" applyBorder="1" applyAlignment="1" applyProtection="1">
      <alignment horizontal="center" vertical="top"/>
      <protection locked="0"/>
    </xf>
    <xf numFmtId="14" fontId="289" fillId="36" borderId="6" xfId="75" applyNumberFormat="1" applyFont="1" applyFill="1" applyBorder="1" applyAlignment="1" applyProtection="1">
      <alignment horizontal="center" vertical="center"/>
      <protection locked="0"/>
    </xf>
    <xf numFmtId="0" fontId="3" fillId="0" borderId="0" xfId="51694" applyAlignment="1" applyProtection="1">
      <alignment horizontal="center" vertical="center"/>
      <protection locked="0"/>
    </xf>
    <xf numFmtId="0" fontId="290" fillId="0" borderId="0" xfId="51694" applyFont="1" applyAlignment="1" applyProtection="1">
      <alignment vertical="top"/>
      <protection locked="0"/>
    </xf>
    <xf numFmtId="0" fontId="3" fillId="0" borderId="0" xfId="51694" applyAlignment="1" applyProtection="1">
      <alignment horizontal="left" vertical="top"/>
      <protection locked="0"/>
    </xf>
    <xf numFmtId="0" fontId="1" fillId="0" borderId="0" xfId="51694" applyFont="1" applyAlignment="1" applyProtection="1">
      <alignment horizontal="left" vertical="top"/>
      <protection locked="0"/>
    </xf>
    <xf numFmtId="9" fontId="283" fillId="0" borderId="0" xfId="51695" applyFont="1" applyFill="1" applyBorder="1" applyAlignment="1" applyProtection="1">
      <alignment horizontal="center"/>
      <protection locked="0"/>
    </xf>
    <xf numFmtId="9" fontId="0" fillId="0" borderId="0" xfId="51695" applyFont="1" applyFill="1" applyBorder="1" applyAlignment="1" applyProtection="1">
      <alignment horizontal="center"/>
      <protection locked="0"/>
    </xf>
    <xf numFmtId="0" fontId="3" fillId="0" borderId="0" xfId="51694" applyAlignment="1" applyProtection="1">
      <alignment horizontal="left"/>
      <protection locked="0"/>
    </xf>
    <xf numFmtId="9" fontId="0" fillId="0" borderId="0" xfId="51695" applyFont="1" applyAlignment="1" applyProtection="1">
      <alignment horizontal="center"/>
      <protection locked="0"/>
    </xf>
    <xf numFmtId="0" fontId="285" fillId="0" borderId="0" xfId="51694" applyFont="1" applyAlignment="1" applyProtection="1">
      <alignment horizontal="left" vertical="center"/>
      <protection locked="0"/>
    </xf>
    <xf numFmtId="0" fontId="3" fillId="0" borderId="0" xfId="51694" applyAlignment="1" applyProtection="1">
      <alignment vertical="center"/>
      <protection locked="0"/>
    </xf>
    <xf numFmtId="178" fontId="289" fillId="0" borderId="0" xfId="75" applyNumberFormat="1" applyFont="1" applyAlignment="1" applyProtection="1">
      <alignment horizontal="center" vertical="center"/>
      <protection locked="0"/>
    </xf>
    <xf numFmtId="178" fontId="283" fillId="0" borderId="0" xfId="75" applyNumberFormat="1" applyFont="1" applyAlignment="1" applyProtection="1">
      <alignment horizontal="center" vertical="center"/>
      <protection locked="0"/>
    </xf>
    <xf numFmtId="178" fontId="286" fillId="0" borderId="0" xfId="75" applyNumberFormat="1" applyFont="1" applyAlignment="1" applyProtection="1">
      <alignment horizontal="center" vertical="center"/>
      <protection locked="0"/>
    </xf>
    <xf numFmtId="183" fontId="283" fillId="0" borderId="0" xfId="75" applyNumberFormat="1" applyFont="1" applyAlignment="1" applyProtection="1">
      <alignment horizontal="center" vertical="center"/>
      <protection locked="0"/>
    </xf>
    <xf numFmtId="178" fontId="3" fillId="0" borderId="0" xfId="51694" applyNumberFormat="1" applyAlignment="1" applyProtection="1">
      <alignment horizontal="center" vertical="center"/>
      <protection locked="0"/>
    </xf>
    <xf numFmtId="178" fontId="1" fillId="0" borderId="0" xfId="51694" applyNumberFormat="1" applyFont="1" applyAlignment="1" applyProtection="1">
      <alignment horizontal="center" vertical="center"/>
      <protection locked="0"/>
    </xf>
    <xf numFmtId="0" fontId="3" fillId="0" borderId="0" xfId="51694" applyAlignment="1" applyProtection="1">
      <alignment vertical="center" wrapText="1"/>
      <protection locked="0"/>
    </xf>
    <xf numFmtId="0" fontId="285" fillId="0" borderId="166" xfId="51694" applyFont="1" applyBorder="1" applyAlignment="1" applyProtection="1">
      <alignment horizontal="left"/>
      <protection locked="0"/>
    </xf>
    <xf numFmtId="0" fontId="285" fillId="0" borderId="167" xfId="51694" applyFont="1" applyBorder="1" applyAlignment="1" applyProtection="1">
      <alignment horizontal="left" vertical="center"/>
      <protection locked="0"/>
    </xf>
    <xf numFmtId="178" fontId="283" fillId="36" borderId="6" xfId="75" applyNumberFormat="1" applyFont="1" applyFill="1" applyBorder="1" applyAlignment="1" applyProtection="1">
      <alignment horizontal="center" vertical="center"/>
      <protection locked="0"/>
    </xf>
    <xf numFmtId="178" fontId="283" fillId="131" borderId="6" xfId="75" applyNumberFormat="1" applyFont="1" applyFill="1" applyBorder="1" applyAlignment="1" applyProtection="1">
      <alignment horizontal="center" vertical="center"/>
      <protection locked="0"/>
    </xf>
    <xf numFmtId="178" fontId="285" fillId="0" borderId="0" xfId="51694" applyNumberFormat="1" applyFont="1" applyAlignment="1" applyProtection="1">
      <alignment horizontal="center" vertical="center"/>
      <protection locked="0"/>
    </xf>
    <xf numFmtId="0" fontId="3" fillId="0" borderId="6" xfId="51694" applyBorder="1" applyAlignment="1" applyProtection="1">
      <alignment vertical="center" wrapText="1"/>
      <protection locked="0"/>
    </xf>
    <xf numFmtId="0" fontId="285" fillId="0" borderId="180"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84" fillId="0" borderId="135" xfId="51694" applyFont="1" applyBorder="1" applyAlignment="1" applyProtection="1">
      <alignment horizontal="left" vertical="center"/>
      <protection locked="0"/>
    </xf>
    <xf numFmtId="0" fontId="285" fillId="0" borderId="138" xfId="51694" applyFont="1" applyBorder="1" applyAlignment="1" applyProtection="1">
      <alignment horizontal="left" vertical="center"/>
      <protection locked="0"/>
    </xf>
    <xf numFmtId="0" fontId="1" fillId="0" borderId="0" xfId="51694" applyFont="1" applyAlignment="1" applyProtection="1">
      <alignment vertical="center"/>
      <protection locked="0"/>
    </xf>
    <xf numFmtId="0" fontId="284" fillId="0" borderId="180" xfId="51694" applyFont="1" applyBorder="1" applyAlignment="1" applyProtection="1">
      <alignment horizontal="left" vertical="center"/>
      <protection locked="0"/>
    </xf>
    <xf numFmtId="178" fontId="282" fillId="0" borderId="28" xfId="51694" applyNumberFormat="1" applyFont="1" applyBorder="1" applyAlignment="1" applyProtection="1">
      <alignment horizontal="center" vertical="center"/>
      <protection locked="0"/>
    </xf>
    <xf numFmtId="178" fontId="282" fillId="0" borderId="0" xfId="51694" applyNumberFormat="1" applyFont="1" applyAlignment="1" applyProtection="1">
      <alignment horizontal="center" vertical="center"/>
      <protection locked="0"/>
    </xf>
    <xf numFmtId="178" fontId="284" fillId="0" borderId="0" xfId="51694" applyNumberFormat="1" applyFont="1" applyAlignment="1" applyProtection="1">
      <alignment horizontal="center" vertical="center"/>
      <protection locked="0"/>
    </xf>
    <xf numFmtId="0" fontId="285" fillId="0" borderId="180" xfId="51694" quotePrefix="1" applyFont="1" applyBorder="1" applyAlignment="1" applyProtection="1">
      <alignment horizontal="left" vertical="center"/>
      <protection locked="0"/>
    </xf>
    <xf numFmtId="0" fontId="282" fillId="0" borderId="135" xfId="51694" applyFont="1" applyBorder="1" applyAlignment="1" applyProtection="1">
      <alignment horizontal="left" vertical="center"/>
      <protection locked="0"/>
    </xf>
    <xf numFmtId="178" fontId="292" fillId="0" borderId="0" xfId="75" applyNumberFormat="1" applyFont="1" applyAlignment="1" applyProtection="1">
      <alignment horizontal="center" vertical="center"/>
      <protection locked="0"/>
    </xf>
    <xf numFmtId="0" fontId="284" fillId="0" borderId="0" xfId="51694" applyFont="1" applyAlignment="1" applyProtection="1">
      <alignment horizontal="left" vertical="center"/>
      <protection locked="0"/>
    </xf>
    <xf numFmtId="0" fontId="1" fillId="42" borderId="0" xfId="51694" applyFont="1" applyFill="1" applyAlignment="1" applyProtection="1">
      <alignment vertical="center"/>
      <protection locked="0"/>
    </xf>
    <xf numFmtId="0" fontId="282" fillId="0" borderId="166" xfId="51694" applyFont="1" applyBorder="1" applyAlignment="1" applyProtection="1">
      <alignment horizontal="left" vertical="center"/>
      <protection locked="0"/>
    </xf>
    <xf numFmtId="178" fontId="3" fillId="0" borderId="0" xfId="51694" applyNumberFormat="1" applyAlignment="1" applyProtection="1">
      <alignment horizontal="center"/>
      <protection locked="0"/>
    </xf>
    <xf numFmtId="178" fontId="285" fillId="0" borderId="0" xfId="51694" applyNumberFormat="1" applyFont="1" applyAlignment="1" applyProtection="1">
      <alignment horizontal="center"/>
      <protection locked="0"/>
    </xf>
    <xf numFmtId="0" fontId="3" fillId="0" borderId="0" xfId="51694" applyAlignment="1" applyProtection="1">
      <alignment wrapText="1"/>
      <protection locked="0"/>
    </xf>
    <xf numFmtId="0" fontId="3" fillId="0" borderId="180" xfId="51694" applyBorder="1" applyProtection="1">
      <protection locked="0"/>
    </xf>
    <xf numFmtId="0" fontId="285" fillId="0" borderId="11" xfId="51694" applyFont="1" applyBorder="1" applyProtection="1">
      <protection locked="0"/>
    </xf>
    <xf numFmtId="0" fontId="3" fillId="0" borderId="11" xfId="51694" applyBorder="1" applyProtection="1">
      <protection locked="0"/>
    </xf>
    <xf numFmtId="0" fontId="285" fillId="0" borderId="0" xfId="51694" applyFont="1" applyAlignment="1" applyProtection="1">
      <alignment horizontal="left"/>
      <protection locked="0"/>
    </xf>
    <xf numFmtId="178" fontId="283" fillId="0" borderId="0" xfId="75" applyNumberFormat="1" applyFont="1" applyAlignment="1" applyProtection="1">
      <alignment horizontal="center"/>
      <protection locked="0"/>
    </xf>
    <xf numFmtId="178" fontId="286" fillId="0" borderId="0" xfId="75" applyNumberFormat="1" applyFont="1" applyAlignment="1" applyProtection="1">
      <alignment horizontal="center"/>
      <protection locked="0"/>
    </xf>
    <xf numFmtId="0" fontId="282" fillId="0" borderId="166" xfId="51694" applyFont="1" applyBorder="1" applyAlignment="1" applyProtection="1">
      <alignment horizontal="left"/>
      <protection locked="0"/>
    </xf>
    <xf numFmtId="0" fontId="285" fillId="0" borderId="167" xfId="51694" applyFont="1" applyBorder="1" applyAlignment="1" applyProtection="1">
      <alignment horizontal="left"/>
      <protection locked="0"/>
    </xf>
    <xf numFmtId="0" fontId="282" fillId="0" borderId="180" xfId="51694" applyFont="1" applyBorder="1" applyAlignment="1" applyProtection="1">
      <alignment horizontal="left"/>
      <protection locked="0"/>
    </xf>
    <xf numFmtId="0" fontId="285" fillId="0" borderId="11" xfId="51694" applyFont="1" applyBorder="1" applyAlignment="1" applyProtection="1">
      <alignment horizontal="left"/>
      <protection locked="0"/>
    </xf>
    <xf numFmtId="0" fontId="284" fillId="0" borderId="180" xfId="51694" applyFont="1" applyBorder="1" applyAlignment="1" applyProtection="1">
      <alignment horizontal="left"/>
      <protection locked="0"/>
    </xf>
    <xf numFmtId="0" fontId="285" fillId="0" borderId="180" xfId="51694" applyFont="1" applyBorder="1" applyAlignment="1" applyProtection="1">
      <alignment vertical="center"/>
      <protection locked="0"/>
    </xf>
    <xf numFmtId="0" fontId="3" fillId="0" borderId="11" xfId="51694" applyBorder="1" applyAlignment="1" applyProtection="1">
      <alignment vertical="center"/>
      <protection locked="0"/>
    </xf>
    <xf numFmtId="178" fontId="283" fillId="0" borderId="180" xfId="75" applyNumberFormat="1" applyFont="1" applyBorder="1" applyAlignment="1" applyProtection="1">
      <alignment horizontal="center" vertical="center"/>
      <protection locked="0"/>
    </xf>
    <xf numFmtId="178" fontId="3" fillId="0" borderId="11" xfId="51694" applyNumberFormat="1" applyBorder="1" applyAlignment="1" applyProtection="1">
      <alignment horizontal="center" vertical="center"/>
      <protection locked="0"/>
    </xf>
    <xf numFmtId="0" fontId="285" fillId="0" borderId="180" xfId="51694" quotePrefix="1" applyFont="1" applyBorder="1" applyAlignment="1" applyProtection="1">
      <alignment vertical="center"/>
      <protection locked="0"/>
    </xf>
    <xf numFmtId="0" fontId="284" fillId="0" borderId="180" xfId="51694" applyFont="1" applyBorder="1" applyProtection="1">
      <protection locked="0"/>
    </xf>
    <xf numFmtId="0" fontId="285" fillId="0" borderId="180"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178" fontId="3" fillId="0" borderId="142" xfId="51694" applyNumberFormat="1" applyBorder="1" applyAlignment="1" applyProtection="1">
      <alignment horizontal="center"/>
      <protection locked="0"/>
    </xf>
    <xf numFmtId="0" fontId="3" fillId="0" borderId="0" xfId="51694" applyAlignment="1" applyProtection="1">
      <alignment horizontal="left" vertical="center"/>
      <protection locked="0"/>
    </xf>
    <xf numFmtId="178" fontId="283" fillId="0" borderId="130" xfId="75" applyNumberFormat="1" applyFont="1" applyBorder="1" applyAlignment="1" applyProtection="1">
      <alignment horizontal="center" vertical="center"/>
      <protection locked="0"/>
    </xf>
    <xf numFmtId="178" fontId="3" fillId="0" borderId="130" xfId="51694" applyNumberFormat="1" applyBorder="1" applyAlignment="1" applyProtection="1">
      <alignment horizontal="center" vertical="center"/>
      <protection locked="0"/>
    </xf>
    <xf numFmtId="0" fontId="3" fillId="0" borderId="167" xfId="51694" applyBorder="1" applyAlignment="1" applyProtection="1">
      <alignment horizontal="left" vertical="center"/>
      <protection locked="0"/>
    </xf>
    <xf numFmtId="0" fontId="3" fillId="0" borderId="180" xfId="51694" applyBorder="1" applyAlignment="1" applyProtection="1">
      <alignment horizontal="left" vertical="center"/>
      <protection locked="0"/>
    </xf>
    <xf numFmtId="0" fontId="3" fillId="0" borderId="11" xfId="51694" applyBorder="1" applyAlignment="1" applyProtection="1">
      <alignment horizontal="left" vertical="center"/>
      <protection locked="0"/>
    </xf>
    <xf numFmtId="0" fontId="3" fillId="0" borderId="11" xfId="51694" applyBorder="1" applyAlignment="1" applyProtection="1">
      <alignment horizontal="left"/>
      <protection locked="0"/>
    </xf>
    <xf numFmtId="178" fontId="283" fillId="0" borderId="142" xfId="75" applyNumberFormat="1" applyFont="1" applyBorder="1" applyAlignment="1" applyProtection="1">
      <alignment horizontal="center"/>
      <protection locked="0"/>
    </xf>
    <xf numFmtId="178" fontId="283" fillId="140" borderId="6" xfId="75" applyNumberFormat="1" applyFont="1" applyFill="1" applyBorder="1" applyAlignment="1" applyProtection="1">
      <alignment horizontal="center" vertical="center"/>
      <protection locked="0"/>
    </xf>
    <xf numFmtId="0" fontId="3" fillId="0" borderId="89" xfId="51694" applyBorder="1" applyAlignment="1" applyProtection="1">
      <alignment horizontal="left"/>
      <protection locked="0"/>
    </xf>
    <xf numFmtId="0" fontId="3" fillId="0" borderId="90" xfId="51694" applyBorder="1" applyAlignment="1" applyProtection="1">
      <alignment horizontal="left"/>
      <protection locked="0"/>
    </xf>
    <xf numFmtId="0" fontId="282" fillId="0" borderId="0" xfId="51694" applyFont="1" applyAlignment="1" applyProtection="1">
      <alignment vertical="center"/>
      <protection locked="0"/>
    </xf>
    <xf numFmtId="0" fontId="282" fillId="0" borderId="0" xfId="51694" applyFont="1" applyProtection="1">
      <protection locked="0"/>
    </xf>
    <xf numFmtId="2" fontId="283" fillId="0" borderId="130" xfId="75" applyNumberFormat="1" applyFont="1" applyBorder="1" applyAlignment="1" applyProtection="1">
      <alignment horizontal="center"/>
      <protection locked="0"/>
    </xf>
    <xf numFmtId="0" fontId="283" fillId="0" borderId="0" xfId="51694" applyFont="1" applyProtection="1">
      <protection locked="0"/>
    </xf>
    <xf numFmtId="183" fontId="289" fillId="0" borderId="0" xfId="51694" applyNumberFormat="1" applyFont="1" applyAlignment="1" applyProtection="1">
      <alignment horizontal="center"/>
      <protection locked="0"/>
    </xf>
    <xf numFmtId="183" fontId="283" fillId="0" borderId="0" xfId="51694" applyNumberFormat="1" applyFont="1" applyAlignment="1" applyProtection="1">
      <alignment horizontal="center"/>
      <protection locked="0"/>
    </xf>
    <xf numFmtId="183" fontId="292" fillId="0" borderId="0" xfId="51694" applyNumberFormat="1" applyFont="1" applyAlignment="1" applyProtection="1">
      <alignment horizontal="center"/>
      <protection locked="0"/>
    </xf>
    <xf numFmtId="0" fontId="296" fillId="0" borderId="135" xfId="51694" applyFont="1" applyBorder="1" applyAlignment="1" applyProtection="1">
      <alignment vertical="center"/>
      <protection locked="0"/>
    </xf>
    <xf numFmtId="0" fontId="296" fillId="0" borderId="138" xfId="51694" applyFont="1" applyBorder="1" applyAlignment="1" applyProtection="1">
      <alignment vertical="center"/>
      <protection locked="0"/>
    </xf>
    <xf numFmtId="0" fontId="283" fillId="0" borderId="0" xfId="51694" applyFont="1" applyAlignment="1" applyProtection="1">
      <alignment vertical="center"/>
      <protection locked="0"/>
    </xf>
    <xf numFmtId="178" fontId="296" fillId="0" borderId="180" xfId="51694" applyNumberFormat="1" applyFont="1" applyBorder="1" applyAlignment="1" applyProtection="1">
      <alignment horizontal="center" vertical="center"/>
      <protection locked="0"/>
    </xf>
    <xf numFmtId="178" fontId="296" fillId="0" borderId="0" xfId="75" applyNumberFormat="1" applyFont="1" applyAlignment="1" applyProtection="1">
      <alignment horizontal="center" vertical="center"/>
      <protection locked="0"/>
    </xf>
    <xf numFmtId="178" fontId="297" fillId="0" borderId="0" xfId="51694" applyNumberFormat="1" applyFont="1" applyAlignment="1" applyProtection="1">
      <alignment horizontal="center" vertical="center"/>
      <protection locked="0"/>
    </xf>
    <xf numFmtId="178" fontId="292" fillId="0" borderId="0" xfId="51694" applyNumberFormat="1" applyFont="1" applyAlignment="1" applyProtection="1">
      <alignment horizontal="center" vertical="center"/>
      <protection locked="0"/>
    </xf>
    <xf numFmtId="0" fontId="289" fillId="0" borderId="0" xfId="51694" applyFont="1" applyProtection="1">
      <protection locked="0"/>
    </xf>
    <xf numFmtId="0" fontId="3" fillId="0" borderId="0" xfId="51694" quotePrefix="1" applyProtection="1">
      <protection locked="0"/>
    </xf>
    <xf numFmtId="0" fontId="3" fillId="0" borderId="0" xfId="51694" applyAlignment="1" applyProtection="1">
      <alignment horizontal="center"/>
      <protection locked="0"/>
    </xf>
    <xf numFmtId="0" fontId="285" fillId="0" borderId="0" xfId="51694" applyFont="1" applyAlignment="1" applyProtection="1">
      <alignment horizontal="center"/>
      <protection locked="0"/>
    </xf>
    <xf numFmtId="9" fontId="3" fillId="0" borderId="0" xfId="51694" applyNumberFormat="1" applyProtection="1">
      <protection locked="0"/>
    </xf>
    <xf numFmtId="178" fontId="3" fillId="0" borderId="0" xfId="51694" applyNumberFormat="1" applyProtection="1">
      <protection locked="0"/>
    </xf>
    <xf numFmtId="2" fontId="3" fillId="0" borderId="0" xfId="51694" applyNumberFormat="1" applyProtection="1">
      <protection locked="0"/>
    </xf>
    <xf numFmtId="9" fontId="283" fillId="131" borderId="6" xfId="51695" applyFont="1" applyFill="1" applyBorder="1" applyAlignment="1" applyProtection="1">
      <alignment horizontal="center"/>
    </xf>
    <xf numFmtId="178" fontId="283" fillId="52" borderId="6" xfId="75" applyNumberFormat="1" applyFont="1" applyFill="1" applyBorder="1" applyAlignment="1">
      <alignment horizontal="center" vertical="center"/>
    </xf>
    <xf numFmtId="178" fontId="282" fillId="52" borderId="6" xfId="51694" applyNumberFormat="1" applyFont="1" applyFill="1" applyBorder="1" applyAlignment="1">
      <alignment horizontal="center" vertical="center"/>
    </xf>
    <xf numFmtId="178" fontId="289" fillId="52" borderId="6" xfId="75" applyNumberFormat="1" applyFont="1" applyFill="1" applyBorder="1" applyAlignment="1">
      <alignment horizontal="center" vertical="center"/>
    </xf>
    <xf numFmtId="183" fontId="283" fillId="0" borderId="6" xfId="51694" applyNumberFormat="1" applyFont="1" applyBorder="1" applyAlignment="1">
      <alignment horizontal="center"/>
    </xf>
    <xf numFmtId="178" fontId="297" fillId="0" borderId="6" xfId="51694" applyNumberFormat="1" applyFont="1" applyBorder="1" applyAlignment="1">
      <alignment horizontal="center" vertical="center"/>
    </xf>
    <xf numFmtId="183" fontId="283" fillId="52" borderId="6" xfId="51694" applyNumberFormat="1" applyFont="1" applyFill="1" applyBorder="1" applyAlignment="1">
      <alignment horizontal="center"/>
    </xf>
    <xf numFmtId="178" fontId="297" fillId="52" borderId="6" xfId="51694" applyNumberFormat="1" applyFont="1" applyFill="1" applyBorder="1" applyAlignment="1">
      <alignment horizontal="center" vertical="center"/>
    </xf>
    <xf numFmtId="178" fontId="283" fillId="52" borderId="6" xfId="51694" applyNumberFormat="1" applyFont="1" applyFill="1" applyBorder="1" applyAlignment="1">
      <alignment horizontal="center" vertical="center"/>
    </xf>
    <xf numFmtId="178" fontId="1" fillId="52" borderId="6" xfId="51694" applyNumberFormat="1" applyFont="1" applyFill="1" applyBorder="1" applyAlignment="1">
      <alignment horizontal="center" vertical="center"/>
    </xf>
    <xf numFmtId="0" fontId="9" fillId="133" borderId="0" xfId="0" applyFont="1" applyFill="1" applyAlignment="1" applyProtection="1">
      <alignment horizontal="left" vertical="center" indent="1"/>
      <protection locked="0"/>
    </xf>
    <xf numFmtId="0" fontId="0" fillId="133" borderId="0" xfId="0" applyFill="1" applyAlignment="1" applyProtection="1">
      <alignment horizontal="left" vertical="top"/>
      <protection locked="0"/>
    </xf>
    <xf numFmtId="14" fontId="0" fillId="0" borderId="0" xfId="0" applyNumberFormat="1" applyProtection="1">
      <protection locked="0"/>
    </xf>
    <xf numFmtId="178" fontId="0" fillId="0" borderId="0" xfId="0" applyNumberFormat="1" applyProtection="1">
      <protection locked="0"/>
    </xf>
    <xf numFmtId="0" fontId="0" fillId="133" borderId="0" xfId="0" applyFill="1" applyProtection="1">
      <protection locked="0"/>
    </xf>
    <xf numFmtId="0" fontId="0" fillId="134" borderId="6" xfId="0" applyFill="1" applyBorder="1" applyProtection="1">
      <protection locked="0"/>
    </xf>
    <xf numFmtId="0" fontId="0" fillId="3" borderId="6" xfId="0" applyFill="1" applyBorder="1" applyProtection="1">
      <protection locked="0"/>
    </xf>
    <xf numFmtId="348" fontId="0" fillId="3" borderId="59" xfId="0" applyNumberFormat="1" applyFill="1" applyBorder="1" applyAlignment="1" applyProtection="1">
      <alignment horizontal="right" vertical="top"/>
      <protection locked="0"/>
    </xf>
    <xf numFmtId="348" fontId="0" fillId="3" borderId="60" xfId="0" applyNumberFormat="1" applyFill="1" applyBorder="1" applyAlignment="1" applyProtection="1">
      <alignment horizontal="right" vertical="top"/>
      <protection locked="0"/>
    </xf>
    <xf numFmtId="348" fontId="0" fillId="3" borderId="84" xfId="0" applyNumberFormat="1" applyFill="1" applyBorder="1" applyAlignment="1" applyProtection="1">
      <alignment horizontal="right" vertical="top"/>
      <protection locked="0"/>
    </xf>
    <xf numFmtId="348" fontId="0" fillId="3" borderId="63" xfId="0" applyNumberFormat="1" applyFill="1" applyBorder="1" applyAlignment="1" applyProtection="1">
      <alignment horizontal="right" vertical="top"/>
      <protection locked="0"/>
    </xf>
    <xf numFmtId="348" fontId="0" fillId="3" borderId="69" xfId="0" applyNumberFormat="1" applyFill="1" applyBorder="1" applyAlignment="1" applyProtection="1">
      <alignment horizontal="right" vertical="top"/>
      <protection locked="0"/>
    </xf>
    <xf numFmtId="348" fontId="0" fillId="3" borderId="6" xfId="0" applyNumberFormat="1" applyFill="1" applyBorder="1" applyAlignment="1" applyProtection="1">
      <alignment horizontal="right" vertical="top"/>
      <protection locked="0"/>
    </xf>
    <xf numFmtId="348" fontId="0" fillId="0" borderId="0" xfId="0" applyNumberFormat="1" applyProtection="1">
      <protection locked="0"/>
    </xf>
    <xf numFmtId="348" fontId="9" fillId="0" borderId="0" xfId="0" applyNumberFormat="1" applyFont="1" applyProtection="1">
      <protection locked="0"/>
    </xf>
    <xf numFmtId="0" fontId="0" fillId="3" borderId="166" xfId="0" applyFill="1" applyBorder="1" applyAlignment="1" applyProtection="1">
      <alignment vertical="top" wrapText="1"/>
      <protection locked="0"/>
    </xf>
    <xf numFmtId="0" fontId="0" fillId="3" borderId="130" xfId="0" applyFill="1" applyBorder="1" applyAlignment="1" applyProtection="1">
      <alignment vertical="top" wrapText="1"/>
      <protection locked="0"/>
    </xf>
    <xf numFmtId="0" fontId="0" fillId="3" borderId="130" xfId="0" applyFill="1" applyBorder="1" applyAlignment="1" applyProtection="1">
      <alignment wrapText="1"/>
      <protection locked="0"/>
    </xf>
    <xf numFmtId="0" fontId="0" fillId="3" borderId="167" xfId="0" applyFill="1" applyBorder="1" applyAlignment="1" applyProtection="1">
      <alignment wrapText="1"/>
      <protection locked="0"/>
    </xf>
    <xf numFmtId="0" fontId="0" fillId="3" borderId="180" xfId="0" applyFill="1" applyBorder="1" applyAlignment="1" applyProtection="1">
      <alignment horizontal="left"/>
      <protection locked="0"/>
    </xf>
    <xf numFmtId="0" fontId="0" fillId="3" borderId="0" xfId="0" applyFill="1" applyAlignment="1" applyProtection="1">
      <alignment horizontal="left"/>
      <protection locked="0"/>
    </xf>
    <xf numFmtId="0" fontId="0" fillId="3" borderId="89" xfId="0" applyFill="1" applyBorder="1" applyAlignment="1" applyProtection="1">
      <alignment horizontal="left"/>
      <protection locked="0"/>
    </xf>
    <xf numFmtId="0" fontId="0" fillId="3" borderId="142" xfId="0" applyFill="1" applyBorder="1" applyAlignment="1" applyProtection="1">
      <alignment horizontal="left"/>
      <protection locked="0"/>
    </xf>
    <xf numFmtId="348" fontId="0" fillId="52" borderId="136" xfId="0" applyNumberFormat="1" applyFill="1" applyBorder="1" applyAlignment="1">
      <alignment horizontal="right" vertical="top"/>
    </xf>
    <xf numFmtId="348" fontId="0" fillId="52" borderId="6" xfId="0" applyNumberFormat="1" applyFill="1" applyBorder="1"/>
    <xf numFmtId="348" fontId="0" fillId="52" borderId="59" xfId="0" applyNumberFormat="1" applyFill="1" applyBorder="1" applyAlignment="1">
      <alignment horizontal="right" vertical="top"/>
    </xf>
    <xf numFmtId="0" fontId="0" fillId="0" borderId="6" xfId="0" applyBorder="1" applyAlignment="1" applyProtection="1">
      <alignment horizontal="center" vertical="top"/>
      <protection locked="0"/>
    </xf>
    <xf numFmtId="0" fontId="9" fillId="53" borderId="0" xfId="0" applyFont="1" applyFill="1" applyAlignment="1" applyProtection="1">
      <alignment horizontal="left" vertical="top"/>
      <protection locked="0"/>
    </xf>
    <xf numFmtId="177" fontId="0" fillId="0" borderId="6" xfId="0" applyNumberFormat="1" applyBorder="1" applyAlignment="1" applyProtection="1">
      <alignment horizontal="right" vertical="top"/>
      <protection locked="0"/>
    </xf>
    <xf numFmtId="14" fontId="11" fillId="42" borderId="0" xfId="2" applyNumberFormat="1" applyFont="1" applyFill="1" applyBorder="1" applyProtection="1">
      <protection locked="0"/>
    </xf>
    <xf numFmtId="14" fontId="11" fillId="51" borderId="0" xfId="2" applyNumberFormat="1" applyFont="1" applyFill="1" applyBorder="1" applyAlignment="1" applyProtection="1">
      <alignment horizontal="center" vertical="center"/>
      <protection locked="0"/>
    </xf>
    <xf numFmtId="14" fontId="11" fillId="42" borderId="0" xfId="2" applyNumberFormat="1" applyFont="1" applyFill="1" applyBorder="1" applyAlignment="1" applyProtection="1">
      <alignment horizontal="center" vertical="center"/>
      <protection locked="0"/>
    </xf>
    <xf numFmtId="177" fontId="0" fillId="0" borderId="0" xfId="0" applyNumberFormat="1" applyAlignment="1" applyProtection="1">
      <alignment horizontal="right"/>
      <protection locked="0"/>
    </xf>
    <xf numFmtId="173" fontId="11" fillId="0" borderId="0" xfId="0" applyNumberFormat="1" applyFont="1" applyAlignment="1" applyProtection="1">
      <alignment vertical="center"/>
      <protection locked="0"/>
    </xf>
    <xf numFmtId="0" fontId="293" fillId="47" borderId="0" xfId="51698" applyFont="1" applyFill="1" applyProtection="1">
      <protection locked="0"/>
    </xf>
    <xf numFmtId="0" fontId="294" fillId="47" borderId="0" xfId="51698" applyFont="1" applyFill="1" applyProtection="1">
      <protection locked="0"/>
    </xf>
    <xf numFmtId="0" fontId="294" fillId="47" borderId="11" xfId="51698" applyFont="1" applyFill="1" applyBorder="1" applyProtection="1">
      <protection locked="0"/>
    </xf>
    <xf numFmtId="0" fontId="2" fillId="0" borderId="0" xfId="51698" applyProtection="1">
      <protection locked="0"/>
    </xf>
    <xf numFmtId="0" fontId="293" fillId="47" borderId="142" xfId="51698" applyFont="1" applyFill="1" applyBorder="1" applyProtection="1">
      <protection locked="0"/>
    </xf>
    <xf numFmtId="0" fontId="294" fillId="47" borderId="142" xfId="51698" applyFont="1" applyFill="1" applyBorder="1" applyProtection="1">
      <protection locked="0"/>
    </xf>
    <xf numFmtId="0" fontId="294" fillId="47" borderId="90" xfId="51698" applyFont="1" applyFill="1" applyBorder="1" applyProtection="1">
      <protection locked="0"/>
    </xf>
    <xf numFmtId="173" fontId="294" fillId="0" borderId="0" xfId="51698" applyNumberFormat="1" applyFont="1" applyAlignment="1" applyProtection="1">
      <alignment vertical="center"/>
      <protection locked="0"/>
    </xf>
    <xf numFmtId="0" fontId="8" fillId="0" borderId="0" xfId="51698" applyFont="1" applyProtection="1">
      <protection locked="0"/>
    </xf>
    <xf numFmtId="0" fontId="294" fillId="136" borderId="0" xfId="51698" applyFont="1" applyFill="1"/>
    <xf numFmtId="0" fontId="295" fillId="0" borderId="0" xfId="51698" applyFont="1"/>
    <xf numFmtId="0" fontId="271" fillId="0" borderId="0" xfId="51698" applyFont="1"/>
    <xf numFmtId="0" fontId="271" fillId="0" borderId="0" xfId="51698" applyFont="1" applyAlignment="1">
      <alignment horizontal="left"/>
    </xf>
    <xf numFmtId="0" fontId="12" fillId="0" borderId="0" xfId="51698" applyFont="1" applyAlignment="1">
      <alignment horizontal="left"/>
    </xf>
    <xf numFmtId="0" fontId="11" fillId="0" borderId="0" xfId="51698" applyFont="1"/>
    <xf numFmtId="0" fontId="11" fillId="0" borderId="0" xfId="51698" applyFont="1" applyAlignment="1">
      <alignment horizontal="left"/>
    </xf>
    <xf numFmtId="0" fontId="295" fillId="0" borderId="0" xfId="51698" applyFont="1" applyAlignment="1">
      <alignment horizontal="left"/>
    </xf>
    <xf numFmtId="0" fontId="0" fillId="53" borderId="0" xfId="0" applyFill="1" applyAlignment="1">
      <alignment horizontal="center" vertical="center"/>
    </xf>
    <xf numFmtId="0" fontId="0" fillId="53" borderId="0" xfId="0" applyFill="1" applyAlignment="1">
      <alignment horizontal="left" vertical="top"/>
    </xf>
    <xf numFmtId="0" fontId="0" fillId="53" borderId="0" xfId="0" applyFill="1" applyAlignment="1">
      <alignment horizontal="center" vertical="top"/>
    </xf>
    <xf numFmtId="10" fontId="8" fillId="0" borderId="0" xfId="51698" applyNumberFormat="1" applyFont="1"/>
    <xf numFmtId="10" fontId="2" fillId="0" borderId="0" xfId="51698" applyNumberFormat="1"/>
    <xf numFmtId="361" fontId="8" fillId="0" borderId="0" xfId="51698" applyNumberFormat="1" applyFont="1" applyAlignment="1">
      <alignment horizontal="left" vertical="center" indent="1"/>
    </xf>
    <xf numFmtId="1" fontId="11" fillId="51" borderId="6" xfId="51698" applyNumberFormat="1" applyFont="1" applyFill="1" applyBorder="1" applyAlignment="1">
      <alignment vertical="center"/>
    </xf>
    <xf numFmtId="0" fontId="12" fillId="0" borderId="0" xfId="51700" applyFont="1"/>
    <xf numFmtId="0" fontId="8" fillId="0" borderId="0" xfId="51701"/>
    <xf numFmtId="0" fontId="11" fillId="0" borderId="0" xfId="51700" applyFont="1" applyAlignment="1">
      <alignment horizontal="center"/>
    </xf>
    <xf numFmtId="359" fontId="8" fillId="0" borderId="0" xfId="51698" applyNumberFormat="1" applyFont="1"/>
    <xf numFmtId="17" fontId="11" fillId="0" borderId="0" xfId="51700" applyNumberFormat="1" applyFont="1" applyAlignment="1">
      <alignment horizontal="center"/>
    </xf>
    <xf numFmtId="0" fontId="11" fillId="2" borderId="6" xfId="51700" applyFont="1" applyFill="1" applyBorder="1" applyAlignment="1">
      <alignment horizontal="center"/>
    </xf>
    <xf numFmtId="0" fontId="11" fillId="138" borderId="166" xfId="0" applyFont="1" applyFill="1" applyBorder="1"/>
    <xf numFmtId="0" fontId="11" fillId="138" borderId="130" xfId="0" applyFont="1" applyFill="1" applyBorder="1"/>
    <xf numFmtId="0" fontId="11" fillId="138" borderId="167" xfId="0" applyFont="1" applyFill="1" applyBorder="1"/>
    <xf numFmtId="0" fontId="11" fillId="138" borderId="89" xfId="0" applyFont="1" applyFill="1" applyBorder="1"/>
    <xf numFmtId="0" fontId="11" fillId="138" borderId="142" xfId="0" applyFont="1" applyFill="1" applyBorder="1"/>
    <xf numFmtId="0" fontId="11" fillId="138" borderId="90" xfId="0" applyFont="1" applyFill="1" applyBorder="1"/>
    <xf numFmtId="2" fontId="8" fillId="0" borderId="0" xfId="51698" applyNumberFormat="1" applyFont="1"/>
    <xf numFmtId="2" fontId="0" fillId="0" borderId="0" xfId="51698" applyNumberFormat="1" applyFont="1"/>
    <xf numFmtId="2" fontId="11" fillId="51" borderId="6" xfId="51700" applyNumberFormat="1" applyFont="1" applyFill="1" applyBorder="1"/>
    <xf numFmtId="361" fontId="0" fillId="0" borderId="0" xfId="51698" applyNumberFormat="1" applyFont="1" applyAlignment="1">
      <alignment horizontal="left" vertical="center" indent="1"/>
    </xf>
    <xf numFmtId="10" fontId="11" fillId="52" borderId="6" xfId="51702" applyNumberFormat="1" applyFont="1" applyFill="1" applyBorder="1" applyProtection="1"/>
    <xf numFmtId="185" fontId="0" fillId="0" borderId="0" xfId="51703" applyFont="1" applyAlignment="1">
      <alignment horizontal="left" indent="1"/>
    </xf>
    <xf numFmtId="0" fontId="11" fillId="138" borderId="165" xfId="0" applyFont="1" applyFill="1" applyBorder="1"/>
    <xf numFmtId="0" fontId="11" fillId="138" borderId="179" xfId="0" applyFont="1" applyFill="1" applyBorder="1"/>
    <xf numFmtId="0" fontId="11" fillId="138" borderId="120" xfId="0" applyFont="1" applyFill="1" applyBorder="1"/>
    <xf numFmtId="0" fontId="294" fillId="0" borderId="0" xfId="51698" applyFont="1" applyProtection="1">
      <protection locked="0"/>
    </xf>
    <xf numFmtId="363" fontId="12" fillId="0" borderId="0" xfId="0" applyNumberFormat="1" applyFont="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0" fontId="12" fillId="0" borderId="0" xfId="51704" applyFont="1" applyFill="1" applyAlignment="1" applyProtection="1">
      <alignment horizontal="center" vertical="center" wrapText="1"/>
      <protection locked="0"/>
    </xf>
    <xf numFmtId="10" fontId="12" fillId="0" borderId="0" xfId="0" applyNumberFormat="1" applyFont="1" applyAlignment="1" applyProtection="1">
      <alignment horizontal="center" vertical="center" wrapText="1"/>
      <protection locked="0"/>
    </xf>
    <xf numFmtId="0" fontId="12" fillId="0" borderId="0" xfId="3428" applyNumberFormat="1" applyFont="1" applyAlignment="1" applyProtection="1">
      <alignment horizontal="center" vertical="center" wrapText="1"/>
      <protection locked="0"/>
    </xf>
    <xf numFmtId="0" fontId="12" fillId="0" borderId="0" xfId="0" applyFont="1" applyProtection="1">
      <protection locked="0"/>
    </xf>
    <xf numFmtId="14" fontId="11" fillId="0" borderId="0" xfId="0" applyNumberFormat="1" applyFont="1" applyProtection="1">
      <protection locked="0"/>
    </xf>
    <xf numFmtId="178" fontId="27" fillId="0" borderId="0" xfId="51705" applyNumberFormat="1" applyFont="1" applyProtection="1">
      <protection locked="0"/>
    </xf>
    <xf numFmtId="10" fontId="0" fillId="0" borderId="0" xfId="51706" applyNumberFormat="1" applyFont="1" applyProtection="1">
      <protection locked="0"/>
    </xf>
    <xf numFmtId="355" fontId="0" fillId="0" borderId="0" xfId="51706" applyNumberFormat="1" applyFont="1" applyProtection="1">
      <protection locked="0"/>
    </xf>
    <xf numFmtId="364" fontId="11" fillId="0" borderId="0" xfId="0" applyNumberFormat="1" applyFont="1" applyProtection="1">
      <protection locked="0"/>
    </xf>
    <xf numFmtId="0" fontId="11" fillId="53" borderId="6" xfId="0" applyFont="1" applyFill="1" applyBorder="1" applyProtection="1">
      <protection locked="0"/>
    </xf>
    <xf numFmtId="363" fontId="30" fillId="0" borderId="0" xfId="0" applyNumberFormat="1" applyFont="1" applyProtection="1">
      <protection locked="0"/>
    </xf>
    <xf numFmtId="10" fontId="11" fillId="0" borderId="0" xfId="51704" applyFont="1" applyFill="1" applyAlignment="1" applyProtection="1">
      <protection locked="0"/>
    </xf>
    <xf numFmtId="177" fontId="11" fillId="0" borderId="0" xfId="3428" applyNumberFormat="1" applyFont="1" applyFill="1" applyProtection="1">
      <protection locked="0"/>
    </xf>
    <xf numFmtId="363" fontId="11" fillId="0" borderId="0" xfId="0" applyNumberFormat="1" applyFont="1" applyProtection="1">
      <protection locked="0"/>
    </xf>
    <xf numFmtId="14" fontId="11" fillId="0" borderId="0" xfId="0" applyNumberFormat="1" applyFont="1"/>
    <xf numFmtId="1" fontId="11" fillId="0" borderId="0" xfId="0" applyNumberFormat="1" applyFont="1"/>
    <xf numFmtId="10" fontId="11" fillId="51" borderId="6" xfId="51704" applyFont="1" applyFill="1" applyBorder="1" applyAlignment="1" applyProtection="1"/>
    <xf numFmtId="177" fontId="11" fillId="52" borderId="6" xfId="3428" applyNumberFormat="1" applyFont="1" applyFill="1" applyBorder="1" applyProtection="1"/>
    <xf numFmtId="178" fontId="286" fillId="0" borderId="0" xfId="75" applyNumberFormat="1" applyFont="1" applyAlignment="1" applyProtection="1">
      <alignment horizontal="center" vertical="center" wrapText="1"/>
      <protection locked="0"/>
    </xf>
    <xf numFmtId="0" fontId="32" fillId="47" borderId="130" xfId="75" applyFont="1" applyFill="1" applyBorder="1"/>
    <xf numFmtId="0" fontId="272" fillId="47" borderId="142" xfId="90" applyFont="1" applyFill="1" applyBorder="1" applyAlignment="1">
      <alignment horizontal="left"/>
    </xf>
    <xf numFmtId="0" fontId="274" fillId="47" borderId="142" xfId="90" applyFont="1" applyFill="1" applyBorder="1" applyAlignment="1">
      <alignment horizontal="left"/>
    </xf>
    <xf numFmtId="0" fontId="249" fillId="0" borderId="0" xfId="79" applyFont="1" applyAlignment="1">
      <alignment horizontal="left"/>
    </xf>
    <xf numFmtId="0" fontId="249" fillId="0" borderId="0" xfId="79" applyFont="1" applyAlignment="1">
      <alignment horizontal="left" indent="1"/>
    </xf>
    <xf numFmtId="0" fontId="250" fillId="0" borderId="0" xfId="78" applyFont="1"/>
    <xf numFmtId="0" fontId="251" fillId="0" borderId="0" xfId="78" applyFont="1"/>
    <xf numFmtId="0" fontId="249" fillId="0" borderId="0" xfId="78" applyFont="1" applyAlignment="1">
      <alignment horizontal="left"/>
    </xf>
    <xf numFmtId="173" fontId="38" fillId="48" borderId="0" xfId="94" applyAlignment="1">
      <alignment horizontal="left" vertical="center" indent="1"/>
    </xf>
    <xf numFmtId="173" fontId="38" fillId="48" borderId="0" xfId="94">
      <alignment vertical="center"/>
    </xf>
    <xf numFmtId="173" fontId="38" fillId="0" borderId="0" xfId="94" applyFill="1">
      <alignment vertical="center"/>
    </xf>
    <xf numFmtId="173" fontId="38" fillId="0" borderId="0" xfId="0" applyNumberFormat="1" applyFont="1" applyAlignment="1">
      <alignment vertical="center"/>
    </xf>
    <xf numFmtId="173" fontId="38" fillId="0" borderId="0" xfId="94" applyFill="1" applyAlignment="1">
      <alignment horizontal="left" vertical="center" indent="1"/>
    </xf>
    <xf numFmtId="0" fontId="253" fillId="0" borderId="0" xfId="85" applyFont="1" applyAlignment="1">
      <alignment horizontal="left" indent="1"/>
    </xf>
    <xf numFmtId="0" fontId="12" fillId="0" borderId="0" xfId="85" applyFont="1"/>
    <xf numFmtId="0" fontId="0" fillId="0" borderId="135" xfId="0" applyBorder="1" applyAlignment="1">
      <alignment horizontal="center" vertical="top"/>
    </xf>
    <xf numFmtId="0" fontId="0" fillId="0" borderId="28" xfId="0" applyBorder="1" applyAlignment="1">
      <alignment horizontal="center" vertical="top"/>
    </xf>
    <xf numFmtId="0" fontId="0" fillId="0" borderId="118" xfId="0" applyBorder="1" applyAlignment="1">
      <alignment horizontal="center" vertical="top"/>
    </xf>
    <xf numFmtId="0" fontId="0" fillId="0" borderId="138" xfId="0" applyBorder="1" applyAlignment="1">
      <alignment horizontal="center" vertical="top"/>
    </xf>
    <xf numFmtId="0" fontId="11" fillId="0" borderId="0" xfId="85" applyFont="1" applyAlignment="1">
      <alignment horizontal="left" indent="1"/>
    </xf>
    <xf numFmtId="353" fontId="9" fillId="2" borderId="6" xfId="0" applyNumberFormat="1" applyFont="1" applyFill="1" applyBorder="1" applyAlignment="1">
      <alignment horizontal="center" vertical="center"/>
    </xf>
    <xf numFmtId="0" fontId="11" fillId="0" borderId="0" xfId="80" applyFont="1" applyAlignment="1">
      <alignment horizontal="right" indent="1"/>
    </xf>
    <xf numFmtId="1" fontId="9" fillId="2" borderId="104" xfId="0" applyNumberFormat="1" applyFont="1" applyFill="1" applyBorder="1" applyAlignment="1">
      <alignment horizontal="center" vertical="center"/>
    </xf>
    <xf numFmtId="1" fontId="9" fillId="2" borderId="118" xfId="0" applyNumberFormat="1" applyFont="1" applyFill="1" applyBorder="1" applyAlignment="1">
      <alignment horizontal="center" vertical="center"/>
    </xf>
    <xf numFmtId="1" fontId="9" fillId="2" borderId="73" xfId="0" applyNumberFormat="1" applyFont="1" applyFill="1" applyBorder="1" applyAlignment="1">
      <alignment horizontal="center" vertical="center"/>
    </xf>
    <xf numFmtId="14" fontId="0" fillId="2" borderId="6" xfId="0" applyNumberFormat="1" applyFill="1" applyBorder="1"/>
    <xf numFmtId="0" fontId="12" fillId="0" borderId="0" xfId="85" applyFont="1" applyAlignment="1">
      <alignment horizontal="left" indent="1"/>
    </xf>
    <xf numFmtId="0" fontId="11" fillId="0" borderId="0" xfId="48236"/>
    <xf numFmtId="0" fontId="11" fillId="0" borderId="59" xfId="85" applyFont="1" applyBorder="1" applyAlignment="1">
      <alignment horizontal="center"/>
    </xf>
    <xf numFmtId="0" fontId="11" fillId="0" borderId="60" xfId="85" applyFont="1" applyBorder="1" applyAlignment="1">
      <alignment horizontal="center"/>
    </xf>
    <xf numFmtId="0" fontId="11" fillId="0" borderId="96" xfId="85" applyFont="1" applyBorder="1" applyAlignment="1">
      <alignment horizontal="center"/>
    </xf>
    <xf numFmtId="0" fontId="11" fillId="0" borderId="112" xfId="85" applyFont="1" applyBorder="1" applyAlignment="1">
      <alignment horizontal="center"/>
    </xf>
    <xf numFmtId="173" fontId="11" fillId="0" borderId="0" xfId="0" applyNumberFormat="1" applyFont="1" applyAlignment="1">
      <alignment horizontal="left" vertical="center" wrapText="1"/>
    </xf>
    <xf numFmtId="0" fontId="281" fillId="0" borderId="0" xfId="85" applyFont="1"/>
    <xf numFmtId="0" fontId="11" fillId="0" borderId="6" xfId="85" applyFont="1" applyBorder="1"/>
    <xf numFmtId="0" fontId="11" fillId="51" borderId="0" xfId="85" applyFont="1" applyFill="1"/>
    <xf numFmtId="0" fontId="256" fillId="0" borderId="0" xfId="85" applyFont="1"/>
    <xf numFmtId="178" fontId="11" fillId="0" borderId="0" xfId="85" applyNumberFormat="1" applyFont="1"/>
    <xf numFmtId="0" fontId="12" fillId="0" borderId="0" xfId="85" applyFont="1" applyAlignment="1">
      <alignment horizontal="right"/>
    </xf>
    <xf numFmtId="0" fontId="12" fillId="0" borderId="0" xfId="85" applyFont="1" applyAlignment="1">
      <alignment vertical="center"/>
    </xf>
    <xf numFmtId="0" fontId="8" fillId="0" borderId="0" xfId="0" applyFont="1"/>
    <xf numFmtId="0" fontId="11" fillId="0" borderId="0" xfId="85" applyFont="1" applyAlignment="1">
      <alignment horizontal="left" vertical="center" wrapText="1"/>
    </xf>
    <xf numFmtId="351" fontId="11" fillId="0" borderId="0" xfId="85" applyNumberFormat="1" applyFont="1"/>
    <xf numFmtId="173" fontId="37" fillId="42" borderId="0" xfId="0" applyNumberFormat="1" applyFont="1" applyFill="1" applyAlignment="1">
      <alignment vertical="center"/>
    </xf>
    <xf numFmtId="173" fontId="39" fillId="49" borderId="0" xfId="96" applyAlignment="1">
      <alignment horizontal="left" vertical="center" indent="1"/>
    </xf>
    <xf numFmtId="173" fontId="39" fillId="49" borderId="0" xfId="96" applyAlignment="1">
      <alignment vertical="center"/>
    </xf>
    <xf numFmtId="173" fontId="39" fillId="0" borderId="0" xfId="96" applyFill="1" applyAlignment="1">
      <alignment vertical="center"/>
    </xf>
    <xf numFmtId="173" fontId="11" fillId="3" borderId="135" xfId="0" applyNumberFormat="1" applyFont="1" applyFill="1" applyBorder="1" applyAlignment="1" applyProtection="1">
      <alignment vertical="center"/>
      <protection locked="0"/>
    </xf>
    <xf numFmtId="173" fontId="11" fillId="3" borderId="28" xfId="0" applyNumberFormat="1" applyFont="1" applyFill="1" applyBorder="1" applyAlignment="1" applyProtection="1">
      <alignment vertical="center" wrapText="1"/>
      <protection locked="0"/>
    </xf>
    <xf numFmtId="173" fontId="11" fillId="3" borderId="28" xfId="0" applyNumberFormat="1" applyFont="1" applyFill="1" applyBorder="1" applyAlignment="1" applyProtection="1">
      <alignment horizontal="left" vertical="center" wrapText="1"/>
      <protection locked="0"/>
    </xf>
    <xf numFmtId="173" fontId="11" fillId="3" borderId="138" xfId="0" applyNumberFormat="1" applyFont="1" applyFill="1" applyBorder="1" applyAlignment="1" applyProtection="1">
      <alignment horizontal="left" vertical="center" wrapText="1"/>
      <protection locked="0"/>
    </xf>
    <xf numFmtId="0" fontId="0" fillId="141" borderId="0" xfId="0" applyFill="1" applyProtection="1">
      <protection locked="0"/>
    </xf>
    <xf numFmtId="0" fontId="0" fillId="52" borderId="153" xfId="0" applyFill="1" applyBorder="1" applyAlignment="1">
      <alignment horizontal="center"/>
    </xf>
    <xf numFmtId="0" fontId="0" fillId="52" borderId="64" xfId="0" applyFill="1" applyBorder="1" applyAlignment="1">
      <alignment horizontal="center"/>
    </xf>
    <xf numFmtId="0" fontId="0" fillId="52" borderId="155" xfId="0" applyFill="1" applyBorder="1" applyAlignment="1">
      <alignment horizontal="center"/>
    </xf>
    <xf numFmtId="10" fontId="0" fillId="52" borderId="94" xfId="0" applyNumberFormat="1" applyFill="1" applyBorder="1"/>
    <xf numFmtId="10" fontId="0" fillId="52" borderId="152" xfId="0" applyNumberFormat="1" applyFill="1" applyBorder="1"/>
    <xf numFmtId="10" fontId="0" fillId="52" borderId="96" xfId="0" applyNumberFormat="1" applyFill="1" applyBorder="1"/>
    <xf numFmtId="1" fontId="9" fillId="53" borderId="198" xfId="0" applyNumberFormat="1" applyFont="1" applyFill="1" applyBorder="1" applyAlignment="1">
      <alignment horizontal="center" vertical="center"/>
    </xf>
    <xf numFmtId="1" fontId="9" fillId="53" borderId="199" xfId="0" applyNumberFormat="1" applyFont="1" applyFill="1" applyBorder="1" applyAlignment="1">
      <alignment horizontal="center" vertical="center"/>
    </xf>
    <xf numFmtId="178" fontId="0" fillId="117" borderId="200" xfId="0" applyNumberFormat="1" applyFill="1" applyBorder="1" applyAlignment="1">
      <alignment horizontal="right" indent="1"/>
    </xf>
    <xf numFmtId="10" fontId="0" fillId="52" borderId="201" xfId="0" applyNumberFormat="1" applyFill="1" applyBorder="1"/>
    <xf numFmtId="178" fontId="0" fillId="117" borderId="202" xfId="0" applyNumberFormat="1" applyFill="1" applyBorder="1" applyAlignment="1">
      <alignment horizontal="right" indent="1"/>
    </xf>
    <xf numFmtId="10" fontId="0" fillId="52" borderId="203" xfId="0" applyNumberFormat="1" applyFill="1" applyBorder="1"/>
    <xf numFmtId="178" fontId="0" fillId="117" borderId="201" xfId="0" applyNumberFormat="1" applyFill="1" applyBorder="1" applyAlignment="1">
      <alignment horizontal="right" indent="1"/>
    </xf>
    <xf numFmtId="10" fontId="0" fillId="52" borderId="204" xfId="0" applyNumberFormat="1" applyFill="1" applyBorder="1"/>
    <xf numFmtId="10" fontId="0" fillId="52" borderId="173" xfId="0" applyNumberFormat="1" applyFill="1" applyBorder="1"/>
    <xf numFmtId="178" fontId="0" fillId="117" borderId="133" xfId="0" applyNumberFormat="1" applyFill="1" applyBorder="1" applyAlignment="1">
      <alignment horizontal="right" indent="1"/>
    </xf>
    <xf numFmtId="178" fontId="0" fillId="117" borderId="205" xfId="0" applyNumberFormat="1" applyFill="1" applyBorder="1" applyAlignment="1">
      <alignment horizontal="right" indent="1"/>
    </xf>
    <xf numFmtId="0" fontId="0" fillId="0" borderId="156" xfId="0" applyBorder="1"/>
    <xf numFmtId="0" fontId="0" fillId="0" borderId="206" xfId="0" applyBorder="1" applyAlignment="1">
      <alignment horizontal="center" vertical="center"/>
    </xf>
    <xf numFmtId="0" fontId="0" fillId="0" borderId="207" xfId="0" applyBorder="1" applyAlignment="1">
      <alignment horizontal="center" vertical="center"/>
    </xf>
    <xf numFmtId="0" fontId="0" fillId="0" borderId="208" xfId="0" applyBorder="1" applyAlignment="1">
      <alignment horizontal="center" vertical="center"/>
    </xf>
    <xf numFmtId="1" fontId="9" fillId="53" borderId="211" xfId="0" applyNumberFormat="1" applyFont="1" applyFill="1" applyBorder="1" applyAlignment="1">
      <alignment horizontal="center" vertical="center"/>
    </xf>
    <xf numFmtId="1" fontId="9" fillId="53" borderId="212" xfId="0" applyNumberFormat="1" applyFont="1" applyFill="1" applyBorder="1" applyAlignment="1">
      <alignment horizontal="center" vertical="center"/>
    </xf>
    <xf numFmtId="1" fontId="9" fillId="53" borderId="213" xfId="0" applyNumberFormat="1" applyFont="1" applyFill="1" applyBorder="1" applyAlignment="1">
      <alignment horizontal="center" vertical="center"/>
    </xf>
    <xf numFmtId="1" fontId="9" fillId="53" borderId="214" xfId="0" applyNumberFormat="1" applyFont="1" applyFill="1" applyBorder="1" applyAlignment="1">
      <alignment horizontal="center" vertical="center"/>
    </xf>
    <xf numFmtId="178" fontId="0" fillId="117" borderId="215" xfId="0" applyNumberFormat="1" applyFill="1" applyBorder="1" applyAlignment="1">
      <alignment horizontal="right" indent="1"/>
    </xf>
    <xf numFmtId="10" fontId="0" fillId="0" borderId="162" xfId="0" applyNumberFormat="1" applyBorder="1"/>
    <xf numFmtId="178" fontId="0" fillId="117" borderId="76" xfId="0" applyNumberFormat="1" applyFill="1" applyBorder="1" applyAlignment="1">
      <alignment horizontal="right" indent="1"/>
    </xf>
    <xf numFmtId="178" fontId="0" fillId="117" borderId="84" xfId="0" applyNumberFormat="1" applyFill="1" applyBorder="1" applyAlignment="1">
      <alignment horizontal="right" indent="1"/>
    </xf>
    <xf numFmtId="10" fontId="0" fillId="0" borderId="119" xfId="0" applyNumberFormat="1" applyBorder="1"/>
    <xf numFmtId="10" fontId="0" fillId="0" borderId="77" xfId="0" applyNumberFormat="1" applyBorder="1"/>
    <xf numFmtId="169" fontId="0" fillId="0" borderId="0" xfId="1" applyFont="1"/>
    <xf numFmtId="0" fontId="26" fillId="39" borderId="6" xfId="75" applyFont="1" applyFill="1" applyBorder="1" applyAlignment="1">
      <alignment horizontal="right"/>
    </xf>
    <xf numFmtId="348" fontId="0" fillId="0" borderId="63" xfId="1" applyNumberFormat="1" applyFont="1" applyBorder="1" applyAlignment="1">
      <alignment horizontal="right"/>
    </xf>
    <xf numFmtId="348" fontId="0" fillId="0" borderId="63" xfId="1" applyNumberFormat="1" applyFont="1" applyBorder="1" applyAlignment="1">
      <alignment horizontal="right" indent="3"/>
    </xf>
    <xf numFmtId="348" fontId="0" fillId="0" borderId="66" xfId="1" applyNumberFormat="1" applyFont="1" applyBorder="1" applyAlignment="1">
      <alignment horizontal="right"/>
    </xf>
    <xf numFmtId="0" fontId="0" fillId="0" borderId="135" xfId="0" applyBorder="1" applyAlignment="1">
      <alignment horizontal="left" vertical="top" wrapText="1" indent="1"/>
    </xf>
    <xf numFmtId="169" fontId="11" fillId="52" borderId="59" xfId="1" applyFont="1" applyFill="1" applyBorder="1" applyAlignment="1" applyProtection="1">
      <alignment vertical="center"/>
    </xf>
    <xf numFmtId="169" fontId="11" fillId="52" borderId="61" xfId="1" applyFont="1" applyFill="1" applyBorder="1" applyAlignment="1" applyProtection="1">
      <alignment vertical="center"/>
    </xf>
    <xf numFmtId="43" fontId="0" fillId="0" borderId="0" xfId="0" applyNumberFormat="1"/>
    <xf numFmtId="0" fontId="0" fillId="54" borderId="0" xfId="0" applyFill="1"/>
    <xf numFmtId="0" fontId="248" fillId="54" borderId="0" xfId="0" applyFont="1" applyFill="1"/>
    <xf numFmtId="3" fontId="11" fillId="54" borderId="6" xfId="89" applyNumberFormat="1" applyFont="1" applyFill="1" applyBorder="1" applyAlignment="1">
      <alignment horizontal="left" indent="1"/>
    </xf>
    <xf numFmtId="9" fontId="0" fillId="0" borderId="0" xfId="77" applyFont="1" applyFill="1" applyBorder="1" applyAlignment="1">
      <alignment horizontal="center" vertical="center"/>
    </xf>
    <xf numFmtId="0" fontId="34" fillId="0" borderId="0" xfId="93" applyFont="1"/>
    <xf numFmtId="0" fontId="0" fillId="54" borderId="0" xfId="0" applyFill="1" applyAlignment="1">
      <alignment horizontal="left" vertical="center"/>
    </xf>
    <xf numFmtId="0" fontId="0" fillId="0" borderId="166" xfId="0" applyBorder="1" applyAlignment="1">
      <alignment horizontal="left" vertical="top" wrapText="1" indent="1"/>
    </xf>
    <xf numFmtId="0" fontId="0" fillId="0" borderId="165" xfId="0" applyBorder="1" applyAlignment="1">
      <alignment vertical="top"/>
    </xf>
    <xf numFmtId="177" fontId="0" fillId="131" borderId="136" xfId="0" applyNumberFormat="1" applyFill="1" applyBorder="1" applyAlignment="1" applyProtection="1">
      <alignment horizontal="right" vertical="top"/>
      <protection locked="0"/>
    </xf>
    <xf numFmtId="0" fontId="0" fillId="54" borderId="0" xfId="0" applyFill="1" applyAlignment="1" applyProtection="1">
      <alignment horizontal="left" indent="1"/>
      <protection locked="0"/>
    </xf>
    <xf numFmtId="0" fontId="0" fillId="142" borderId="0" xfId="0" applyFill="1" applyAlignment="1" applyProtection="1">
      <alignment horizontal="left" vertical="top"/>
      <protection locked="0"/>
    </xf>
    <xf numFmtId="0" fontId="0" fillId="0" borderId="165" xfId="0" applyBorder="1" applyAlignment="1">
      <alignment horizontal="left" vertical="top" wrapText="1" indent="1"/>
    </xf>
    <xf numFmtId="348" fontId="11" fillId="52" borderId="6" xfId="2" applyNumberFormat="1" applyFont="1" applyFill="1" applyBorder="1" applyProtection="1"/>
    <xf numFmtId="0" fontId="11" fillId="0" borderId="6" xfId="0" applyFont="1" applyBorder="1" applyAlignment="1">
      <alignment vertical="top" wrapText="1"/>
    </xf>
    <xf numFmtId="0" fontId="0" fillId="0" borderId="165" xfId="0" applyBorder="1" applyAlignment="1">
      <alignment vertical="top" wrapText="1"/>
    </xf>
    <xf numFmtId="0" fontId="0" fillId="0" borderId="138" xfId="0" applyBorder="1" applyAlignment="1">
      <alignment vertical="top" wrapText="1"/>
    </xf>
    <xf numFmtId="0" fontId="0" fillId="0" borderId="167" xfId="0" applyBorder="1" applyAlignment="1">
      <alignment vertical="top" wrapText="1"/>
    </xf>
    <xf numFmtId="0" fontId="0" fillId="0" borderId="216" xfId="0" applyBorder="1" applyAlignment="1">
      <alignment vertical="top" wrapText="1"/>
    </xf>
    <xf numFmtId="0" fontId="12" fillId="54" borderId="0" xfId="85" applyFont="1" applyFill="1" applyAlignment="1" applyProtection="1">
      <alignment horizontal="left" vertical="center" wrapText="1"/>
      <protection locked="0"/>
    </xf>
    <xf numFmtId="183" fontId="11" fillId="0" borderId="6" xfId="7" applyNumberFormat="1" applyFont="1" applyBorder="1" applyAlignment="1">
      <alignment horizontal="center" vertical="center"/>
    </xf>
    <xf numFmtId="0" fontId="0" fillId="54" borderId="0" xfId="0" applyFill="1" applyAlignment="1">
      <alignment wrapText="1"/>
    </xf>
    <xf numFmtId="0" fontId="285" fillId="54" borderId="180" xfId="51694" quotePrefix="1" applyFont="1" applyFill="1" applyBorder="1" applyAlignment="1" applyProtection="1">
      <alignment vertical="center"/>
      <protection locked="0"/>
    </xf>
    <xf numFmtId="0" fontId="0" fillId="0" borderId="6" xfId="0" applyBorder="1" applyAlignment="1">
      <alignment horizontal="left" vertical="center" wrapText="1" indent="1"/>
    </xf>
    <xf numFmtId="178" fontId="292" fillId="54" borderId="0" xfId="75" applyNumberFormat="1" applyFont="1" applyFill="1" applyAlignment="1" applyProtection="1">
      <alignment horizontal="center" vertical="center"/>
      <protection locked="0"/>
    </xf>
    <xf numFmtId="178" fontId="289" fillId="54" borderId="0" xfId="75" applyNumberFormat="1" applyFont="1" applyFill="1" applyAlignment="1" applyProtection="1">
      <alignment horizontal="center" vertical="center"/>
      <protection locked="0"/>
    </xf>
    <xf numFmtId="0" fontId="3" fillId="54" borderId="138" xfId="51694" applyFill="1" applyBorder="1" applyAlignment="1" applyProtection="1">
      <alignment vertical="center"/>
      <protection locked="0"/>
    </xf>
    <xf numFmtId="0" fontId="282" fillId="54" borderId="135" xfId="51694" applyFont="1" applyFill="1" applyBorder="1" applyAlignment="1" applyProtection="1">
      <alignment vertical="center"/>
      <protection locked="0"/>
    </xf>
    <xf numFmtId="0" fontId="282" fillId="54" borderId="135" xfId="51694" applyFont="1" applyFill="1" applyBorder="1" applyAlignment="1" applyProtection="1">
      <alignment horizontal="left" vertical="center"/>
      <protection locked="0"/>
    </xf>
    <xf numFmtId="0" fontId="282" fillId="54" borderId="138" xfId="51694" applyFont="1" applyFill="1" applyBorder="1" applyAlignment="1" applyProtection="1">
      <alignment horizontal="left" vertical="center"/>
      <protection locked="0"/>
    </xf>
    <xf numFmtId="0" fontId="0" fillId="0" borderId="217" xfId="0" applyBorder="1" applyAlignment="1">
      <alignment vertical="top" wrapText="1"/>
    </xf>
    <xf numFmtId="0" fontId="0" fillId="0" borderId="218" xfId="0" applyBorder="1"/>
    <xf numFmtId="0" fontId="0" fillId="0" borderId="218" xfId="0" applyBorder="1" applyAlignment="1">
      <alignment horizontal="left" vertical="top" wrapText="1" indent="1"/>
    </xf>
    <xf numFmtId="0" fontId="0" fillId="0" borderId="138" xfId="0" applyBorder="1" applyAlignment="1">
      <alignment wrapText="1"/>
    </xf>
    <xf numFmtId="43" fontId="0" fillId="0" borderId="0" xfId="0" applyNumberFormat="1" applyAlignment="1" applyProtection="1">
      <alignment horizontal="center" vertical="top"/>
      <protection locked="0"/>
    </xf>
    <xf numFmtId="178" fontId="11" fillId="0" borderId="135" xfId="7" applyNumberFormat="1" applyFont="1" applyBorder="1" applyAlignment="1">
      <alignment horizontal="center" vertical="center"/>
    </xf>
    <xf numFmtId="0" fontId="9" fillId="2" borderId="165" xfId="0" applyFont="1" applyFill="1" applyBorder="1" applyAlignment="1">
      <alignment horizontal="center" vertical="center"/>
    </xf>
    <xf numFmtId="0" fontId="12" fillId="2" borderId="165" xfId="7" applyFont="1" applyFill="1" applyBorder="1" applyAlignment="1">
      <alignment horizontal="center" vertical="center"/>
    </xf>
    <xf numFmtId="178" fontId="0" fillId="0" borderId="6" xfId="0" applyNumberFormat="1" applyBorder="1" applyAlignment="1">
      <alignment horizontal="right" indent="1"/>
    </xf>
    <xf numFmtId="178" fontId="0" fillId="0" borderId="135" xfId="0" applyNumberFormat="1" applyBorder="1" applyAlignment="1">
      <alignment horizontal="right" indent="1"/>
    </xf>
    <xf numFmtId="178" fontId="0" fillId="52" borderId="6" xfId="0" applyNumberFormat="1" applyFill="1" applyBorder="1" applyAlignment="1">
      <alignment horizontal="right" indent="1"/>
    </xf>
    <xf numFmtId="183" fontId="0" fillId="0" borderId="0" xfId="0" applyNumberFormat="1" applyAlignment="1" applyProtection="1">
      <alignment horizontal="center" vertical="top"/>
      <protection locked="0"/>
    </xf>
    <xf numFmtId="175" fontId="8" fillId="0" borderId="0" xfId="77" applyNumberFormat="1" applyFont="1"/>
    <xf numFmtId="0" fontId="0" fillId="0" borderId="134" xfId="0" applyBorder="1" applyAlignment="1">
      <alignment horizontal="left" vertical="center" wrapText="1" indent="1"/>
    </xf>
    <xf numFmtId="0" fontId="0" fillId="0" borderId="134" xfId="0" applyBorder="1" applyAlignment="1">
      <alignment wrapText="1"/>
    </xf>
    <xf numFmtId="0" fontId="0" fillId="0" borderId="134" xfId="0" applyBorder="1" applyAlignment="1">
      <alignment horizontal="left" vertical="center"/>
    </xf>
    <xf numFmtId="0" fontId="0" fillId="0" borderId="134" xfId="0" applyBorder="1" applyAlignment="1">
      <alignment vertical="center"/>
    </xf>
    <xf numFmtId="0" fontId="0" fillId="0" borderId="134" xfId="0" applyBorder="1" applyAlignment="1">
      <alignment vertical="top" wrapText="1"/>
    </xf>
    <xf numFmtId="0" fontId="0" fillId="0" borderId="6" xfId="0" applyBorder="1" applyAlignment="1">
      <alignment horizontal="center" vertical="top"/>
    </xf>
    <xf numFmtId="0" fontId="0" fillId="54" borderId="6" xfId="0" applyFill="1" applyBorder="1" applyAlignment="1">
      <alignment horizontal="center" vertical="top"/>
    </xf>
    <xf numFmtId="0" fontId="0" fillId="0" borderId="134" xfId="0" applyBorder="1" applyAlignment="1">
      <alignment horizontal="left" vertical="center" wrapText="1"/>
    </xf>
    <xf numFmtId="175" fontId="0" fillId="0" borderId="0" xfId="77" applyNumberFormat="1" applyFont="1"/>
    <xf numFmtId="177" fontId="0" fillId="43" borderId="164" xfId="51696" applyNumberFormat="1" applyFont="1" applyBorder="1">
      <alignment vertical="center"/>
    </xf>
    <xf numFmtId="177" fontId="0" fillId="43" borderId="186" xfId="51696" applyNumberFormat="1" applyFont="1" applyBorder="1">
      <alignment vertical="center"/>
    </xf>
    <xf numFmtId="177" fontId="0" fillId="43" borderId="104" xfId="51696" applyNumberFormat="1" applyFont="1" applyBorder="1">
      <alignment vertical="center"/>
    </xf>
    <xf numFmtId="177" fontId="0" fillId="43" borderId="72" xfId="51696" applyNumberFormat="1" applyFont="1" applyBorder="1">
      <alignment vertical="center"/>
    </xf>
    <xf numFmtId="175" fontId="1" fillId="0" borderId="0" xfId="77" applyNumberFormat="1" applyFont="1"/>
    <xf numFmtId="0" fontId="0" fillId="0" borderId="165" xfId="0" applyBorder="1" applyAlignment="1">
      <alignment horizontal="center" vertical="top"/>
    </xf>
    <xf numFmtId="178" fontId="3" fillId="54" borderId="180" xfId="51694" applyNumberFormat="1" applyFill="1" applyBorder="1" applyAlignment="1" applyProtection="1">
      <alignment horizontal="center" vertical="center"/>
      <protection locked="0"/>
    </xf>
    <xf numFmtId="0" fontId="0" fillId="54" borderId="0" xfId="0" applyFill="1" applyAlignment="1" applyProtection="1">
      <alignment horizontal="left" vertical="top"/>
      <protection locked="0"/>
    </xf>
    <xf numFmtId="0" fontId="0" fillId="54" borderId="0" xfId="0" applyFill="1" applyAlignment="1">
      <alignment horizontal="right" vertical="top" indent="1"/>
    </xf>
    <xf numFmtId="0" fontId="9" fillId="54" borderId="0" xfId="0" applyFont="1" applyFill="1"/>
    <xf numFmtId="0" fontId="0" fillId="54" borderId="6" xfId="0" applyFill="1" applyBorder="1" applyAlignment="1">
      <alignment horizontal="center" vertical="center" wrapText="1"/>
    </xf>
    <xf numFmtId="0" fontId="9" fillId="54" borderId="0" xfId="51698" applyFont="1" applyFill="1"/>
    <xf numFmtId="0" fontId="8" fillId="54" borderId="0" xfId="51698" applyFont="1" applyFill="1"/>
    <xf numFmtId="10" fontId="0" fillId="54" borderId="6" xfId="83" applyNumberFormat="1" applyFont="1" applyFill="1" applyBorder="1"/>
    <xf numFmtId="10" fontId="8" fillId="54" borderId="6" xfId="83" applyNumberFormat="1" applyFont="1" applyFill="1" applyBorder="1" applyProtection="1"/>
    <xf numFmtId="0" fontId="11" fillId="54" borderId="0" xfId="51700" applyFont="1" applyFill="1"/>
    <xf numFmtId="0" fontId="8" fillId="54" borderId="0" xfId="51701" applyFill="1"/>
    <xf numFmtId="0" fontId="11" fillId="54" borderId="0" xfId="85" applyFont="1" applyFill="1" applyProtection="1">
      <protection locked="0"/>
    </xf>
    <xf numFmtId="0" fontId="11" fillId="54" borderId="0" xfId="85" applyFont="1" applyFill="1" applyAlignment="1">
      <alignment horizontal="left" indent="1"/>
    </xf>
    <xf numFmtId="10" fontId="8" fillId="0" borderId="6" xfId="83" applyNumberFormat="1" applyFont="1" applyFill="1" applyBorder="1" applyProtection="1"/>
    <xf numFmtId="362" fontId="38" fillId="0" borderId="6" xfId="51703" applyNumberFormat="1" applyFont="1" applyBorder="1" applyAlignment="1">
      <alignment vertical="center"/>
    </xf>
    <xf numFmtId="0" fontId="11" fillId="0" borderId="6" xfId="0" applyFont="1" applyBorder="1" applyProtection="1">
      <protection locked="0"/>
    </xf>
    <xf numFmtId="0" fontId="8" fillId="3" borderId="6" xfId="75" applyFill="1" applyBorder="1" applyAlignment="1">
      <alignment wrapText="1"/>
    </xf>
    <xf numFmtId="348" fontId="0" fillId="3" borderId="71" xfId="0" applyNumberFormat="1" applyFill="1" applyBorder="1" applyAlignment="1" applyProtection="1">
      <alignment horizontal="right" vertical="center"/>
      <protection locked="0"/>
    </xf>
    <xf numFmtId="14" fontId="0" fillId="3" borderId="6" xfId="0" applyNumberFormat="1" applyFill="1" applyBorder="1" applyAlignment="1" applyProtection="1">
      <alignment horizontal="right" vertical="top"/>
      <protection locked="0"/>
    </xf>
    <xf numFmtId="0" fontId="3" fillId="0" borderId="6" xfId="51694" applyBorder="1" applyAlignment="1" applyProtection="1">
      <alignment vertical="center"/>
      <protection locked="0"/>
    </xf>
    <xf numFmtId="178" fontId="283" fillId="36" borderId="0" xfId="75" applyNumberFormat="1" applyFont="1" applyFill="1" applyAlignment="1" applyProtection="1">
      <alignment horizontal="center" vertical="center"/>
      <protection locked="0"/>
    </xf>
    <xf numFmtId="178" fontId="1" fillId="52" borderId="0" xfId="51694" applyNumberFormat="1" applyFont="1" applyFill="1" applyAlignment="1">
      <alignment horizontal="center" vertical="center"/>
    </xf>
    <xf numFmtId="178" fontId="283" fillId="36" borderId="142" xfId="75" applyNumberFormat="1" applyFont="1" applyFill="1" applyBorder="1" applyAlignment="1" applyProtection="1">
      <alignment horizontal="center" vertical="center"/>
      <protection locked="0"/>
    </xf>
    <xf numFmtId="0" fontId="272" fillId="47" borderId="0" xfId="90" applyFont="1" applyFill="1" applyAlignment="1" applyProtection="1">
      <alignment horizontal="left" wrapText="1"/>
      <protection locked="0"/>
    </xf>
    <xf numFmtId="0" fontId="3" fillId="0" borderId="0" xfId="51694" applyAlignment="1" applyProtection="1">
      <alignment horizontal="left" vertical="top" wrapText="1"/>
      <protection locked="0"/>
    </xf>
    <xf numFmtId="178" fontId="283" fillId="0" borderId="0" xfId="75" applyNumberFormat="1" applyFont="1" applyAlignment="1" applyProtection="1">
      <alignment horizontal="center" vertical="center" wrapText="1"/>
      <protection locked="0"/>
    </xf>
    <xf numFmtId="178" fontId="284" fillId="0" borderId="0" xfId="51694" applyNumberFormat="1" applyFont="1" applyAlignment="1" applyProtection="1">
      <alignment horizontal="center" wrapText="1"/>
      <protection locked="0"/>
    </xf>
    <xf numFmtId="178" fontId="292" fillId="0" borderId="0" xfId="75" applyNumberFormat="1" applyFont="1" applyAlignment="1" applyProtection="1">
      <alignment horizontal="center" vertical="center" wrapText="1"/>
      <protection locked="0"/>
    </xf>
    <xf numFmtId="0" fontId="283" fillId="0" borderId="0" xfId="51694" applyFont="1" applyAlignment="1" applyProtection="1">
      <alignment wrapText="1"/>
      <protection locked="0"/>
    </xf>
    <xf numFmtId="178" fontId="292" fillId="0" borderId="0" xfId="51694" applyNumberFormat="1" applyFont="1" applyAlignment="1" applyProtection="1">
      <alignment horizontal="center" vertical="center" wrapText="1"/>
      <protection locked="0"/>
    </xf>
    <xf numFmtId="177" fontId="0" fillId="3" borderId="82" xfId="0" applyNumberFormat="1" applyFill="1" applyBorder="1" applyAlignment="1" applyProtection="1">
      <alignment horizontal="right" vertical="top"/>
      <protection locked="0"/>
    </xf>
    <xf numFmtId="177" fontId="0" fillId="3" borderId="168" xfId="0" applyNumberFormat="1" applyFill="1" applyBorder="1" applyAlignment="1" applyProtection="1">
      <alignment horizontal="right" vertical="top"/>
      <protection locked="0"/>
    </xf>
    <xf numFmtId="0" fontId="0" fillId="0" borderId="0" xfId="0" applyAlignment="1">
      <alignment horizontal="center"/>
    </xf>
    <xf numFmtId="0" fontId="0" fillId="0" borderId="100" xfId="0" applyBorder="1" applyAlignment="1">
      <alignment horizontal="left" vertical="center" wrapText="1" indent="1"/>
    </xf>
    <xf numFmtId="0" fontId="0" fillId="0" borderId="79" xfId="0" applyBorder="1" applyAlignment="1">
      <alignment horizontal="left" vertical="center" wrapText="1" indent="1"/>
    </xf>
    <xf numFmtId="3" fontId="0" fillId="0" borderId="135" xfId="0" applyNumberFormat="1" applyBorder="1" applyAlignment="1">
      <alignment horizontal="center" vertical="center" wrapText="1"/>
    </xf>
    <xf numFmtId="3" fontId="0" fillId="0" borderId="6" xfId="0" applyNumberFormat="1" applyBorder="1" applyAlignment="1">
      <alignment horizontal="center" vertical="center" wrapText="1"/>
    </xf>
    <xf numFmtId="0" fontId="0" fillId="0" borderId="98" xfId="0" applyBorder="1" applyAlignment="1">
      <alignment horizontal="left" vertical="center" wrapText="1" indent="1"/>
    </xf>
    <xf numFmtId="0" fontId="0" fillId="0" borderId="80" xfId="0" applyBorder="1" applyAlignment="1">
      <alignment horizontal="left" vertical="center" wrapText="1" indent="1"/>
    </xf>
    <xf numFmtId="0" fontId="0" fillId="0" borderId="135" xfId="0" applyBorder="1" applyAlignment="1">
      <alignment vertical="center" wrapText="1"/>
    </xf>
    <xf numFmtId="0" fontId="0" fillId="0" borderId="28" xfId="0" applyBorder="1" applyAlignment="1">
      <alignment vertical="center" wrapText="1"/>
    </xf>
    <xf numFmtId="0" fontId="0" fillId="0" borderId="138" xfId="0" applyBorder="1" applyAlignment="1">
      <alignment vertical="center" wrapText="1"/>
    </xf>
    <xf numFmtId="0" fontId="0" fillId="0" borderId="102" xfId="0" applyBorder="1" applyAlignment="1">
      <alignment vertical="center" wrapText="1"/>
    </xf>
    <xf numFmtId="0" fontId="0" fillId="0" borderId="83"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9" xfId="0" applyBorder="1" applyAlignment="1">
      <alignment vertical="center" wrapText="1"/>
    </xf>
    <xf numFmtId="0" fontId="0" fillId="0" borderId="93" xfId="0" applyBorder="1" applyAlignment="1">
      <alignment vertical="center" wrapText="1"/>
    </xf>
    <xf numFmtId="0" fontId="0" fillId="0" borderId="102" xfId="0" applyBorder="1" applyAlignment="1">
      <alignment horizontal="left" vertical="center" wrapText="1" indent="1"/>
    </xf>
    <xf numFmtId="0" fontId="0" fillId="0" borderId="78" xfId="0" applyBorder="1" applyAlignment="1">
      <alignment horizontal="left" vertical="center" wrapText="1" indent="1"/>
    </xf>
    <xf numFmtId="0" fontId="0" fillId="0" borderId="100" xfId="0" applyBorder="1" applyAlignment="1">
      <alignment horizontal="left" vertical="center" wrapText="1"/>
    </xf>
    <xf numFmtId="0" fontId="0" fillId="0" borderId="79" xfId="0" applyBorder="1" applyAlignment="1">
      <alignment horizontal="left" vertical="center" wrapText="1"/>
    </xf>
    <xf numFmtId="0" fontId="0" fillId="0" borderId="135" xfId="0" applyBorder="1" applyAlignment="1">
      <alignment horizontal="center" vertical="center" wrapText="1"/>
    </xf>
    <xf numFmtId="0" fontId="0" fillId="0" borderId="6" xfId="0" applyBorder="1" applyAlignment="1">
      <alignment horizontal="center" vertical="center" wrapText="1"/>
    </xf>
    <xf numFmtId="0" fontId="0" fillId="0" borderId="135" xfId="0" applyBorder="1" applyAlignment="1">
      <alignment horizontal="left" vertical="center" wrapText="1"/>
    </xf>
    <xf numFmtId="0" fontId="0" fillId="0" borderId="28" xfId="0" applyBorder="1" applyAlignment="1">
      <alignment horizontal="left" vertical="center" wrapText="1"/>
    </xf>
    <xf numFmtId="0" fontId="0" fillId="0" borderId="138" xfId="0" applyBorder="1" applyAlignment="1">
      <alignment horizontal="left" vertical="center" wrapText="1"/>
    </xf>
    <xf numFmtId="178" fontId="0" fillId="117" borderId="102" xfId="0" applyNumberFormat="1" applyFill="1" applyBorder="1" applyAlignment="1">
      <alignment horizontal="center"/>
    </xf>
    <xf numFmtId="178" fontId="0" fillId="117" borderId="96" xfId="0" applyNumberFormat="1" applyFill="1" applyBorder="1" applyAlignment="1">
      <alignment horizontal="center"/>
    </xf>
    <xf numFmtId="178" fontId="0" fillId="117" borderId="61" xfId="0" applyNumberFormat="1" applyFill="1" applyBorder="1" applyAlignment="1">
      <alignment horizontal="center"/>
    </xf>
    <xf numFmtId="0" fontId="0" fillId="0" borderId="0" xfId="0" applyAlignment="1">
      <alignment horizontal="left" vertical="center" wrapText="1" indent="1"/>
    </xf>
    <xf numFmtId="0" fontId="0" fillId="0" borderId="95" xfId="0" applyBorder="1" applyAlignment="1">
      <alignment horizontal="left" vertical="center" wrapText="1"/>
    </xf>
    <xf numFmtId="1" fontId="9" fillId="0" borderId="195" xfId="0" applyNumberFormat="1" applyFont="1" applyBorder="1" applyAlignment="1">
      <alignment horizontal="center" vertical="center"/>
    </xf>
    <xf numFmtId="1" fontId="9" fillId="0" borderId="196" xfId="0" applyNumberFormat="1" applyFont="1" applyBorder="1" applyAlignment="1">
      <alignment horizontal="center" vertical="center"/>
    </xf>
    <xf numFmtId="1" fontId="9" fillId="0" borderId="197" xfId="0" applyNumberFormat="1" applyFont="1" applyBorder="1" applyAlignment="1">
      <alignment horizontal="center" vertical="center"/>
    </xf>
    <xf numFmtId="1" fontId="9" fillId="0" borderId="209" xfId="0" applyNumberFormat="1" applyFont="1" applyBorder="1" applyAlignment="1">
      <alignment horizontal="center" vertical="center"/>
    </xf>
    <xf numFmtId="1" fontId="9" fillId="0" borderId="210" xfId="0" applyNumberFormat="1" applyFont="1" applyBorder="1" applyAlignment="1">
      <alignment horizontal="center" vertical="center"/>
    </xf>
    <xf numFmtId="0" fontId="0" fillId="0" borderId="98" xfId="0" applyBorder="1" applyAlignment="1">
      <alignment horizontal="left" vertical="center" wrapText="1"/>
    </xf>
    <xf numFmtId="0" fontId="0" fillId="0" borderId="80" xfId="0" applyBorder="1" applyAlignment="1">
      <alignment horizontal="left" vertical="center" wrapText="1"/>
    </xf>
    <xf numFmtId="3" fontId="0" fillId="54" borderId="135" xfId="0" applyNumberFormat="1" applyFill="1" applyBorder="1" applyAlignment="1">
      <alignment horizontal="center" vertical="center" wrapText="1"/>
    </xf>
    <xf numFmtId="3" fontId="0" fillId="54" borderId="6" xfId="0" applyNumberFormat="1" applyFill="1" applyBorder="1" applyAlignment="1">
      <alignment horizontal="center" vertical="center" wrapText="1"/>
    </xf>
    <xf numFmtId="0" fontId="0" fillId="0" borderId="102" xfId="0" applyBorder="1" applyAlignment="1">
      <alignment horizontal="left" vertical="center" wrapText="1"/>
    </xf>
    <xf numFmtId="0" fontId="0" fillId="0" borderId="78" xfId="0" applyBorder="1" applyAlignment="1">
      <alignment horizontal="left" vertical="center" wrapText="1"/>
    </xf>
    <xf numFmtId="0" fontId="0" fillId="0" borderId="6" xfId="0" applyBorder="1" applyAlignment="1">
      <alignment horizontal="left" vertical="center" wrapText="1" indent="1"/>
    </xf>
    <xf numFmtId="3" fontId="0" fillId="0" borderId="166" xfId="0" applyNumberFormat="1" applyBorder="1" applyAlignment="1">
      <alignment horizontal="center" vertical="center" wrapText="1"/>
    </xf>
    <xf numFmtId="3" fontId="0" fillId="0" borderId="165" xfId="0" applyNumberFormat="1" applyBorder="1" applyAlignment="1">
      <alignment horizontal="center" vertical="center" wrapText="1"/>
    </xf>
    <xf numFmtId="0" fontId="0" fillId="0" borderId="6" xfId="0" applyBorder="1" applyAlignment="1">
      <alignment horizontal="left" vertical="center" wrapText="1"/>
    </xf>
    <xf numFmtId="0" fontId="0" fillId="0" borderId="6" xfId="0" applyBorder="1" applyAlignment="1">
      <alignment vertical="center" wrapText="1"/>
    </xf>
    <xf numFmtId="0" fontId="0" fillId="0" borderId="0" xfId="0" applyAlignment="1">
      <alignment horizontal="left" vertical="center" wrapText="1"/>
    </xf>
    <xf numFmtId="0" fontId="0" fillId="0" borderId="97" xfId="0" applyBorder="1" applyAlignment="1">
      <alignment horizontal="left" vertical="center" wrapText="1"/>
    </xf>
    <xf numFmtId="0" fontId="0" fillId="0" borderId="28" xfId="0" applyBorder="1" applyAlignment="1">
      <alignment horizontal="center" vertical="center" wrapText="1"/>
    </xf>
    <xf numFmtId="0" fontId="0" fillId="0" borderId="138" xfId="0" applyBorder="1" applyAlignment="1">
      <alignment horizontal="center" vertical="center" wrapText="1"/>
    </xf>
    <xf numFmtId="0" fontId="0" fillId="0" borderId="162" xfId="0" applyBorder="1" applyAlignment="1">
      <alignment horizontal="left" vertical="center" wrapText="1" indent="1"/>
    </xf>
    <xf numFmtId="0" fontId="0" fillId="0" borderId="163" xfId="0" applyBorder="1" applyAlignment="1">
      <alignment horizontal="left" vertical="center" wrapText="1" indent="1"/>
    </xf>
    <xf numFmtId="0" fontId="0" fillId="0" borderId="0" xfId="0" applyAlignment="1">
      <alignment horizontal="center" wrapText="1"/>
    </xf>
    <xf numFmtId="0" fontId="0" fillId="0" borderId="160" xfId="0" applyBorder="1" applyAlignment="1">
      <alignment horizontal="center" vertical="center" wrapText="1"/>
    </xf>
    <xf numFmtId="0" fontId="0" fillId="0" borderId="161" xfId="0" applyBorder="1" applyAlignment="1">
      <alignment horizontal="center" vertical="center" wrapText="1"/>
    </xf>
    <xf numFmtId="0" fontId="11" fillId="36" borderId="6" xfId="75" applyFont="1" applyFill="1" applyBorder="1" applyAlignment="1">
      <alignment horizontal="left" vertical="top" wrapText="1"/>
    </xf>
    <xf numFmtId="0" fontId="0" fillId="0" borderId="6" xfId="0" applyBorder="1" applyAlignment="1">
      <alignment horizontal="left" vertical="top" wrapText="1"/>
    </xf>
    <xf numFmtId="0" fontId="34" fillId="0" borderId="6" xfId="75" applyFont="1" applyBorder="1" applyAlignment="1">
      <alignment horizontal="center" vertical="center" wrapText="1"/>
    </xf>
    <xf numFmtId="0" fontId="0" fillId="0" borderId="6" xfId="0" applyBorder="1" applyAlignment="1">
      <alignment wrapText="1"/>
    </xf>
    <xf numFmtId="0" fontId="0" fillId="3" borderId="166" xfId="0" applyFill="1" applyBorder="1" applyAlignment="1" applyProtection="1">
      <alignment horizontal="left" vertical="top" wrapText="1"/>
      <protection locked="0"/>
    </xf>
    <xf numFmtId="0" fontId="0" fillId="3" borderId="130" xfId="0" applyFill="1" applyBorder="1" applyAlignment="1" applyProtection="1">
      <alignment wrapText="1"/>
      <protection locked="0"/>
    </xf>
    <xf numFmtId="0" fontId="0" fillId="0" borderId="0" xfId="0" applyAlignment="1" applyProtection="1">
      <alignment horizontal="center"/>
      <protection locked="0"/>
    </xf>
    <xf numFmtId="0" fontId="0" fillId="3" borderId="167" xfId="0" applyFill="1" applyBorder="1" applyAlignment="1" applyProtection="1">
      <alignment wrapText="1"/>
      <protection locked="0"/>
    </xf>
    <xf numFmtId="0" fontId="0" fillId="3" borderId="0" xfId="0" applyFill="1" applyAlignment="1" applyProtection="1">
      <alignment horizontal="left" vertical="top" indent="1"/>
      <protection locked="0"/>
    </xf>
    <xf numFmtId="0" fontId="8" fillId="42" borderId="135" xfId="78" applyFont="1" applyFill="1" applyBorder="1" applyAlignment="1" applyProtection="1">
      <alignment horizontal="center" vertical="center"/>
      <protection locked="0"/>
    </xf>
    <xf numFmtId="0" fontId="8" fillId="42" borderId="28" xfId="78" applyFont="1" applyFill="1" applyBorder="1" applyAlignment="1" applyProtection="1">
      <alignment horizontal="center" vertical="center"/>
      <protection locked="0"/>
    </xf>
    <xf numFmtId="0" fontId="8" fillId="42" borderId="138" xfId="78" applyFont="1" applyFill="1" applyBorder="1" applyAlignment="1" applyProtection="1">
      <alignment horizontal="center" vertical="center"/>
      <protection locked="0"/>
    </xf>
    <xf numFmtId="0" fontId="8" fillId="0" borderId="135" xfId="78" applyFont="1" applyBorder="1" applyAlignment="1" applyProtection="1">
      <alignment horizontal="center" vertical="center"/>
      <protection locked="0"/>
    </xf>
    <xf numFmtId="0" fontId="8" fillId="0" borderId="28" xfId="78" applyFont="1" applyBorder="1" applyAlignment="1" applyProtection="1">
      <alignment horizontal="center" vertical="center"/>
      <protection locked="0"/>
    </xf>
    <xf numFmtId="0" fontId="8" fillId="0" borderId="130" xfId="78" applyFont="1" applyBorder="1" applyAlignment="1" applyProtection="1">
      <alignment horizontal="center" vertical="center"/>
      <protection locked="0"/>
    </xf>
    <xf numFmtId="0" fontId="8" fillId="0" borderId="138" xfId="78" applyFont="1" applyBorder="1" applyAlignment="1" applyProtection="1">
      <alignment horizontal="center" vertical="center"/>
      <protection locked="0"/>
    </xf>
    <xf numFmtId="0" fontId="11" fillId="0" borderId="0" xfId="85" applyFont="1" applyAlignment="1">
      <alignment horizontal="left" vertical="center" wrapText="1"/>
    </xf>
    <xf numFmtId="0" fontId="12" fillId="0" borderId="0" xfId="85" applyFont="1" applyAlignment="1">
      <alignment horizontal="left" vertical="center" wrapText="1"/>
    </xf>
    <xf numFmtId="173" fontId="11" fillId="3" borderId="100" xfId="0" applyNumberFormat="1" applyFont="1" applyFill="1" applyBorder="1" applyAlignment="1" applyProtection="1">
      <alignment horizontal="left" vertical="center" indent="1"/>
      <protection locked="0"/>
    </xf>
    <xf numFmtId="173" fontId="11" fillId="3" borderId="101" xfId="0" applyNumberFormat="1" applyFont="1" applyFill="1" applyBorder="1" applyAlignment="1" applyProtection="1">
      <alignment horizontal="left" vertical="center" indent="1"/>
      <protection locked="0"/>
    </xf>
    <xf numFmtId="173" fontId="11" fillId="3" borderId="95" xfId="0" applyNumberFormat="1" applyFont="1" applyFill="1" applyBorder="1" applyAlignment="1" applyProtection="1">
      <alignment horizontal="left" vertical="center" indent="1"/>
      <protection locked="0"/>
    </xf>
    <xf numFmtId="173" fontId="11" fillId="3" borderId="62" xfId="0" applyNumberFormat="1" applyFont="1" applyFill="1" applyBorder="1" applyAlignment="1" applyProtection="1">
      <alignment horizontal="left" vertical="center" indent="1"/>
      <protection locked="0"/>
    </xf>
    <xf numFmtId="173" fontId="11" fillId="3" borderId="63" xfId="0" applyNumberFormat="1" applyFont="1" applyFill="1" applyBorder="1" applyAlignment="1" applyProtection="1">
      <alignment horizontal="left" vertical="center" indent="1"/>
      <protection locked="0"/>
    </xf>
    <xf numFmtId="173" fontId="11" fillId="3" borderId="64" xfId="0" applyNumberFormat="1" applyFont="1" applyFill="1" applyBorder="1" applyAlignment="1" applyProtection="1">
      <alignment horizontal="left" vertical="center" indent="1"/>
      <protection locked="0"/>
    </xf>
    <xf numFmtId="173" fontId="11" fillId="3" borderId="65" xfId="0" applyNumberFormat="1" applyFont="1" applyFill="1" applyBorder="1" applyAlignment="1" applyProtection="1">
      <alignment horizontal="left" vertical="center" indent="1"/>
      <protection locked="0"/>
    </xf>
    <xf numFmtId="173" fontId="11" fillId="3" borderId="66" xfId="0" applyNumberFormat="1" applyFont="1" applyFill="1" applyBorder="1" applyAlignment="1" applyProtection="1">
      <alignment horizontal="left" vertical="center" indent="1"/>
      <protection locked="0"/>
    </xf>
    <xf numFmtId="173" fontId="11" fillId="3" borderId="67" xfId="0" applyNumberFormat="1" applyFont="1" applyFill="1" applyBorder="1" applyAlignment="1" applyProtection="1">
      <alignment horizontal="left" vertical="center" indent="1"/>
      <protection locked="0"/>
    </xf>
    <xf numFmtId="0" fontId="11" fillId="3" borderId="59" xfId="85" applyFont="1" applyFill="1" applyBorder="1" applyAlignment="1" applyProtection="1">
      <alignment horizontal="left" vertical="top" wrapText="1" indent="1"/>
      <protection locked="0"/>
    </xf>
    <xf numFmtId="0" fontId="11" fillId="3" borderId="60" xfId="85" applyFont="1" applyFill="1" applyBorder="1" applyAlignment="1" applyProtection="1">
      <alignment horizontal="left" vertical="top" wrapText="1" indent="1"/>
      <protection locked="0"/>
    </xf>
    <xf numFmtId="0" fontId="11" fillId="3" borderId="61" xfId="85" applyFont="1" applyFill="1" applyBorder="1" applyAlignment="1" applyProtection="1">
      <alignment horizontal="left" vertical="top" wrapText="1" indent="1"/>
      <protection locked="0"/>
    </xf>
    <xf numFmtId="0" fontId="8" fillId="42" borderId="135" xfId="78" applyFont="1" applyFill="1" applyBorder="1" applyAlignment="1">
      <alignment horizontal="center" vertical="center"/>
    </xf>
    <xf numFmtId="0" fontId="8" fillId="42" borderId="28" xfId="78" applyFont="1" applyFill="1" applyBorder="1" applyAlignment="1">
      <alignment horizontal="center" vertical="center"/>
    </xf>
    <xf numFmtId="0" fontId="8" fillId="42" borderId="138" xfId="78" applyFont="1" applyFill="1" applyBorder="1" applyAlignment="1">
      <alignment horizontal="center" vertical="center"/>
    </xf>
    <xf numFmtId="0" fontId="8" fillId="0" borderId="135" xfId="78" applyFont="1" applyBorder="1" applyAlignment="1">
      <alignment horizontal="center" vertical="center"/>
    </xf>
    <xf numFmtId="0" fontId="8" fillId="0" borderId="28" xfId="78" applyFont="1" applyBorder="1" applyAlignment="1">
      <alignment horizontal="center" vertical="center"/>
    </xf>
    <xf numFmtId="0" fontId="8" fillId="0" borderId="138" xfId="78" applyFont="1" applyBorder="1" applyAlignment="1">
      <alignment horizontal="center" vertical="center"/>
    </xf>
    <xf numFmtId="0" fontId="0" fillId="134" borderId="135" xfId="0" applyFill="1" applyBorder="1" applyAlignment="1" applyProtection="1">
      <alignment horizontal="center"/>
      <protection locked="0"/>
    </xf>
    <xf numFmtId="0" fontId="0" fillId="134" borderId="28" xfId="0" applyFill="1" applyBorder="1" applyAlignment="1" applyProtection="1">
      <alignment horizontal="center"/>
      <protection locked="0"/>
    </xf>
    <xf numFmtId="0" fontId="0" fillId="134" borderId="138" xfId="0" applyFill="1" applyBorder="1" applyAlignment="1" applyProtection="1">
      <alignment horizontal="center"/>
      <protection locked="0"/>
    </xf>
    <xf numFmtId="0" fontId="248" fillId="116" borderId="0" xfId="0" applyFont="1" applyFill="1" applyAlignment="1" applyProtection="1">
      <alignment horizontal="left" vertical="top" wrapText="1"/>
      <protection locked="0"/>
    </xf>
    <xf numFmtId="0" fontId="282" fillId="135" borderId="165" xfId="51694" applyFont="1" applyFill="1" applyBorder="1" applyAlignment="1" applyProtection="1">
      <alignment horizontal="center" vertical="center" wrapText="1"/>
      <protection locked="0"/>
    </xf>
    <xf numFmtId="0" fontId="282" fillId="135" borderId="120" xfId="51694" applyFont="1" applyFill="1" applyBorder="1" applyAlignment="1" applyProtection="1">
      <alignment horizontal="center" vertical="center" wrapText="1"/>
      <protection locked="0"/>
    </xf>
    <xf numFmtId="0" fontId="3" fillId="0" borderId="135" xfId="51694" applyBorder="1" applyAlignment="1" applyProtection="1">
      <alignment horizontal="left"/>
      <protection locked="0"/>
    </xf>
    <xf numFmtId="0" fontId="3" fillId="0" borderId="138" xfId="51694" applyBorder="1" applyAlignment="1" applyProtection="1">
      <alignment horizontal="left"/>
      <protection locked="0"/>
    </xf>
    <xf numFmtId="0" fontId="285" fillId="0" borderId="180"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48" fillId="116" borderId="142" xfId="0" applyFont="1" applyFill="1" applyBorder="1" applyAlignment="1" applyProtection="1">
      <alignment horizontal="left" vertical="top" wrapText="1"/>
      <protection locked="0"/>
    </xf>
    <xf numFmtId="0" fontId="282" fillId="135" borderId="130" xfId="51694" applyFont="1" applyFill="1" applyBorder="1" applyAlignment="1" applyProtection="1">
      <alignment horizontal="center" vertical="center" wrapText="1"/>
      <protection locked="0"/>
    </xf>
    <xf numFmtId="0" fontId="282" fillId="135" borderId="167" xfId="51694" applyFont="1" applyFill="1" applyBorder="1" applyAlignment="1" applyProtection="1">
      <alignment horizontal="center" vertical="center" wrapText="1"/>
      <protection locked="0"/>
    </xf>
    <xf numFmtId="0" fontId="282" fillId="135" borderId="142" xfId="51694" applyFont="1" applyFill="1" applyBorder="1" applyAlignment="1" applyProtection="1">
      <alignment horizontal="center" vertical="center" wrapText="1"/>
      <protection locked="0"/>
    </xf>
    <xf numFmtId="0" fontId="282" fillId="135" borderId="90" xfId="51694" applyFont="1" applyFill="1" applyBorder="1" applyAlignment="1" applyProtection="1">
      <alignment horizontal="center" vertical="center" wrapText="1"/>
      <protection locked="0"/>
    </xf>
    <xf numFmtId="0" fontId="284" fillId="135" borderId="165" xfId="51694" applyFont="1" applyFill="1" applyBorder="1" applyAlignment="1" applyProtection="1">
      <alignment horizontal="center" vertical="center" wrapText="1"/>
      <protection locked="0"/>
    </xf>
    <xf numFmtId="0" fontId="284" fillId="135" borderId="120" xfId="51694" applyFont="1" applyFill="1" applyBorder="1" applyAlignment="1" applyProtection="1">
      <alignment horizontal="center" vertical="center" wrapText="1"/>
      <protection locked="0"/>
    </xf>
    <xf numFmtId="178" fontId="283" fillId="0" borderId="6" xfId="51694" applyNumberFormat="1" applyFont="1" applyBorder="1" applyAlignment="1" applyProtection="1">
      <alignment horizontal="left"/>
      <protection locked="0"/>
    </xf>
    <xf numFmtId="0" fontId="284" fillId="0" borderId="180"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0" fontId="282" fillId="52" borderId="135" xfId="51694" applyFont="1" applyFill="1" applyBorder="1" applyAlignment="1" applyProtection="1">
      <alignment horizontal="left" vertical="center"/>
      <protection locked="0"/>
    </xf>
    <xf numFmtId="0" fontId="282" fillId="52" borderId="138" xfId="51694" applyFont="1" applyFill="1" applyBorder="1" applyAlignment="1" applyProtection="1">
      <alignment horizontal="left" vertical="center"/>
      <protection locked="0"/>
    </xf>
    <xf numFmtId="0" fontId="0" fillId="53" borderId="165" xfId="0" applyFill="1" applyBorder="1" applyAlignment="1" applyProtection="1">
      <alignment horizontal="center" vertical="top" wrapText="1"/>
      <protection locked="0"/>
    </xf>
    <xf numFmtId="0" fontId="0" fillId="53" borderId="179" xfId="0" applyFill="1" applyBorder="1" applyAlignment="1" applyProtection="1">
      <alignment horizontal="center" vertical="top" wrapText="1"/>
      <protection locked="0"/>
    </xf>
    <xf numFmtId="0" fontId="0" fillId="53" borderId="120" xfId="0" applyFill="1" applyBorder="1" applyAlignment="1" applyProtection="1">
      <alignment horizontal="center" vertical="top" wrapText="1"/>
      <protection locked="0"/>
    </xf>
  </cellXfs>
  <cellStyles count="51707">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8"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7" xr:uid="{00000000-0005-0000-0000-000017010000}"/>
    <cellStyle name="% 114 2" xfId="51700" xr:uid="{D786B4B1-8F65-4895-A4D3-20C3D9AB1336}"/>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51" xr:uid="{00000000-0005-0000-0000-000034010000}"/>
    <cellStyle name="% 2 2 3" xfId="404" xr:uid="{00000000-0005-0000-0000-000035010000}"/>
    <cellStyle name="% 2 2 3 2" xfId="405" xr:uid="{00000000-0005-0000-0000-000036010000}"/>
    <cellStyle name="% 2 2 4" xfId="48250"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9"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52"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4" xr:uid="{00000000-0005-0000-0000-000040020000}"/>
    <cellStyle name="% 4 3" xfId="668" xr:uid="{00000000-0005-0000-0000-000041020000}"/>
    <cellStyle name="% 4 3 2" xfId="48255" xr:uid="{00000000-0005-0000-0000-000042020000}"/>
    <cellStyle name="% 4 4" xfId="669" xr:uid="{00000000-0005-0000-0000-000043020000}"/>
    <cellStyle name="% 4 4 2" xfId="48256" xr:uid="{00000000-0005-0000-0000-000044020000}"/>
    <cellStyle name="% 4 5" xfId="670" xr:uid="{00000000-0005-0000-0000-000045020000}"/>
    <cellStyle name="% 4 5 2" xfId="48257" xr:uid="{00000000-0005-0000-0000-000046020000}"/>
    <cellStyle name="% 4 6" xfId="671" xr:uid="{00000000-0005-0000-0000-000047020000}"/>
    <cellStyle name="% 4 6 2" xfId="48258" xr:uid="{00000000-0005-0000-0000-000048020000}"/>
    <cellStyle name="% 4 7" xfId="672" xr:uid="{00000000-0005-0000-0000-000049020000}"/>
    <cellStyle name="% 4 7 2" xfId="48259" xr:uid="{00000000-0005-0000-0000-00004A020000}"/>
    <cellStyle name="% 4 8" xfId="673" xr:uid="{00000000-0005-0000-0000-00004B020000}"/>
    <cellStyle name="% 4 8 2" xfId="48260" xr:uid="{00000000-0005-0000-0000-00004C020000}"/>
    <cellStyle name="% 4 9" xfId="48253"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62" xr:uid="{00000000-0005-0000-0000-0000CA020000}"/>
    <cellStyle name="%_3.3 Tax 3" xfId="798" xr:uid="{00000000-0005-0000-0000-0000CB020000}"/>
    <cellStyle name="%_3.3 Tax 4" xfId="48261"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3"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4"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5"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6"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7"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8"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9"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70" xr:uid="{00000000-0005-0000-0000-000056030000}"/>
    <cellStyle name="_0708 GSO Capex RRP (detail)" xfId="927" xr:uid="{00000000-0005-0000-0000-000057030000}"/>
    <cellStyle name="_0708 GSO Capex RRP (detail) 2" xfId="48272" xr:uid="{00000000-0005-0000-0000-000058030000}"/>
    <cellStyle name="_0708 GSO Capex RRP (detail) 2 2" xfId="48273" xr:uid="{00000000-0005-0000-0000-000059030000}"/>
    <cellStyle name="_0708 GSO Capex RRP (detail) 2 3" xfId="48274" xr:uid="{00000000-0005-0000-0000-00005A030000}"/>
    <cellStyle name="_0708 GSO Capex RRP (detail) 2 4" xfId="48275" xr:uid="{00000000-0005-0000-0000-00005B030000}"/>
    <cellStyle name="_0708 GSO Capex RRP (detail) 2 5" xfId="48276" xr:uid="{00000000-0005-0000-0000-00005C030000}"/>
    <cellStyle name="_0708 GSO Capex RRP (detail) 2 6" xfId="48277" xr:uid="{00000000-0005-0000-0000-00005D030000}"/>
    <cellStyle name="_0708 GSO Capex RRP (detail) 2 7" xfId="48278" xr:uid="{00000000-0005-0000-0000-00005E030000}"/>
    <cellStyle name="_0708 GSO Capex RRP (detail) 2 8" xfId="48279" xr:uid="{00000000-0005-0000-0000-00005F030000}"/>
    <cellStyle name="_0708 GSO Capex RRP (detail) 3" xfId="48271" xr:uid="{00000000-0005-0000-0000-000060030000}"/>
    <cellStyle name="_0708 GSO Capex RRP (detail)_Opex Input" xfId="48280"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81"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3" xr:uid="{00000000-0005-0000-0000-00009F030000}"/>
    <cellStyle name="_Book4 2 2" xfId="48284" xr:uid="{00000000-0005-0000-0000-0000A0030000}"/>
    <cellStyle name="_Book4 2 3" xfId="48285" xr:uid="{00000000-0005-0000-0000-0000A1030000}"/>
    <cellStyle name="_Book4 2 4" xfId="48286" xr:uid="{00000000-0005-0000-0000-0000A2030000}"/>
    <cellStyle name="_Book4 2 5" xfId="48287" xr:uid="{00000000-0005-0000-0000-0000A3030000}"/>
    <cellStyle name="_Book4 2 6" xfId="48288" xr:uid="{00000000-0005-0000-0000-0000A4030000}"/>
    <cellStyle name="_Book4 2 7" xfId="48289" xr:uid="{00000000-0005-0000-0000-0000A5030000}"/>
    <cellStyle name="_Book4 2 8" xfId="48290" xr:uid="{00000000-0005-0000-0000-0000A6030000}"/>
    <cellStyle name="_Book4 3" xfId="48282"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91" xr:uid="{00000000-0005-0000-0000-0000B2030000}"/>
    <cellStyle name="_BP10+post TIC 1 Jun" xfId="998" xr:uid="{00000000-0005-0000-0000-0000B3030000}"/>
    <cellStyle name="_BP10+post TIC 1 Jun 2" xfId="48293" xr:uid="{00000000-0005-0000-0000-0000B4030000}"/>
    <cellStyle name="_BP10+post TIC 1 Jun 2 2" xfId="48294" xr:uid="{00000000-0005-0000-0000-0000B5030000}"/>
    <cellStyle name="_BP10+post TIC 1 Jun 2 3" xfId="48295" xr:uid="{00000000-0005-0000-0000-0000B6030000}"/>
    <cellStyle name="_BP10+post TIC 1 Jun 2 4" xfId="48296" xr:uid="{00000000-0005-0000-0000-0000B7030000}"/>
    <cellStyle name="_BP10+post TIC 1 Jun 2 5" xfId="48297" xr:uid="{00000000-0005-0000-0000-0000B8030000}"/>
    <cellStyle name="_BP10+post TIC 1 Jun 2 6" xfId="48298" xr:uid="{00000000-0005-0000-0000-0000B9030000}"/>
    <cellStyle name="_BP10+post TIC 1 Jun 2 7" xfId="48299" xr:uid="{00000000-0005-0000-0000-0000BA030000}"/>
    <cellStyle name="_BP10+post TIC 1 Jun 2 8" xfId="48300" xr:uid="{00000000-0005-0000-0000-0000BB030000}"/>
    <cellStyle name="_BP10+post TIC 1 Jun 3" xfId="48292"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301" xr:uid="{00000000-0005-0000-0000-0000CB030000}"/>
    <cellStyle name="_Capital Plan - IS UK_0910 GSO Capex RRP - Final (Detail) v2 220710" xfId="1013" xr:uid="{00000000-0005-0000-0000-0000CC030000}"/>
    <cellStyle name="_Capital Plan - IS UK_0910 GSO Capex RRP - Final (Detail) v2 220710 2" xfId="48303" xr:uid="{00000000-0005-0000-0000-0000CD030000}"/>
    <cellStyle name="_Capital Plan - IS UK_0910 GSO Capex RRP - Final (Detail) v2 220710 2 2" xfId="48304" xr:uid="{00000000-0005-0000-0000-0000CE030000}"/>
    <cellStyle name="_Capital Plan - IS UK_0910 GSO Capex RRP - Final (Detail) v2 220710 2 3" xfId="48305" xr:uid="{00000000-0005-0000-0000-0000CF030000}"/>
    <cellStyle name="_Capital Plan - IS UK_0910 GSO Capex RRP - Final (Detail) v2 220710 2 4" xfId="48306" xr:uid="{00000000-0005-0000-0000-0000D0030000}"/>
    <cellStyle name="_Capital Plan - IS UK_0910 GSO Capex RRP - Final (Detail) v2 220710 2 5" xfId="48307" xr:uid="{00000000-0005-0000-0000-0000D1030000}"/>
    <cellStyle name="_Capital Plan - IS UK_0910 GSO Capex RRP - Final (Detail) v2 220710 2 6" xfId="48308" xr:uid="{00000000-0005-0000-0000-0000D2030000}"/>
    <cellStyle name="_Capital Plan - IS UK_0910 GSO Capex RRP - Final (Detail) v2 220710 2 7" xfId="48309" xr:uid="{00000000-0005-0000-0000-0000D3030000}"/>
    <cellStyle name="_Capital Plan - IS UK_0910 GSO Capex RRP - Final (Detail) v2 220710 2 8" xfId="48310" xr:uid="{00000000-0005-0000-0000-0000D4030000}"/>
    <cellStyle name="_Capital Plan - IS UK_0910 GSO Capex RRP - Final (Detail) v2 220710 3" xfId="48302" xr:uid="{00000000-0005-0000-0000-0000D5030000}"/>
    <cellStyle name="_Capital Plan - IS UK_0910 GSO Capex RRP - Final (Detail) v2 220710_Opex Input" xfId="48311"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3" xr:uid="{00000000-0005-0000-0000-000010040000}"/>
    <cellStyle name="_Gas TO major Projects Forecast Jun-10 2 2" xfId="48314" xr:uid="{00000000-0005-0000-0000-000011040000}"/>
    <cellStyle name="_Gas TO major Projects Forecast Jun-10 2 3" xfId="48315" xr:uid="{00000000-0005-0000-0000-000012040000}"/>
    <cellStyle name="_Gas TO major Projects Forecast Jun-10 2 4" xfId="48316" xr:uid="{00000000-0005-0000-0000-000013040000}"/>
    <cellStyle name="_Gas TO major Projects Forecast Jun-10 2 5" xfId="48317" xr:uid="{00000000-0005-0000-0000-000014040000}"/>
    <cellStyle name="_Gas TO major Projects Forecast Jun-10 2 6" xfId="48318" xr:uid="{00000000-0005-0000-0000-000015040000}"/>
    <cellStyle name="_Gas TO major Projects Forecast Jun-10 2 7" xfId="48319" xr:uid="{00000000-0005-0000-0000-000016040000}"/>
    <cellStyle name="_Gas TO major Projects Forecast Jun-10 2 8" xfId="48320" xr:uid="{00000000-0005-0000-0000-000017040000}"/>
    <cellStyle name="_Gas TO major Projects Forecast Jun-10 3" xfId="48312" xr:uid="{00000000-0005-0000-0000-000018040000}"/>
    <cellStyle name="_Gas TO major Projects Forecast May-10 BP10+ v5" xfId="1071" xr:uid="{00000000-0005-0000-0000-000019040000}"/>
    <cellStyle name="_Gas TO major Projects Forecast May-10 BP10+ v5 2" xfId="48322" xr:uid="{00000000-0005-0000-0000-00001A040000}"/>
    <cellStyle name="_Gas TO major Projects Forecast May-10 BP10+ v5 2 2" xfId="48323" xr:uid="{00000000-0005-0000-0000-00001B040000}"/>
    <cellStyle name="_Gas TO major Projects Forecast May-10 BP10+ v5 2 3" xfId="48324" xr:uid="{00000000-0005-0000-0000-00001C040000}"/>
    <cellStyle name="_Gas TO major Projects Forecast May-10 BP10+ v5 2 4" xfId="48325" xr:uid="{00000000-0005-0000-0000-00001D040000}"/>
    <cellStyle name="_Gas TO major Projects Forecast May-10 BP10+ v5 2 5" xfId="48326" xr:uid="{00000000-0005-0000-0000-00001E040000}"/>
    <cellStyle name="_Gas TO major Projects Forecast May-10 BP10+ v5 2 6" xfId="48327" xr:uid="{00000000-0005-0000-0000-00001F040000}"/>
    <cellStyle name="_Gas TO major Projects Forecast May-10 BP10+ v5 2 7" xfId="48328" xr:uid="{00000000-0005-0000-0000-000020040000}"/>
    <cellStyle name="_Gas TO major Projects Forecast May-10 BP10+ v5 2 8" xfId="48329" xr:uid="{00000000-0005-0000-0000-000021040000}"/>
    <cellStyle name="_Gas TO major Projects Forecast May-10 BP10+ v5 3" xfId="48321"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30"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31"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32" xr:uid="{00000000-0005-0000-0000-0000C5040000}"/>
    <cellStyle name="=C:\WINNT\SYSTEM32\COMMAND.COM 12" xfId="1232" xr:uid="{00000000-0005-0000-0000-0000C6040000}"/>
    <cellStyle name="=C:\WINNT\SYSTEM32\COMMAND.COM 12 2" xfId="1233" xr:uid="{00000000-0005-0000-0000-0000C7040000}"/>
    <cellStyle name="=C:\WINNT\SYSTEM32\COMMAND.COM 12 3" xfId="48333" xr:uid="{00000000-0005-0000-0000-0000C8040000}"/>
    <cellStyle name="=C:\WINNT\SYSTEM32\COMMAND.COM 13" xfId="1234" xr:uid="{00000000-0005-0000-0000-0000C9040000}"/>
    <cellStyle name="=C:\WINNT\SYSTEM32\COMMAND.COM 13 2" xfId="48334" xr:uid="{00000000-0005-0000-0000-0000CA040000}"/>
    <cellStyle name="=C:\WINNT\SYSTEM32\COMMAND.COM 14" xfId="1235" xr:uid="{00000000-0005-0000-0000-0000CB040000}"/>
    <cellStyle name="=C:\WINNT\SYSTEM32\COMMAND.COM 14 2" xfId="48335" xr:uid="{00000000-0005-0000-0000-0000CC040000}"/>
    <cellStyle name="=C:\WINNT\SYSTEM32\COMMAND.COM 15" xfId="1236" xr:uid="{00000000-0005-0000-0000-0000CD040000}"/>
    <cellStyle name="=C:\WINNT\SYSTEM32\COMMAND.COM 15 2" xfId="48336" xr:uid="{00000000-0005-0000-0000-0000CE040000}"/>
    <cellStyle name="=C:\WINNT\SYSTEM32\COMMAND.COM 16" xfId="1237" xr:uid="{00000000-0005-0000-0000-0000CF040000}"/>
    <cellStyle name="=C:\WINNT\SYSTEM32\COMMAND.COM 16 2" xfId="48337" xr:uid="{00000000-0005-0000-0000-0000D0040000}"/>
    <cellStyle name="=C:\WINNT\SYSTEM32\COMMAND.COM 17" xfId="1238" xr:uid="{00000000-0005-0000-0000-0000D1040000}"/>
    <cellStyle name="=C:\WINNT\SYSTEM32\COMMAND.COM 17 2" xfId="48338" xr:uid="{00000000-0005-0000-0000-0000D2040000}"/>
    <cellStyle name="=C:\WINNT\SYSTEM32\COMMAND.COM 18" xfId="1239" xr:uid="{00000000-0005-0000-0000-0000D3040000}"/>
    <cellStyle name="=C:\WINNT\SYSTEM32\COMMAND.COM 18 2" xfId="48339" xr:uid="{00000000-0005-0000-0000-0000D4040000}"/>
    <cellStyle name="=C:\WINNT\SYSTEM32\COMMAND.COM 19" xfId="1240" xr:uid="{00000000-0005-0000-0000-0000D5040000}"/>
    <cellStyle name="=C:\WINNT\SYSTEM32\COMMAND.COM 19 2" xfId="48340" xr:uid="{00000000-0005-0000-0000-0000D6040000}"/>
    <cellStyle name="=C:\WINNT\SYSTEM32\COMMAND.COM 2" xfId="1241" xr:uid="{00000000-0005-0000-0000-0000D7040000}"/>
    <cellStyle name="=C:\WINNT\SYSTEM32\COMMAND.COM 2 10" xfId="49402"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3" xr:uid="{00000000-0005-0000-0000-0000E6040000}"/>
    <cellStyle name="=C:\WINNT\SYSTEM32\COMMAND.COM 2 2 2 3" xfId="48344" xr:uid="{00000000-0005-0000-0000-0000E7040000}"/>
    <cellStyle name="=C:\WINNT\SYSTEM32\COMMAND.COM 2 2 2 4" xfId="48342"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5"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41"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6" xr:uid="{00000000-0005-0000-0000-000012050000}"/>
    <cellStyle name="=C:\WINNT\SYSTEM32\COMMAND.COM 2 4" xfId="1292" xr:uid="{00000000-0005-0000-0000-000013050000}"/>
    <cellStyle name="=C:\WINNT\SYSTEM32\COMMAND.COM 2 4 2" xfId="49384" xr:uid="{00000000-0005-0000-0000-000014050000}"/>
    <cellStyle name="=C:\WINNT\SYSTEM32\COMMAND.COM 2 5" xfId="1293" xr:uid="{00000000-0005-0000-0000-000015050000}"/>
    <cellStyle name="=C:\WINNT\SYSTEM32\COMMAND.COM 2 5 2" xfId="49399" xr:uid="{00000000-0005-0000-0000-000016050000}"/>
    <cellStyle name="=C:\WINNT\SYSTEM32\COMMAND.COM 2 6" xfId="1294" xr:uid="{00000000-0005-0000-0000-000017050000}"/>
    <cellStyle name="=C:\WINNT\SYSTEM32\COMMAND.COM 2 6 2" xfId="49385" xr:uid="{00000000-0005-0000-0000-000018050000}"/>
    <cellStyle name="=C:\WINNT\SYSTEM32\COMMAND.COM 2 7" xfId="1295" xr:uid="{00000000-0005-0000-0000-000019050000}"/>
    <cellStyle name="=C:\WINNT\SYSTEM32\COMMAND.COM 2 7 2" xfId="49388" xr:uid="{00000000-0005-0000-0000-00001A050000}"/>
    <cellStyle name="=C:\WINNT\SYSTEM32\COMMAND.COM 2 8" xfId="1296" xr:uid="{00000000-0005-0000-0000-00001B050000}"/>
    <cellStyle name="=C:\WINNT\SYSTEM32\COMMAND.COM 2 8 2" xfId="49386" xr:uid="{00000000-0005-0000-0000-00001C050000}"/>
    <cellStyle name="=C:\WINNT\SYSTEM32\COMMAND.COM 2 9" xfId="1297" xr:uid="{00000000-0005-0000-0000-00001D050000}"/>
    <cellStyle name="=C:\WINNT\SYSTEM32\COMMAND.COM 2 9 2" xfId="49387" xr:uid="{00000000-0005-0000-0000-00001E050000}"/>
    <cellStyle name="=C:\WINNT\SYSTEM32\COMMAND.COM 2_Opex Input" xfId="48347" xr:uid="{00000000-0005-0000-0000-00001F050000}"/>
    <cellStyle name="=C:\WINNT\SYSTEM32\COMMAND.COM 20" xfId="1298" xr:uid="{00000000-0005-0000-0000-000020050000}"/>
    <cellStyle name="=C:\WINNT\SYSTEM32\COMMAND.COM 20 2" xfId="48348" xr:uid="{00000000-0005-0000-0000-000021050000}"/>
    <cellStyle name="=C:\WINNT\SYSTEM32\COMMAND.COM 21" xfId="1299" xr:uid="{00000000-0005-0000-0000-000022050000}"/>
    <cellStyle name="=C:\WINNT\SYSTEM32\COMMAND.COM 21 2" xfId="48349" xr:uid="{00000000-0005-0000-0000-000023050000}"/>
    <cellStyle name="=C:\WINNT\SYSTEM32\COMMAND.COM 22" xfId="1300" xr:uid="{00000000-0005-0000-0000-000024050000}"/>
    <cellStyle name="=C:\WINNT\SYSTEM32\COMMAND.COM 22 2" xfId="48350" xr:uid="{00000000-0005-0000-0000-000025050000}"/>
    <cellStyle name="=C:\WINNT\SYSTEM32\COMMAND.COM 23" xfId="1301" xr:uid="{00000000-0005-0000-0000-000026050000}"/>
    <cellStyle name="=C:\WINNT\SYSTEM32\COMMAND.COM 23 2" xfId="48352" xr:uid="{00000000-0005-0000-0000-000027050000}"/>
    <cellStyle name="=C:\WINNT\SYSTEM32\COMMAND.COM 23 3" xfId="48351" xr:uid="{00000000-0005-0000-0000-000028050000}"/>
    <cellStyle name="=C:\WINNT\SYSTEM32\COMMAND.COM 24" xfId="1302" xr:uid="{00000000-0005-0000-0000-000029050000}"/>
    <cellStyle name="=C:\WINNT\SYSTEM32\COMMAND.COM 24 2" xfId="48353" xr:uid="{00000000-0005-0000-0000-00002A050000}"/>
    <cellStyle name="=C:\WINNT\SYSTEM32\COMMAND.COM 25" xfId="1303" xr:uid="{00000000-0005-0000-0000-00002B050000}"/>
    <cellStyle name="=C:\WINNT\SYSTEM32\COMMAND.COM 25 2" xfId="48355" xr:uid="{00000000-0005-0000-0000-00002C050000}"/>
    <cellStyle name="=C:\WINNT\SYSTEM32\COMMAND.COM 25 3" xfId="48356" xr:uid="{00000000-0005-0000-0000-00002D050000}"/>
    <cellStyle name="=C:\WINNT\SYSTEM32\COMMAND.COM 25 4" xfId="48354" xr:uid="{00000000-0005-0000-0000-00002E050000}"/>
    <cellStyle name="=C:\WINNT\SYSTEM32\COMMAND.COM 26" xfId="1304" xr:uid="{00000000-0005-0000-0000-00002F050000}"/>
    <cellStyle name="=C:\WINNT\SYSTEM32\COMMAND.COM 26 2" xfId="48357" xr:uid="{00000000-0005-0000-0000-000030050000}"/>
    <cellStyle name="=C:\WINNT\SYSTEM32\COMMAND.COM 27" xfId="1305" xr:uid="{00000000-0005-0000-0000-000031050000}"/>
    <cellStyle name="=C:\WINNT\SYSTEM32\COMMAND.COM 27 2" xfId="48358" xr:uid="{00000000-0005-0000-0000-000032050000}"/>
    <cellStyle name="=C:\WINNT\SYSTEM32\COMMAND.COM 28" xfId="1306" xr:uid="{00000000-0005-0000-0000-000033050000}"/>
    <cellStyle name="=C:\WINNT\SYSTEM32\COMMAND.COM 28 2" xfId="48359" xr:uid="{00000000-0005-0000-0000-000034050000}"/>
    <cellStyle name="=C:\WINNT\SYSTEM32\COMMAND.COM 29" xfId="1307" xr:uid="{00000000-0005-0000-0000-000035050000}"/>
    <cellStyle name="=C:\WINNT\SYSTEM32\COMMAND.COM 29 2" xfId="48360"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61" xr:uid="{00000000-0005-0000-0000-000040050000}"/>
    <cellStyle name="=C:\WINNT\SYSTEM32\COMMAND.COM 31" xfId="1316" xr:uid="{00000000-0005-0000-0000-000041050000}"/>
    <cellStyle name="=C:\WINNT\SYSTEM32\COMMAND.COM 31 2" xfId="48362" xr:uid="{00000000-0005-0000-0000-000042050000}"/>
    <cellStyle name="=C:\WINNT\SYSTEM32\COMMAND.COM 32" xfId="1317" xr:uid="{00000000-0005-0000-0000-000043050000}"/>
    <cellStyle name="=C:\WINNT\SYSTEM32\COMMAND.COM 32 2" xfId="48363" xr:uid="{00000000-0005-0000-0000-000044050000}"/>
    <cellStyle name="=C:\WINNT\SYSTEM32\COMMAND.COM 33" xfId="1318" xr:uid="{00000000-0005-0000-0000-000045050000}"/>
    <cellStyle name="=C:\WINNT\SYSTEM32\COMMAND.COM 33 2" xfId="48364"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6"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7"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5"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8"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9"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70" xr:uid="{00000000-0005-0000-0000-000052060000}"/>
    <cellStyle name="=C:\WINNT\SYSTEM32\COMMAND.COM 8" xfId="1581" xr:uid="{00000000-0005-0000-0000-000053060000}"/>
    <cellStyle name="=C:\WINNT\SYSTEM32\COMMAND.COM 8 2" xfId="48371" xr:uid="{00000000-0005-0000-0000-000054060000}"/>
    <cellStyle name="=C:\WINNT\SYSTEM32\COMMAND.COM 9" xfId="1582" xr:uid="{00000000-0005-0000-0000-000055060000}"/>
    <cellStyle name="=C:\WINNT\SYSTEM32\COMMAND.COM 9 2" xfId="48372"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3"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4"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5"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6"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7"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8"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9"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80"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81"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82"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3"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4"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5"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6"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7"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8"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9"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90"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91"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92"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3"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4"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5"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6"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7"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8"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9"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400"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401"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402"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3"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4"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5"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6"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7"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8"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9"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10" xr:uid="{00000000-0005-0000-0000-0000E0080000}"/>
    <cellStyle name="Accent1 - 40%" xfId="12" xr:uid="{00000000-0005-0000-0000-0000E1080000}"/>
    <cellStyle name="Accent1 - 40% 2" xfId="2194" xr:uid="{00000000-0005-0000-0000-0000E2080000}"/>
    <cellStyle name="Accent1 - 40% 3" xfId="48411" xr:uid="{00000000-0005-0000-0000-0000E3080000}"/>
    <cellStyle name="Accent1 - 60%" xfId="13" xr:uid="{00000000-0005-0000-0000-0000E4080000}"/>
    <cellStyle name="Accent1 - 60% 2" xfId="48412"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3"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4"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5" xr:uid="{00000000-0005-0000-0000-000008090000}"/>
    <cellStyle name="Accent2 - 40%" xfId="15" xr:uid="{00000000-0005-0000-0000-000009090000}"/>
    <cellStyle name="Accent2 - 40% 2" xfId="2226" xr:uid="{00000000-0005-0000-0000-00000A090000}"/>
    <cellStyle name="Accent2 - 40% 3" xfId="48416" xr:uid="{00000000-0005-0000-0000-00000B090000}"/>
    <cellStyle name="Accent2 - 60%" xfId="16" xr:uid="{00000000-0005-0000-0000-00000C090000}"/>
    <cellStyle name="Accent2 - 60% 2" xfId="48417"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8"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9"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20" xr:uid="{00000000-0005-0000-0000-000030090000}"/>
    <cellStyle name="Accent3 - 40%" xfId="18" xr:uid="{00000000-0005-0000-0000-000031090000}"/>
    <cellStyle name="Accent3 - 40% 2" xfId="2258" xr:uid="{00000000-0005-0000-0000-000032090000}"/>
    <cellStyle name="Accent3 - 40% 3" xfId="48421" xr:uid="{00000000-0005-0000-0000-000033090000}"/>
    <cellStyle name="Accent3 - 60%" xfId="19" xr:uid="{00000000-0005-0000-0000-000034090000}"/>
    <cellStyle name="Accent3 - 60% 2" xfId="48422"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3"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4"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5" xr:uid="{00000000-0005-0000-0000-000058090000}"/>
    <cellStyle name="Accent4 - 40%" xfId="21" xr:uid="{00000000-0005-0000-0000-000059090000}"/>
    <cellStyle name="Accent4 - 40% 2" xfId="2290" xr:uid="{00000000-0005-0000-0000-00005A090000}"/>
    <cellStyle name="Accent4 - 40% 3" xfId="48426" xr:uid="{00000000-0005-0000-0000-00005B090000}"/>
    <cellStyle name="Accent4 - 60%" xfId="22" xr:uid="{00000000-0005-0000-0000-00005C090000}"/>
    <cellStyle name="Accent4 - 60% 2" xfId="48427"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8"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9"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30" xr:uid="{00000000-0005-0000-0000-000080090000}"/>
    <cellStyle name="Accent5 - 40%" xfId="24" xr:uid="{00000000-0005-0000-0000-000081090000}"/>
    <cellStyle name="Accent5 - 40% 2" xfId="2322" xr:uid="{00000000-0005-0000-0000-000082090000}"/>
    <cellStyle name="Accent5 - 40% 3" xfId="48431" xr:uid="{00000000-0005-0000-0000-000083090000}"/>
    <cellStyle name="Accent5 - 60%" xfId="25" xr:uid="{00000000-0005-0000-0000-000084090000}"/>
    <cellStyle name="Accent5 - 60% 2" xfId="48432"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3"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4"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5" xr:uid="{00000000-0005-0000-0000-0000A8090000}"/>
    <cellStyle name="Accent6 - 40%" xfId="27" xr:uid="{00000000-0005-0000-0000-0000A9090000}"/>
    <cellStyle name="Accent6 - 40% 2" xfId="2354" xr:uid="{00000000-0005-0000-0000-0000AA090000}"/>
    <cellStyle name="Accent6 - 40% 3" xfId="48436" xr:uid="{00000000-0005-0000-0000-0000AB090000}"/>
    <cellStyle name="Accent6 - 60%" xfId="28" xr:uid="{00000000-0005-0000-0000-0000AC090000}"/>
    <cellStyle name="Accent6 - 60% 2" xfId="48437"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8"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9"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40"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41"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6" xr:uid="{00000000-0005-0000-0000-00009D0A0000}"/>
    <cellStyle name="Calculation 2 2 2 3" xfId="2590" xr:uid="{00000000-0005-0000-0000-00009E0A0000}"/>
    <cellStyle name="Calculation 2 2 2 3 2" xfId="51423" xr:uid="{00000000-0005-0000-0000-00009F0A0000}"/>
    <cellStyle name="Calculation 2 2 2 4" xfId="49797"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5"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9" xr:uid="{00000000-0005-0000-0000-0000B20A0000}"/>
    <cellStyle name="Calculation 2 2 4" xfId="2607" xr:uid="{00000000-0005-0000-0000-0000B30A0000}"/>
    <cellStyle name="Calculation 2 2 4 2" xfId="51352"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92" xr:uid="{00000000-0005-0000-0000-0000D10A0000}"/>
    <cellStyle name="Calculation 2 3 2 3" xfId="2636" xr:uid="{00000000-0005-0000-0000-0000D20A0000}"/>
    <cellStyle name="Calculation 2 3 2 3 2" xfId="51602" xr:uid="{00000000-0005-0000-0000-0000D30A0000}"/>
    <cellStyle name="Calculation 2 3 2 4" xfId="49924"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9"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6" xr:uid="{00000000-0005-0000-0000-0000E60A0000}"/>
    <cellStyle name="Calculation 2 3 4" xfId="2653" xr:uid="{00000000-0005-0000-0000-0000E70A0000}"/>
    <cellStyle name="Calculation 2 3 4 2" xfId="51502"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42"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9" xr:uid="{00000000-0005-0000-0000-0000030B0000}"/>
    <cellStyle name="Calculation 2 4 2 3" xfId="2679" xr:uid="{00000000-0005-0000-0000-0000040B0000}"/>
    <cellStyle name="Calculation 2 4 2 3 2" xfId="51135" xr:uid="{00000000-0005-0000-0000-0000050B0000}"/>
    <cellStyle name="Calculation 2 4 2 4" xfId="49954"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60"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6" xr:uid="{00000000-0005-0000-0000-0000180B0000}"/>
    <cellStyle name="Calculation 2 4 4" xfId="2696" xr:uid="{00000000-0005-0000-0000-0000190B0000}"/>
    <cellStyle name="Calculation 2 4 4 2" xfId="50900"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3"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4"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32"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4"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10"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9"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4"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3" xr:uid="{00000000-0005-0000-0000-0000740B0000}"/>
    <cellStyle name="Calculation 2 9" xfId="2779" xr:uid="{00000000-0005-0000-0000-0000750B0000}"/>
    <cellStyle name="Calculation 2 9 2" xfId="2780" xr:uid="{00000000-0005-0000-0000-0000760B0000}"/>
    <cellStyle name="Calculation 2 9 3" xfId="51676" xr:uid="{00000000-0005-0000-0000-0000770B0000}"/>
    <cellStyle name="Calculation 3" xfId="2781" xr:uid="{00000000-0005-0000-0000-0000780B0000}"/>
    <cellStyle name="Calculation 3 10" xfId="48443" xr:uid="{00000000-0005-0000-0000-0000790B0000}"/>
    <cellStyle name="Calculation 3 2" xfId="2782" xr:uid="{00000000-0005-0000-0000-00007A0B0000}"/>
    <cellStyle name="Calculation 3 2 2" xfId="2783" xr:uid="{00000000-0005-0000-0000-00007B0B0000}"/>
    <cellStyle name="Calculation 3 2 2 2" xfId="50205" xr:uid="{00000000-0005-0000-0000-00007C0B0000}"/>
    <cellStyle name="Calculation 3 2 2 3" xfId="51394" xr:uid="{00000000-0005-0000-0000-00007D0B0000}"/>
    <cellStyle name="Calculation 3 2 2 4" xfId="49798" xr:uid="{00000000-0005-0000-0000-00007E0B0000}"/>
    <cellStyle name="Calculation 3 2 3" xfId="50574" xr:uid="{00000000-0005-0000-0000-00007F0B0000}"/>
    <cellStyle name="Calculation 3 2 4" xfId="51651" xr:uid="{00000000-0005-0000-0000-0000800B0000}"/>
    <cellStyle name="Calculation 3 2 5" xfId="49470" xr:uid="{00000000-0005-0000-0000-0000810B0000}"/>
    <cellStyle name="Calculation 3 3" xfId="2784" xr:uid="{00000000-0005-0000-0000-0000820B0000}"/>
    <cellStyle name="Calculation 3 3 2" xfId="2785" xr:uid="{00000000-0005-0000-0000-0000830B0000}"/>
    <cellStyle name="Calculation 3 3 2 2" xfId="50830" xr:uid="{00000000-0005-0000-0000-0000840B0000}"/>
    <cellStyle name="Calculation 3 3 2 3" xfId="51156" xr:uid="{00000000-0005-0000-0000-0000850B0000}"/>
    <cellStyle name="Calculation 3 3 2 4" xfId="49923" xr:uid="{00000000-0005-0000-0000-0000860B0000}"/>
    <cellStyle name="Calculation 3 3 3" xfId="50450" xr:uid="{00000000-0005-0000-0000-0000870B0000}"/>
    <cellStyle name="Calculation 3 3 4" xfId="51245" xr:uid="{00000000-0005-0000-0000-0000880B0000}"/>
    <cellStyle name="Calculation 3 3 5" xfId="49595" xr:uid="{00000000-0005-0000-0000-0000890B0000}"/>
    <cellStyle name="Calculation 3 4" xfId="2786" xr:uid="{00000000-0005-0000-0000-00008A0B0000}"/>
    <cellStyle name="Calculation 3 4 2" xfId="49953" xr:uid="{00000000-0005-0000-0000-00008B0B0000}"/>
    <cellStyle name="Calculation 3 4 2 2" xfId="50998" xr:uid="{00000000-0005-0000-0000-00008C0B0000}"/>
    <cellStyle name="Calculation 3 4 2 3" xfId="50936" xr:uid="{00000000-0005-0000-0000-00008D0B0000}"/>
    <cellStyle name="Calculation 3 4 3" xfId="50061" xr:uid="{00000000-0005-0000-0000-00008E0B0000}"/>
    <cellStyle name="Calculation 3 4 4" xfId="50963" xr:uid="{00000000-0005-0000-0000-00008F0B0000}"/>
    <cellStyle name="Calculation 3 4 5" xfId="49625" xr:uid="{00000000-0005-0000-0000-0000900B0000}"/>
    <cellStyle name="Calculation 3 5" xfId="49633" xr:uid="{00000000-0005-0000-0000-0000910B0000}"/>
    <cellStyle name="Calculation 3 5 2" xfId="50930" xr:uid="{00000000-0005-0000-0000-0000920B0000}"/>
    <cellStyle name="Calculation 3 5 3" xfId="51664" xr:uid="{00000000-0005-0000-0000-0000930B0000}"/>
    <cellStyle name="Calculation 3 6" xfId="50046" xr:uid="{00000000-0005-0000-0000-0000940B0000}"/>
    <cellStyle name="Calculation 3 6 2" xfId="51090" xr:uid="{00000000-0005-0000-0000-0000950B0000}"/>
    <cellStyle name="Calculation 3 6 3" xfId="51300" xr:uid="{00000000-0005-0000-0000-0000960B0000}"/>
    <cellStyle name="Calculation 3 7" xfId="50920" xr:uid="{00000000-0005-0000-0000-0000970B0000}"/>
    <cellStyle name="Calculation 3 8" xfId="50869" xr:uid="{00000000-0005-0000-0000-0000980B0000}"/>
    <cellStyle name="Calculation 3 9" xfId="51680"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4"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5"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6"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8" xr:uid="{00000000-0005-0000-0000-0000DE0B0000}"/>
    <cellStyle name="Comma [1] 2 2" xfId="48449" xr:uid="{00000000-0005-0000-0000-0000DF0B0000}"/>
    <cellStyle name="Comma [1] 2 3" xfId="48450" xr:uid="{00000000-0005-0000-0000-0000E00B0000}"/>
    <cellStyle name="Comma [1] 2 4" xfId="48451" xr:uid="{00000000-0005-0000-0000-0000E10B0000}"/>
    <cellStyle name="Comma [1] 2 5" xfId="48452" xr:uid="{00000000-0005-0000-0000-0000E20B0000}"/>
    <cellStyle name="Comma [1] 2 6" xfId="48453" xr:uid="{00000000-0005-0000-0000-0000E30B0000}"/>
    <cellStyle name="Comma [1] 2 7" xfId="48454" xr:uid="{00000000-0005-0000-0000-0000E40B0000}"/>
    <cellStyle name="Comma [1] 2 8" xfId="48455" xr:uid="{00000000-0005-0000-0000-0000E50B0000}"/>
    <cellStyle name="Comma [1] 3" xfId="48447"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6" xr:uid="{00000000-0005-0000-0000-0000ED0B0000}"/>
    <cellStyle name="Comma 10 3" xfId="48456" xr:uid="{00000000-0005-0000-0000-0000EE0B0000}"/>
    <cellStyle name="Comma 11" xfId="2857" xr:uid="{00000000-0005-0000-0000-0000EF0B0000}"/>
    <cellStyle name="Comma 11 2" xfId="50064" xr:uid="{00000000-0005-0000-0000-0000F00B0000}"/>
    <cellStyle name="Comma 11 3" xfId="48243" xr:uid="{00000000-0005-0000-0000-0000F10B0000}"/>
    <cellStyle name="Comma 12" xfId="2858" xr:uid="{00000000-0005-0000-0000-0000F20B0000}"/>
    <cellStyle name="Comma 12 2" xfId="50287" xr:uid="{00000000-0005-0000-0000-0000F30B0000}"/>
    <cellStyle name="Comma 12 3" xfId="48457" xr:uid="{00000000-0005-0000-0000-0000F40B0000}"/>
    <cellStyle name="Comma 13" xfId="2859" xr:uid="{00000000-0005-0000-0000-0000F50B0000}"/>
    <cellStyle name="Comma 13 2" xfId="50288" xr:uid="{00000000-0005-0000-0000-0000F60B0000}"/>
    <cellStyle name="Comma 13 3" xfId="48458" xr:uid="{00000000-0005-0000-0000-0000F70B0000}"/>
    <cellStyle name="Comma 14" xfId="2860" xr:uid="{00000000-0005-0000-0000-0000F80B0000}"/>
    <cellStyle name="Comma 14 2" xfId="50825" xr:uid="{00000000-0005-0000-0000-0000F90B0000}"/>
    <cellStyle name="Comma 15" xfId="2861" xr:uid="{00000000-0005-0000-0000-0000FA0B0000}"/>
    <cellStyle name="Comma 15 2" xfId="50650" xr:uid="{00000000-0005-0000-0000-0000FB0B0000}"/>
    <cellStyle name="Comma 16" xfId="51141" xr:uid="{00000000-0005-0000-0000-0000FC0B0000}"/>
    <cellStyle name="Comma 17" xfId="2862" xr:uid="{00000000-0005-0000-0000-0000FD0B0000}"/>
    <cellStyle name="Comma 17 2" xfId="50792" xr:uid="{00000000-0005-0000-0000-0000FE0B0000}"/>
    <cellStyle name="Comma 18" xfId="2863" xr:uid="{00000000-0005-0000-0000-0000FF0B0000}"/>
    <cellStyle name="Comma 18 2" xfId="51210" xr:uid="{00000000-0005-0000-0000-0000000C0000}"/>
    <cellStyle name="Comma 19" xfId="51674"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60"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90"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91" xr:uid="{00000000-0005-0000-0000-0000210C0000}"/>
    <cellStyle name="Comma 2 11 3" xfId="48461"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92" xr:uid="{00000000-0005-0000-0000-00002E0C0000}"/>
    <cellStyle name="Comma 2 12 3" xfId="48462"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9" xr:uid="{00000000-0005-0000-0000-0000370C0000}"/>
    <cellStyle name="Comma 2 13" xfId="2910" xr:uid="{00000000-0005-0000-0000-0000380C0000}"/>
    <cellStyle name="Comma 2 13 2" xfId="50293" xr:uid="{00000000-0005-0000-0000-0000390C0000}"/>
    <cellStyle name="Comma 2 13 3" xfId="48463" xr:uid="{00000000-0005-0000-0000-00003A0C0000}"/>
    <cellStyle name="Comma 2 14" xfId="2911" xr:uid="{00000000-0005-0000-0000-00003B0C0000}"/>
    <cellStyle name="Comma 2 14 2" xfId="50294" xr:uid="{00000000-0005-0000-0000-00003C0C0000}"/>
    <cellStyle name="Comma 2 14 3" xfId="48464" xr:uid="{00000000-0005-0000-0000-00003D0C0000}"/>
    <cellStyle name="Comma 2 15" xfId="2912" xr:uid="{00000000-0005-0000-0000-00003E0C0000}"/>
    <cellStyle name="Comma 2 15 2" xfId="50295" xr:uid="{00000000-0005-0000-0000-00003F0C0000}"/>
    <cellStyle name="Comma 2 15 3" xfId="48465" xr:uid="{00000000-0005-0000-0000-0000400C0000}"/>
    <cellStyle name="Comma 2 16" xfId="2913" xr:uid="{00000000-0005-0000-0000-0000410C0000}"/>
    <cellStyle name="Comma 2 16 2" xfId="50296" xr:uid="{00000000-0005-0000-0000-0000420C0000}"/>
    <cellStyle name="Comma 2 16 3" xfId="48466" xr:uid="{00000000-0005-0000-0000-0000430C0000}"/>
    <cellStyle name="Comma 2 17" xfId="2914" xr:uid="{00000000-0005-0000-0000-0000440C0000}"/>
    <cellStyle name="Comma 2 17 2" xfId="50297" xr:uid="{00000000-0005-0000-0000-0000450C0000}"/>
    <cellStyle name="Comma 2 17 3" xfId="48467" xr:uid="{00000000-0005-0000-0000-0000460C0000}"/>
    <cellStyle name="Comma 2 18" xfId="2915" xr:uid="{00000000-0005-0000-0000-0000470C0000}"/>
    <cellStyle name="Comma 2 18 2" xfId="50298" xr:uid="{00000000-0005-0000-0000-0000480C0000}"/>
    <cellStyle name="Comma 2 18 3" xfId="48468" xr:uid="{00000000-0005-0000-0000-0000490C0000}"/>
    <cellStyle name="Comma 2 19" xfId="2916" xr:uid="{00000000-0005-0000-0000-00004A0C0000}"/>
    <cellStyle name="Comma 2 19 2" xfId="50299" xr:uid="{00000000-0005-0000-0000-00004B0C0000}"/>
    <cellStyle name="Comma 2 19 3" xfId="48469" xr:uid="{00000000-0005-0000-0000-00004C0C0000}"/>
    <cellStyle name="Comma 2 2" xfId="6" xr:uid="{00000000-0005-0000-0000-00004D0C0000}"/>
    <cellStyle name="Comma 2 2 10" xfId="2917" xr:uid="{00000000-0005-0000-0000-00004E0C0000}"/>
    <cellStyle name="Comma 2 2 10 2" xfId="50301" xr:uid="{00000000-0005-0000-0000-00004F0C0000}"/>
    <cellStyle name="Comma 2 2 10 3" xfId="48471" xr:uid="{00000000-0005-0000-0000-0000500C0000}"/>
    <cellStyle name="Comma 2 2 11" xfId="2918" xr:uid="{00000000-0005-0000-0000-0000510C0000}"/>
    <cellStyle name="Comma 2 2 11 2" xfId="50302" xr:uid="{00000000-0005-0000-0000-0000520C0000}"/>
    <cellStyle name="Comma 2 2 11 3" xfId="48472" xr:uid="{00000000-0005-0000-0000-0000530C0000}"/>
    <cellStyle name="Comma 2 2 12" xfId="2919" xr:uid="{00000000-0005-0000-0000-0000540C0000}"/>
    <cellStyle name="Comma 2 2 12 2" xfId="50303" xr:uid="{00000000-0005-0000-0000-0000550C0000}"/>
    <cellStyle name="Comma 2 2 12 3" xfId="48473" xr:uid="{00000000-0005-0000-0000-0000560C0000}"/>
    <cellStyle name="Comma 2 2 13" xfId="2920" xr:uid="{00000000-0005-0000-0000-0000570C0000}"/>
    <cellStyle name="Comma 2 2 13 2" xfId="50304" xr:uid="{00000000-0005-0000-0000-0000580C0000}"/>
    <cellStyle name="Comma 2 2 13 3" xfId="48474" xr:uid="{00000000-0005-0000-0000-0000590C0000}"/>
    <cellStyle name="Comma 2 2 14" xfId="2921" xr:uid="{00000000-0005-0000-0000-00005A0C0000}"/>
    <cellStyle name="Comma 2 2 14 2" xfId="50305" xr:uid="{00000000-0005-0000-0000-00005B0C0000}"/>
    <cellStyle name="Comma 2 2 14 3" xfId="48475" xr:uid="{00000000-0005-0000-0000-00005C0C0000}"/>
    <cellStyle name="Comma 2 2 15" xfId="2922" xr:uid="{00000000-0005-0000-0000-00005D0C0000}"/>
    <cellStyle name="Comma 2 2 15 2" xfId="50306" xr:uid="{00000000-0005-0000-0000-00005E0C0000}"/>
    <cellStyle name="Comma 2 2 15 3" xfId="48476" xr:uid="{00000000-0005-0000-0000-00005F0C0000}"/>
    <cellStyle name="Comma 2 2 16" xfId="2923" xr:uid="{00000000-0005-0000-0000-0000600C0000}"/>
    <cellStyle name="Comma 2 2 16 2" xfId="50307" xr:uid="{00000000-0005-0000-0000-0000610C0000}"/>
    <cellStyle name="Comma 2 2 16 3" xfId="48477" xr:uid="{00000000-0005-0000-0000-0000620C0000}"/>
    <cellStyle name="Comma 2 2 17" xfId="2924" xr:uid="{00000000-0005-0000-0000-0000630C0000}"/>
    <cellStyle name="Comma 2 2 17 2" xfId="50308" xr:uid="{00000000-0005-0000-0000-0000640C0000}"/>
    <cellStyle name="Comma 2 2 17 3" xfId="48478" xr:uid="{00000000-0005-0000-0000-0000650C0000}"/>
    <cellStyle name="Comma 2 2 18" xfId="2925" xr:uid="{00000000-0005-0000-0000-0000660C0000}"/>
    <cellStyle name="Comma 2 2 18 2" xfId="50309" xr:uid="{00000000-0005-0000-0000-0000670C0000}"/>
    <cellStyle name="Comma 2 2 18 3" xfId="48479" xr:uid="{00000000-0005-0000-0000-0000680C0000}"/>
    <cellStyle name="Comma 2 2 19" xfId="2926" xr:uid="{00000000-0005-0000-0000-0000690C0000}"/>
    <cellStyle name="Comma 2 2 19 2" xfId="50310" xr:uid="{00000000-0005-0000-0000-00006A0C0000}"/>
    <cellStyle name="Comma 2 2 19 3" xfId="48480" xr:uid="{00000000-0005-0000-0000-00006B0C0000}"/>
    <cellStyle name="Comma 2 2 2" xfId="2927" xr:uid="{00000000-0005-0000-0000-00006C0C0000}"/>
    <cellStyle name="Comma 2 2 2 10" xfId="2928" xr:uid="{00000000-0005-0000-0000-00006D0C0000}"/>
    <cellStyle name="Comma 2 2 2 10 2" xfId="48482" xr:uid="{00000000-0005-0000-0000-00006E0C0000}"/>
    <cellStyle name="Comma 2 2 2 11" xfId="2929" xr:uid="{00000000-0005-0000-0000-00006F0C0000}"/>
    <cellStyle name="Comma 2 2 2 11 2" xfId="48483" xr:uid="{00000000-0005-0000-0000-0000700C0000}"/>
    <cellStyle name="Comma 2 2 2 12" xfId="2930" xr:uid="{00000000-0005-0000-0000-0000710C0000}"/>
    <cellStyle name="Comma 2 2 2 12 2" xfId="48484" xr:uid="{00000000-0005-0000-0000-0000720C0000}"/>
    <cellStyle name="Comma 2 2 2 13" xfId="2931" xr:uid="{00000000-0005-0000-0000-0000730C0000}"/>
    <cellStyle name="Comma 2 2 2 13 2" xfId="48485" xr:uid="{00000000-0005-0000-0000-0000740C0000}"/>
    <cellStyle name="Comma 2 2 2 14" xfId="2932" xr:uid="{00000000-0005-0000-0000-0000750C0000}"/>
    <cellStyle name="Comma 2 2 2 14 2" xfId="48486" xr:uid="{00000000-0005-0000-0000-0000760C0000}"/>
    <cellStyle name="Comma 2 2 2 15" xfId="2933" xr:uid="{00000000-0005-0000-0000-0000770C0000}"/>
    <cellStyle name="Comma 2 2 2 15 2" xfId="48487" xr:uid="{00000000-0005-0000-0000-0000780C0000}"/>
    <cellStyle name="Comma 2 2 2 16" xfId="48488" xr:uid="{00000000-0005-0000-0000-0000790C0000}"/>
    <cellStyle name="Comma 2 2 2 17" xfId="48489" xr:uid="{00000000-0005-0000-0000-00007A0C0000}"/>
    <cellStyle name="Comma 2 2 2 18" xfId="48490" xr:uid="{00000000-0005-0000-0000-00007B0C0000}"/>
    <cellStyle name="Comma 2 2 2 19" xfId="50311"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91"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22"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30" xr:uid="{00000000-0005-0000-0000-0000D60C0000}"/>
    <cellStyle name="Comma 2 2 2 2 4 3" xfId="3021" xr:uid="{00000000-0005-0000-0000-0000D70C0000}"/>
    <cellStyle name="Comma 2 2 2 2 4 4" xfId="48492"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31" xr:uid="{00000000-0005-0000-0000-0000DC0C0000}"/>
    <cellStyle name="Comma 2 2 2 2 5 3" xfId="48493" xr:uid="{00000000-0005-0000-0000-0000DD0C0000}"/>
    <cellStyle name="Comma 2 2 2 2 6" xfId="3025" xr:uid="{00000000-0005-0000-0000-0000DE0C0000}"/>
    <cellStyle name="Comma 2 2 2 2 6 2" xfId="50332" xr:uid="{00000000-0005-0000-0000-0000DF0C0000}"/>
    <cellStyle name="Comma 2 2 2 2 6 3" xfId="48494" xr:uid="{00000000-0005-0000-0000-0000E00C0000}"/>
    <cellStyle name="Comma 2 2 2 2 7" xfId="3026" xr:uid="{00000000-0005-0000-0000-0000E10C0000}"/>
    <cellStyle name="Comma 2 2 2 2 7 2" xfId="3027" xr:uid="{00000000-0005-0000-0000-0000E20C0000}"/>
    <cellStyle name="Comma 2 2 2 2 7 2 2" xfId="50333" xr:uid="{00000000-0005-0000-0000-0000E30C0000}"/>
    <cellStyle name="Comma 2 2 2 2 7 3" xfId="48495" xr:uid="{00000000-0005-0000-0000-0000E40C0000}"/>
    <cellStyle name="Comma 2 2 2 2 8" xfId="48496" xr:uid="{00000000-0005-0000-0000-0000E50C0000}"/>
    <cellStyle name="Comma 2 2 2 2 8 2" xfId="50334" xr:uid="{00000000-0005-0000-0000-0000E60C0000}"/>
    <cellStyle name="Comma 2 2 2 20" xfId="48481"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8" xr:uid="{00000000-0005-0000-0000-0000FC0C0000}"/>
    <cellStyle name="Comma 2 2 2 5 2 3" xfId="48497" xr:uid="{00000000-0005-0000-0000-0000FD0C0000}"/>
    <cellStyle name="Comma 2 2 2 5 3" xfId="48498" xr:uid="{00000000-0005-0000-0000-0000FE0C0000}"/>
    <cellStyle name="Comma 2 2 2 5 3 2" xfId="50339" xr:uid="{00000000-0005-0000-0000-0000FF0C0000}"/>
    <cellStyle name="Comma 2 2 2 5 4" xfId="48499" xr:uid="{00000000-0005-0000-0000-0000000D0000}"/>
    <cellStyle name="Comma 2 2 2 5 4 2" xfId="50340" xr:uid="{00000000-0005-0000-0000-0000010D0000}"/>
    <cellStyle name="Comma 2 2 2 5 5" xfId="48500" xr:uid="{00000000-0005-0000-0000-0000020D0000}"/>
    <cellStyle name="Comma 2 2 2 5 5 2" xfId="50341" xr:uid="{00000000-0005-0000-0000-0000030D0000}"/>
    <cellStyle name="Comma 2 2 2 5 6" xfId="48501" xr:uid="{00000000-0005-0000-0000-0000040D0000}"/>
    <cellStyle name="Comma 2 2 2 5 6 2" xfId="50342" xr:uid="{00000000-0005-0000-0000-0000050D0000}"/>
    <cellStyle name="Comma 2 2 2 5 7" xfId="48502" xr:uid="{00000000-0005-0000-0000-0000060D0000}"/>
    <cellStyle name="Comma 2 2 2 5 7 2" xfId="50343"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3" xr:uid="{00000000-0005-0000-0000-00000F0D0000}"/>
    <cellStyle name="Comma 2 2 20" xfId="3055" xr:uid="{00000000-0005-0000-0000-0000100D0000}"/>
    <cellStyle name="Comma 2 2 20 2" xfId="50300"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4"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5" xr:uid="{00000000-0005-0000-0000-0000340D0000}"/>
    <cellStyle name="Comma 2 2 4 2" xfId="48506" xr:uid="{00000000-0005-0000-0000-0000350D0000}"/>
    <cellStyle name="Comma 2 2 4 2 2" xfId="48507" xr:uid="{00000000-0005-0000-0000-0000360D0000}"/>
    <cellStyle name="Comma 2 2 4 2 2 2" xfId="50351" xr:uid="{00000000-0005-0000-0000-0000370D0000}"/>
    <cellStyle name="Comma 2 2 4 2 3" xfId="48508" xr:uid="{00000000-0005-0000-0000-0000380D0000}"/>
    <cellStyle name="Comma 2 2 4 2 3 2" xfId="50352" xr:uid="{00000000-0005-0000-0000-0000390D0000}"/>
    <cellStyle name="Comma 2 2 4 2 4" xfId="48509" xr:uid="{00000000-0005-0000-0000-00003A0D0000}"/>
    <cellStyle name="Comma 2 2 4 2 4 2" xfId="50353" xr:uid="{00000000-0005-0000-0000-00003B0D0000}"/>
    <cellStyle name="Comma 2 2 4 2 5" xfId="48510" xr:uid="{00000000-0005-0000-0000-00003C0D0000}"/>
    <cellStyle name="Comma 2 2 4 2 5 2" xfId="50354" xr:uid="{00000000-0005-0000-0000-00003D0D0000}"/>
    <cellStyle name="Comma 2 2 4 2 6" xfId="48511" xr:uid="{00000000-0005-0000-0000-00003E0D0000}"/>
    <cellStyle name="Comma 2 2 4 2 6 2" xfId="50355" xr:uid="{00000000-0005-0000-0000-00003F0D0000}"/>
    <cellStyle name="Comma 2 2 4 2 7" xfId="48512" xr:uid="{00000000-0005-0000-0000-0000400D0000}"/>
    <cellStyle name="Comma 2 2 4 2 7 2" xfId="50356" xr:uid="{00000000-0005-0000-0000-0000410D0000}"/>
    <cellStyle name="Comma 2 2 4 2 8" xfId="50350" xr:uid="{00000000-0005-0000-0000-0000420D0000}"/>
    <cellStyle name="Comma 2 2 4 3" xfId="48513" xr:uid="{00000000-0005-0000-0000-0000430D0000}"/>
    <cellStyle name="Comma 2 2 4 3 2" xfId="50357" xr:uid="{00000000-0005-0000-0000-0000440D0000}"/>
    <cellStyle name="Comma 2 2 4 4" xfId="48514" xr:uid="{00000000-0005-0000-0000-0000450D0000}"/>
    <cellStyle name="Comma 2 2 4 4 2" xfId="50358" xr:uid="{00000000-0005-0000-0000-0000460D0000}"/>
    <cellStyle name="Comma 2 2 4 5" xfId="48515" xr:uid="{00000000-0005-0000-0000-0000470D0000}"/>
    <cellStyle name="Comma 2 2 4 5 2" xfId="50359" xr:uid="{00000000-0005-0000-0000-0000480D0000}"/>
    <cellStyle name="Comma 2 2 4 6" xfId="48516" xr:uid="{00000000-0005-0000-0000-0000490D0000}"/>
    <cellStyle name="Comma 2 2 4 6 2" xfId="50360" xr:uid="{00000000-0005-0000-0000-00004A0D0000}"/>
    <cellStyle name="Comma 2 2 4 7" xfId="48517" xr:uid="{00000000-0005-0000-0000-00004B0D0000}"/>
    <cellStyle name="Comma 2 2 4 7 2" xfId="50361" xr:uid="{00000000-0005-0000-0000-00004C0D0000}"/>
    <cellStyle name="Comma 2 2 4 8" xfId="48518" xr:uid="{00000000-0005-0000-0000-00004D0D0000}"/>
    <cellStyle name="Comma 2 2 4 8 2" xfId="50362" xr:uid="{00000000-0005-0000-0000-00004E0D0000}"/>
    <cellStyle name="Comma 2 2 4 9" xfId="50349"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3" xr:uid="{00000000-0005-0000-0000-0000720D0000}"/>
    <cellStyle name="Comma 2 2 5 3" xfId="48519"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70" xr:uid="{00000000-0005-0000-0000-00007A0D0000}"/>
    <cellStyle name="Comma 2 2 6" xfId="3129" xr:uid="{00000000-0005-0000-0000-00007B0D0000}"/>
    <cellStyle name="Comma 2 2 6 2" xfId="48521" xr:uid="{00000000-0005-0000-0000-00007C0D0000}"/>
    <cellStyle name="Comma 2 2 6 2 2" xfId="50365" xr:uid="{00000000-0005-0000-0000-00007D0D0000}"/>
    <cellStyle name="Comma 2 2 6 3" xfId="48522" xr:uid="{00000000-0005-0000-0000-00007E0D0000}"/>
    <cellStyle name="Comma 2 2 6 3 2" xfId="50366" xr:uid="{00000000-0005-0000-0000-00007F0D0000}"/>
    <cellStyle name="Comma 2 2 6 4" xfId="48523" xr:uid="{00000000-0005-0000-0000-0000800D0000}"/>
    <cellStyle name="Comma 2 2 6 4 2" xfId="50367" xr:uid="{00000000-0005-0000-0000-0000810D0000}"/>
    <cellStyle name="Comma 2 2 6 5" xfId="48524" xr:uid="{00000000-0005-0000-0000-0000820D0000}"/>
    <cellStyle name="Comma 2 2 6 5 2" xfId="50368" xr:uid="{00000000-0005-0000-0000-0000830D0000}"/>
    <cellStyle name="Comma 2 2 6 6" xfId="48525" xr:uid="{00000000-0005-0000-0000-0000840D0000}"/>
    <cellStyle name="Comma 2 2 6 6 2" xfId="50369" xr:uid="{00000000-0005-0000-0000-0000850D0000}"/>
    <cellStyle name="Comma 2 2 6 7" xfId="48526" xr:uid="{00000000-0005-0000-0000-0000860D0000}"/>
    <cellStyle name="Comma 2 2 6 7 2" xfId="50370" xr:uid="{00000000-0005-0000-0000-0000870D0000}"/>
    <cellStyle name="Comma 2 2 6 8" xfId="50364" xr:uid="{00000000-0005-0000-0000-0000880D0000}"/>
    <cellStyle name="Comma 2 2 6 9" xfId="48520" xr:uid="{00000000-0005-0000-0000-0000890D0000}"/>
    <cellStyle name="Comma 2 2 7" xfId="3130" xr:uid="{00000000-0005-0000-0000-00008A0D0000}"/>
    <cellStyle name="Comma 2 2 7 2" xfId="50371" xr:uid="{00000000-0005-0000-0000-00008B0D0000}"/>
    <cellStyle name="Comma 2 2 7 3" xfId="48527" xr:uid="{00000000-0005-0000-0000-00008C0D0000}"/>
    <cellStyle name="Comma 2 2 8" xfId="3131" xr:uid="{00000000-0005-0000-0000-00008D0D0000}"/>
    <cellStyle name="Comma 2 2 8 2" xfId="50372" xr:uid="{00000000-0005-0000-0000-00008E0D0000}"/>
    <cellStyle name="Comma 2 2 8 3" xfId="48528" xr:uid="{00000000-0005-0000-0000-00008F0D0000}"/>
    <cellStyle name="Comma 2 2 9" xfId="3132" xr:uid="{00000000-0005-0000-0000-0000900D0000}"/>
    <cellStyle name="Comma 2 2 9 2" xfId="50373" xr:uid="{00000000-0005-0000-0000-0000910D0000}"/>
    <cellStyle name="Comma 2 2 9 3" xfId="48529" xr:uid="{00000000-0005-0000-0000-0000920D0000}"/>
    <cellStyle name="Comma 2 2_3.1.2 DB Pension Detail" xfId="3133" xr:uid="{00000000-0005-0000-0000-0000930D0000}"/>
    <cellStyle name="Comma 2 20" xfId="3134" xr:uid="{00000000-0005-0000-0000-0000940D0000}"/>
    <cellStyle name="Comma 2 20 2" xfId="50375" xr:uid="{00000000-0005-0000-0000-0000950D0000}"/>
    <cellStyle name="Comma 2 20 3" xfId="48530" xr:uid="{00000000-0005-0000-0000-0000960D0000}"/>
    <cellStyle name="Comma 2 21" xfId="3135" xr:uid="{00000000-0005-0000-0000-0000970D0000}"/>
    <cellStyle name="Comma 2 21 2" xfId="50851" xr:uid="{00000000-0005-0000-0000-0000980D0000}"/>
    <cellStyle name="Comma 2 21 3" xfId="49401" xr:uid="{00000000-0005-0000-0000-0000990D0000}"/>
    <cellStyle name="Comma 2 22" xfId="3136" xr:uid="{00000000-0005-0000-0000-00009A0D0000}"/>
    <cellStyle name="Comma 2 22 2" xfId="50289"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3" xr:uid="{00000000-0005-0000-0000-0000B60D0000}"/>
    <cellStyle name="Comma 2 3 2 2 2" xfId="3163" xr:uid="{00000000-0005-0000-0000-0000B70D0000}"/>
    <cellStyle name="Comma 2 3 2 2 2 2" xfId="50378"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7" xr:uid="{00000000-0005-0000-0000-0000C20D0000}"/>
    <cellStyle name="Comma 2 3 2 4" xfId="48532"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4" xr:uid="{00000000-0005-0000-0000-0000D40D0000}"/>
    <cellStyle name="Comma 2 3 3 2" xfId="3189" xr:uid="{00000000-0005-0000-0000-0000D50D0000}"/>
    <cellStyle name="Comma 2 3 3 2 2" xfId="50379"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6"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31"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80"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5"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81" xr:uid="{00000000-0005-0000-0000-00006F0E0000}"/>
    <cellStyle name="Comma 2 5 3" xfId="48536"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82" xr:uid="{00000000-0005-0000-0000-00009E0E0000}"/>
    <cellStyle name="Comma 2 6 3" xfId="48537"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3" xr:uid="{00000000-0005-0000-0000-0000AB0E0000}"/>
    <cellStyle name="Comma 2 7 3" xfId="48538"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4" xr:uid="{00000000-0005-0000-0000-0000B80E0000}"/>
    <cellStyle name="Comma 2 8 3" xfId="48539"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5" xr:uid="{00000000-0005-0000-0000-0000C50E0000}"/>
    <cellStyle name="Comma 2 9 3" xfId="48540"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8" xr:uid="{00000000-0005-0000-0000-0000D30E0000}"/>
    <cellStyle name="Comma 21" xfId="51685" xr:uid="{00000000-0005-0000-0000-0000D40E0000}"/>
    <cellStyle name="Comma 22" xfId="51340" xr:uid="{00000000-0005-0000-0000-0000D50E0000}"/>
    <cellStyle name="Comma 23" xfId="51679" xr:uid="{00000000-0005-0000-0000-0000D60E0000}"/>
    <cellStyle name="Comma 24" xfId="50772" xr:uid="{00000000-0005-0000-0000-0000D70E0000}"/>
    <cellStyle name="Comma 25" xfId="51675" xr:uid="{00000000-0005-0000-0000-0000D80E0000}"/>
    <cellStyle name="Comma 26" xfId="51212" xr:uid="{00000000-0005-0000-0000-0000D90E0000}"/>
    <cellStyle name="Comma 27" xfId="50934" xr:uid="{00000000-0005-0000-0000-0000DA0E0000}"/>
    <cellStyle name="Comma 27 2" xfId="51705" xr:uid="{16BCE47F-0775-44AC-AD9C-EE79732921CD}"/>
    <cellStyle name="Comma 28" xfId="49376"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41" xr:uid="{00000000-0005-0000-0000-0000FB0E0000}"/>
    <cellStyle name="Comma 3 13" xfId="3458" xr:uid="{00000000-0005-0000-0000-0000FC0E0000}"/>
    <cellStyle name="Comma 3 13 2" xfId="50831" xr:uid="{00000000-0005-0000-0000-0000FD0E0000}"/>
    <cellStyle name="Comma 3 13 3" xfId="49377"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3" xr:uid="{00000000-0005-0000-0000-00000C0F0000}"/>
    <cellStyle name="Comma 3 2 2 2" xfId="3472" xr:uid="{00000000-0005-0000-0000-00000D0F0000}"/>
    <cellStyle name="Comma 3 2 2 2 2" xfId="50388"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9" xr:uid="{00000000-0005-0000-0000-0000180F0000}"/>
    <cellStyle name="Comma 3 2 3 3" xfId="48544" xr:uid="{00000000-0005-0000-0000-0000190F0000}"/>
    <cellStyle name="Comma 3 2 4" xfId="3482" xr:uid="{00000000-0005-0000-0000-00001A0F0000}"/>
    <cellStyle name="Comma 3 2 4 2" xfId="50387" xr:uid="{00000000-0005-0000-0000-00001B0F0000}"/>
    <cellStyle name="Comma 3 2 5" xfId="3483" xr:uid="{00000000-0005-0000-0000-00001C0F0000}"/>
    <cellStyle name="Comma 3 2 6" xfId="48542"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32" xr:uid="{00000000-0005-0000-0000-00002C0F0000}"/>
    <cellStyle name="Comma 3 3 2 3" xfId="49378" xr:uid="{00000000-0005-0000-0000-00002D0F0000}"/>
    <cellStyle name="Comma 3 3 3" xfId="3498" xr:uid="{00000000-0005-0000-0000-00002E0F0000}"/>
    <cellStyle name="Comma 3 3 3 2" xfId="50390" xr:uid="{00000000-0005-0000-0000-00002F0F0000}"/>
    <cellStyle name="Comma 3 3 4" xfId="3499" xr:uid="{00000000-0005-0000-0000-0000300F0000}"/>
    <cellStyle name="Comma 3 3 5" xfId="48545"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6"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91"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6"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92"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7"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6"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4"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8" xr:uid="{00000000-0005-0000-0000-0000AB110000}"/>
    <cellStyle name="Comma 7 2" xfId="4126" xr:uid="{00000000-0005-0000-0000-0000AC110000}"/>
    <cellStyle name="Comma 7 2 2" xfId="50393"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50" xr:uid="{00000000-0005-0000-0000-0000B6110000}"/>
    <cellStyle name="Comma 8 2 2" xfId="50395" xr:uid="{00000000-0005-0000-0000-0000B7110000}"/>
    <cellStyle name="Comma 8 3" xfId="48551" xr:uid="{00000000-0005-0000-0000-0000B8110000}"/>
    <cellStyle name="Comma 8 3 2" xfId="50396" xr:uid="{00000000-0005-0000-0000-0000B9110000}"/>
    <cellStyle name="Comma 8 4" xfId="50394" xr:uid="{00000000-0005-0000-0000-0000BA110000}"/>
    <cellStyle name="Comma 8 5" xfId="48549" xr:uid="{00000000-0005-0000-0000-0000BB110000}"/>
    <cellStyle name="Comma 9" xfId="4135" xr:uid="{00000000-0005-0000-0000-0000BC110000}"/>
    <cellStyle name="Comma 9 2" xfId="50397" xr:uid="{00000000-0005-0000-0000-0000BD110000}"/>
    <cellStyle name="Comma 9 3" xfId="48552"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3" xr:uid="{00000000-0005-0000-0000-000026120000}"/>
    <cellStyle name="Emphasis 2" xfId="30" xr:uid="{00000000-0005-0000-0000-000027120000}"/>
    <cellStyle name="Emphasis 2 2" xfId="48554" xr:uid="{00000000-0005-0000-0000-000028120000}"/>
    <cellStyle name="Emphasis 3" xfId="31" xr:uid="{00000000-0005-0000-0000-000029120000}"/>
    <cellStyle name="Emphasis 3 2" xfId="48555"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6"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7"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8"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9" xr:uid="{00000000-0005-0000-0000-0000A6120000}"/>
    <cellStyle name="Good 3" xfId="4357" xr:uid="{00000000-0005-0000-0000-0000A7120000}"/>
    <cellStyle name="Good 3 2" xfId="4358" xr:uid="{00000000-0005-0000-0000-0000A8120000}"/>
    <cellStyle name="Good 3 3" xfId="4359" xr:uid="{00000000-0005-0000-0000-0000A9120000}"/>
    <cellStyle name="Good 3 4" xfId="48560"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62" xr:uid="{00000000-0005-0000-0000-0000B2120000}"/>
    <cellStyle name="GreyOrWhite 2 2" xfId="48563" xr:uid="{00000000-0005-0000-0000-0000B3120000}"/>
    <cellStyle name="GreyOrWhite 2 3" xfId="48564" xr:uid="{00000000-0005-0000-0000-0000B4120000}"/>
    <cellStyle name="GreyOrWhite 2 4" xfId="48565" xr:uid="{00000000-0005-0000-0000-0000B5120000}"/>
    <cellStyle name="GreyOrWhite 2 5" xfId="48566" xr:uid="{00000000-0005-0000-0000-0000B6120000}"/>
    <cellStyle name="GreyOrWhite 2 6" xfId="48567" xr:uid="{00000000-0005-0000-0000-0000B7120000}"/>
    <cellStyle name="GreyOrWhite 2 7" xfId="48568" xr:uid="{00000000-0005-0000-0000-0000B8120000}"/>
    <cellStyle name="GreyOrWhite 2 8" xfId="48569" xr:uid="{00000000-0005-0000-0000-0000B9120000}"/>
    <cellStyle name="GreyOrWhite 3" xfId="48561"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70"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71"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72"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3"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4"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5"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6"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7"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4" xr:uid="{00000000-0005-0000-0000-0000A2130000}"/>
    <cellStyle name="Input 2 2 2 3" xfId="4589" xr:uid="{00000000-0005-0000-0000-0000A3130000}"/>
    <cellStyle name="Input 2 2 2 3 2" xfId="51670" xr:uid="{00000000-0005-0000-0000-0000A4130000}"/>
    <cellStyle name="Input 2 2 2 4" xfId="49799"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3"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71" xr:uid="{00000000-0005-0000-0000-0000B7130000}"/>
    <cellStyle name="Input 2 2 4" xfId="4606" xr:uid="{00000000-0005-0000-0000-0000B8130000}"/>
    <cellStyle name="Input 2 2 4 2" xfId="50875"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9" xr:uid="{00000000-0005-0000-0000-0000D6130000}"/>
    <cellStyle name="Input 2 3 2 3" xfId="4635" xr:uid="{00000000-0005-0000-0000-0000D7130000}"/>
    <cellStyle name="Input 2 3 2 3 2" xfId="51171" xr:uid="{00000000-0005-0000-0000-0000D8130000}"/>
    <cellStyle name="Input 2 3 2 4" xfId="49804"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8"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6" xr:uid="{00000000-0005-0000-0000-0000EB130000}"/>
    <cellStyle name="Input 2 3 4" xfId="4652" xr:uid="{00000000-0005-0000-0000-0000EC130000}"/>
    <cellStyle name="Input 2 3 4 2" xfId="51353"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8"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202" xr:uid="{00000000-0005-0000-0000-000008140000}"/>
    <cellStyle name="Input 2 4 2 3" xfId="4678" xr:uid="{00000000-0005-0000-0000-000009140000}"/>
    <cellStyle name="Input 2 4 2 3 2" xfId="51526" xr:uid="{00000000-0005-0000-0000-00000A140000}"/>
    <cellStyle name="Input 2 4 2 4" xfId="49801"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71"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3" xr:uid="{00000000-0005-0000-0000-00001D140000}"/>
    <cellStyle name="Input 2 4 4" xfId="4695" xr:uid="{00000000-0005-0000-0000-00001E140000}"/>
    <cellStyle name="Input 2 4 4 2" xfId="51492"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4"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71"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4"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9"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3"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5"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21"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6" xr:uid="{00000000-0005-0000-0000-000079140000}"/>
    <cellStyle name="Input 2 9" xfId="4778" xr:uid="{00000000-0005-0000-0000-00007A140000}"/>
    <cellStyle name="Input 2 9 2" xfId="4779" xr:uid="{00000000-0005-0000-0000-00007B140000}"/>
    <cellStyle name="Input 2 9 3" xfId="51678" xr:uid="{00000000-0005-0000-0000-00007C140000}"/>
    <cellStyle name="Input 3" xfId="4780" xr:uid="{00000000-0005-0000-0000-00007D140000}"/>
    <cellStyle name="Input 3 10" xfId="48579" xr:uid="{00000000-0005-0000-0000-00007E140000}"/>
    <cellStyle name="Input 3 2" xfId="4781" xr:uid="{00000000-0005-0000-0000-00007F140000}"/>
    <cellStyle name="Input 3 2 2" xfId="4782" xr:uid="{00000000-0005-0000-0000-000080140000}"/>
    <cellStyle name="Input 3 2 2 2" xfId="50203" xr:uid="{00000000-0005-0000-0000-000081140000}"/>
    <cellStyle name="Input 3 2 2 3" xfId="51268" xr:uid="{00000000-0005-0000-0000-000082140000}"/>
    <cellStyle name="Input 3 2 2 4" xfId="49800" xr:uid="{00000000-0005-0000-0000-000083140000}"/>
    <cellStyle name="Input 3 2 3" xfId="50572" xr:uid="{00000000-0005-0000-0000-000084140000}"/>
    <cellStyle name="Input 3 2 4" xfId="51235" xr:uid="{00000000-0005-0000-0000-000085140000}"/>
    <cellStyle name="Input 3 2 5" xfId="49472" xr:uid="{00000000-0005-0000-0000-000086140000}"/>
    <cellStyle name="Input 3 3" xfId="4783" xr:uid="{00000000-0005-0000-0000-000087140000}"/>
    <cellStyle name="Input 3 3 2" xfId="4784" xr:uid="{00000000-0005-0000-0000-000088140000}"/>
    <cellStyle name="Input 3 3 2 2" xfId="50200" xr:uid="{00000000-0005-0000-0000-000089140000}"/>
    <cellStyle name="Input 3 3 2 3" xfId="51524" xr:uid="{00000000-0005-0000-0000-00008A140000}"/>
    <cellStyle name="Input 3 3 2 4" xfId="49803" xr:uid="{00000000-0005-0000-0000-00008B140000}"/>
    <cellStyle name="Input 3 3 3" xfId="50569" xr:uid="{00000000-0005-0000-0000-00008C140000}"/>
    <cellStyle name="Input 3 3 4" xfId="51459" xr:uid="{00000000-0005-0000-0000-00008D140000}"/>
    <cellStyle name="Input 3 3 5" xfId="49475" xr:uid="{00000000-0005-0000-0000-00008E140000}"/>
    <cellStyle name="Input 3 4" xfId="4785" xr:uid="{00000000-0005-0000-0000-00008F140000}"/>
    <cellStyle name="Input 3 4 2" xfId="49802" xr:uid="{00000000-0005-0000-0000-000090140000}"/>
    <cellStyle name="Input 3 4 2 2" xfId="50201" xr:uid="{00000000-0005-0000-0000-000091140000}"/>
    <cellStyle name="Input 3 4 2 3" xfId="51266" xr:uid="{00000000-0005-0000-0000-000092140000}"/>
    <cellStyle name="Input 3 4 3" xfId="50570" xr:uid="{00000000-0005-0000-0000-000093140000}"/>
    <cellStyle name="Input 3 4 4" xfId="51201" xr:uid="{00000000-0005-0000-0000-000094140000}"/>
    <cellStyle name="Input 3 4 5" xfId="49474" xr:uid="{00000000-0005-0000-0000-000095140000}"/>
    <cellStyle name="Input 3 5" xfId="49635" xr:uid="{00000000-0005-0000-0000-000096140000}"/>
    <cellStyle name="Input 3 5 2" xfId="50927" xr:uid="{00000000-0005-0000-0000-000097140000}"/>
    <cellStyle name="Input 3 5 3" xfId="51179" xr:uid="{00000000-0005-0000-0000-000098140000}"/>
    <cellStyle name="Input 3 6" xfId="50044" xr:uid="{00000000-0005-0000-0000-000099140000}"/>
    <cellStyle name="Input 3 6 2" xfId="51088" xr:uid="{00000000-0005-0000-0000-00009A140000}"/>
    <cellStyle name="Input 3 6 3" xfId="51420" xr:uid="{00000000-0005-0000-0000-00009B140000}"/>
    <cellStyle name="Input 3 7" xfId="50854" xr:uid="{00000000-0005-0000-0000-00009C140000}"/>
    <cellStyle name="Input 3 8" xfId="50773" xr:uid="{00000000-0005-0000-0000-00009D140000}"/>
    <cellStyle name="Input 3 9" xfId="51682"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80"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41"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81"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82"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3"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4"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2 2 2 2" xfId="51703" xr:uid="{9F4AF446-F3AF-4F07-9AFC-7D530C54563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6"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5"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8"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7"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9"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_List of table gaps 2" xfId="48237" xr:uid="{00000000-0005-0000-0000-000069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90"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91"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92"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3"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5"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6"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7"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8" xr:uid="{00000000-0005-0000-0000-0000BF1D0000}"/>
    <cellStyle name="Normal 2 130" xfId="7097" xr:uid="{00000000-0005-0000-0000-0000C01D0000}"/>
    <cellStyle name="Normal 2 130 2 2" xfId="51698" xr:uid="{FD96FCAA-C9B1-483D-9A3B-FE0F366A0DB9}"/>
    <cellStyle name="Normal 2 131" xfId="48594" xr:uid="{00000000-0005-0000-0000-0000C11D0000}"/>
    <cellStyle name="Normal 2 14" xfId="7098" xr:uid="{00000000-0005-0000-0000-0000C21D0000}"/>
    <cellStyle name="Normal 2 14 2" xfId="48599" xr:uid="{00000000-0005-0000-0000-0000C31D0000}"/>
    <cellStyle name="Normal 2 15" xfId="7099" xr:uid="{00000000-0005-0000-0000-0000C41D0000}"/>
    <cellStyle name="Normal 2 15 2" xfId="48600" xr:uid="{00000000-0005-0000-0000-0000C51D0000}"/>
    <cellStyle name="Normal 2 16" xfId="7100" xr:uid="{00000000-0005-0000-0000-0000C61D0000}"/>
    <cellStyle name="Normal 2 16 2" xfId="48601" xr:uid="{00000000-0005-0000-0000-0000C71D0000}"/>
    <cellStyle name="Normal 2 17" xfId="7101" xr:uid="{00000000-0005-0000-0000-0000C81D0000}"/>
    <cellStyle name="Normal 2 17 2" xfId="48602" xr:uid="{00000000-0005-0000-0000-0000C91D0000}"/>
    <cellStyle name="Normal 2 18" xfId="7102" xr:uid="{00000000-0005-0000-0000-0000CA1D0000}"/>
    <cellStyle name="Normal 2 18 2" xfId="48603" xr:uid="{00000000-0005-0000-0000-0000CB1D0000}"/>
    <cellStyle name="Normal 2 19" xfId="7103" xr:uid="{00000000-0005-0000-0000-0000CC1D0000}"/>
    <cellStyle name="Normal 2 19 2" xfId="48604"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6"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8" xr:uid="{00000000-0005-0000-0000-0000DD1D0000}"/>
    <cellStyle name="Normal 2 2 11 2 2" xfId="48609" xr:uid="{00000000-0005-0000-0000-0000DE1D0000}"/>
    <cellStyle name="Normal 2 2 11 2 3" xfId="48610" xr:uid="{00000000-0005-0000-0000-0000DF1D0000}"/>
    <cellStyle name="Normal 2 2 11 2 4" xfId="48611" xr:uid="{00000000-0005-0000-0000-0000E01D0000}"/>
    <cellStyle name="Normal 2 2 11 2 5" xfId="48612" xr:uid="{00000000-0005-0000-0000-0000E11D0000}"/>
    <cellStyle name="Normal 2 2 11 2 6" xfId="48613" xr:uid="{00000000-0005-0000-0000-0000E21D0000}"/>
    <cellStyle name="Normal 2 2 11 2 7" xfId="48614" xr:uid="{00000000-0005-0000-0000-0000E31D0000}"/>
    <cellStyle name="Normal 2 2 11 3" xfId="48615" xr:uid="{00000000-0005-0000-0000-0000E41D0000}"/>
    <cellStyle name="Normal 2 2 11 4" xfId="48616" xr:uid="{00000000-0005-0000-0000-0000E51D0000}"/>
    <cellStyle name="Normal 2 2 11 5" xfId="48617" xr:uid="{00000000-0005-0000-0000-0000E61D0000}"/>
    <cellStyle name="Normal 2 2 11 6" xfId="48618" xr:uid="{00000000-0005-0000-0000-0000E71D0000}"/>
    <cellStyle name="Normal 2 2 11 7" xfId="48619" xr:uid="{00000000-0005-0000-0000-0000E81D0000}"/>
    <cellStyle name="Normal 2 2 11 8" xfId="48620" xr:uid="{00000000-0005-0000-0000-0000E91D0000}"/>
    <cellStyle name="Normal 2 2 11 9" xfId="48607"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21"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5" xr:uid="{00000000-0005-0000-0000-0000FB1D0000}"/>
    <cellStyle name="Normal 2 2 13" xfId="7132" xr:uid="{00000000-0005-0000-0000-0000FC1D0000}"/>
    <cellStyle name="Normal 2 2 13 2" xfId="48623" xr:uid="{00000000-0005-0000-0000-0000FD1D0000}"/>
    <cellStyle name="Normal 2 2 13 3" xfId="48624" xr:uid="{00000000-0005-0000-0000-0000FE1D0000}"/>
    <cellStyle name="Normal 2 2 13 4" xfId="48625" xr:uid="{00000000-0005-0000-0000-0000FF1D0000}"/>
    <cellStyle name="Normal 2 2 13 5" xfId="48626" xr:uid="{00000000-0005-0000-0000-0000001E0000}"/>
    <cellStyle name="Normal 2 2 13 6" xfId="48627" xr:uid="{00000000-0005-0000-0000-0000011E0000}"/>
    <cellStyle name="Normal 2 2 13 7" xfId="48628" xr:uid="{00000000-0005-0000-0000-0000021E0000}"/>
    <cellStyle name="Normal 2 2 13 8" xfId="48622" xr:uid="{00000000-0005-0000-0000-0000031E0000}"/>
    <cellStyle name="Normal 2 2 14" xfId="7133" xr:uid="{00000000-0005-0000-0000-0000041E0000}"/>
    <cellStyle name="Normal 2 2 14 2" xfId="48629" xr:uid="{00000000-0005-0000-0000-0000051E0000}"/>
    <cellStyle name="Normal 2 2 15" xfId="7134" xr:uid="{00000000-0005-0000-0000-0000061E0000}"/>
    <cellStyle name="Normal 2 2 15 2" xfId="48630" xr:uid="{00000000-0005-0000-0000-0000071E0000}"/>
    <cellStyle name="Normal 2 2 16" xfId="7135" xr:uid="{00000000-0005-0000-0000-0000081E0000}"/>
    <cellStyle name="Normal 2 2 16 2" xfId="48631" xr:uid="{00000000-0005-0000-0000-0000091E0000}"/>
    <cellStyle name="Normal 2 2 17" xfId="7136" xr:uid="{00000000-0005-0000-0000-00000A1E0000}"/>
    <cellStyle name="Normal 2 2 17 2" xfId="48632" xr:uid="{00000000-0005-0000-0000-00000B1E0000}"/>
    <cellStyle name="Normal 2 2 18" xfId="7137" xr:uid="{00000000-0005-0000-0000-00000C1E0000}"/>
    <cellStyle name="Normal 2 2 18 2" xfId="48633" xr:uid="{00000000-0005-0000-0000-00000D1E0000}"/>
    <cellStyle name="Normal 2 2 19" xfId="7138" xr:uid="{00000000-0005-0000-0000-00000E1E0000}"/>
    <cellStyle name="Normal 2 2 19 2" xfId="48634"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6"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8" xr:uid="{00000000-0005-0000-0000-0000241E0000}"/>
    <cellStyle name="Normal 2 2 2 11 2 2" xfId="48639" xr:uid="{00000000-0005-0000-0000-0000251E0000}"/>
    <cellStyle name="Normal 2 2 2 11 2 3" xfId="48640" xr:uid="{00000000-0005-0000-0000-0000261E0000}"/>
    <cellStyle name="Normal 2 2 2 11 2 4" xfId="48641" xr:uid="{00000000-0005-0000-0000-0000271E0000}"/>
    <cellStyle name="Normal 2 2 2 11 2 5" xfId="48642" xr:uid="{00000000-0005-0000-0000-0000281E0000}"/>
    <cellStyle name="Normal 2 2 2 11 2 6" xfId="48643" xr:uid="{00000000-0005-0000-0000-0000291E0000}"/>
    <cellStyle name="Normal 2 2 2 11 2 7" xfId="48644" xr:uid="{00000000-0005-0000-0000-00002A1E0000}"/>
    <cellStyle name="Normal 2 2 2 11 3" xfId="48645" xr:uid="{00000000-0005-0000-0000-00002B1E0000}"/>
    <cellStyle name="Normal 2 2 2 11 4" xfId="48646" xr:uid="{00000000-0005-0000-0000-00002C1E0000}"/>
    <cellStyle name="Normal 2 2 2 11 5" xfId="48647" xr:uid="{00000000-0005-0000-0000-00002D1E0000}"/>
    <cellStyle name="Normal 2 2 2 11 6" xfId="48648" xr:uid="{00000000-0005-0000-0000-00002E1E0000}"/>
    <cellStyle name="Normal 2 2 2 11 7" xfId="48649" xr:uid="{00000000-0005-0000-0000-00002F1E0000}"/>
    <cellStyle name="Normal 2 2 2 11 8" xfId="48650" xr:uid="{00000000-0005-0000-0000-0000301E0000}"/>
    <cellStyle name="Normal 2 2 2 11 9" xfId="48637" xr:uid="{00000000-0005-0000-0000-0000311E0000}"/>
    <cellStyle name="Normal 2 2 2 12" xfId="7158" xr:uid="{00000000-0005-0000-0000-0000321E0000}"/>
    <cellStyle name="Normal 2 2 2 12 2" xfId="48651" xr:uid="{00000000-0005-0000-0000-0000331E0000}"/>
    <cellStyle name="Normal 2 2 2 13" xfId="7159" xr:uid="{00000000-0005-0000-0000-0000341E0000}"/>
    <cellStyle name="Normal 2 2 2 13 2" xfId="48653" xr:uid="{00000000-0005-0000-0000-0000351E0000}"/>
    <cellStyle name="Normal 2 2 2 13 3" xfId="48654" xr:uid="{00000000-0005-0000-0000-0000361E0000}"/>
    <cellStyle name="Normal 2 2 2 13 4" xfId="48655" xr:uid="{00000000-0005-0000-0000-0000371E0000}"/>
    <cellStyle name="Normal 2 2 2 13 5" xfId="48656" xr:uid="{00000000-0005-0000-0000-0000381E0000}"/>
    <cellStyle name="Normal 2 2 2 13 6" xfId="48657" xr:uid="{00000000-0005-0000-0000-0000391E0000}"/>
    <cellStyle name="Normal 2 2 2 13 7" xfId="48658" xr:uid="{00000000-0005-0000-0000-00003A1E0000}"/>
    <cellStyle name="Normal 2 2 2 13 8" xfId="48652" xr:uid="{00000000-0005-0000-0000-00003B1E0000}"/>
    <cellStyle name="Normal 2 2 2 14" xfId="7160" xr:uid="{00000000-0005-0000-0000-00003C1E0000}"/>
    <cellStyle name="Normal 2 2 2 14 2" xfId="48659" xr:uid="{00000000-0005-0000-0000-00003D1E0000}"/>
    <cellStyle name="Normal 2 2 2 15" xfId="7161" xr:uid="{00000000-0005-0000-0000-00003E1E0000}"/>
    <cellStyle name="Normal 2 2 2 15 2" xfId="48660" xr:uid="{00000000-0005-0000-0000-00003F1E0000}"/>
    <cellStyle name="Normal 2 2 2 16" xfId="7162" xr:uid="{00000000-0005-0000-0000-0000401E0000}"/>
    <cellStyle name="Normal 2 2 2 16 2" xfId="48661" xr:uid="{00000000-0005-0000-0000-0000411E0000}"/>
    <cellStyle name="Normal 2 2 2 17" xfId="7163" xr:uid="{00000000-0005-0000-0000-0000421E0000}"/>
    <cellStyle name="Normal 2 2 2 17 2" xfId="48662" xr:uid="{00000000-0005-0000-0000-0000431E0000}"/>
    <cellStyle name="Normal 2 2 2 18" xfId="7164" xr:uid="{00000000-0005-0000-0000-0000441E0000}"/>
    <cellStyle name="Normal 2 2 2 18 2" xfId="48663" xr:uid="{00000000-0005-0000-0000-0000451E0000}"/>
    <cellStyle name="Normal 2 2 2 19" xfId="7165" xr:uid="{00000000-0005-0000-0000-0000461E0000}"/>
    <cellStyle name="Normal 2 2 2 19 2" xfId="48664" xr:uid="{00000000-0005-0000-0000-0000471E0000}"/>
    <cellStyle name="Normal 2 2 2 2" xfId="7166" xr:uid="{00000000-0005-0000-0000-0000481E0000}"/>
    <cellStyle name="Normal 2 2 2 2 10" xfId="7167" xr:uid="{00000000-0005-0000-0000-0000491E0000}"/>
    <cellStyle name="Normal 2 2 2 2 10 2" xfId="48666" xr:uid="{00000000-0005-0000-0000-00004A1E0000}"/>
    <cellStyle name="Normal 2 2 2 2 11" xfId="7168" xr:uid="{00000000-0005-0000-0000-00004B1E0000}"/>
    <cellStyle name="Normal 2 2 2 2 11 2" xfId="48668" xr:uid="{00000000-0005-0000-0000-00004C1E0000}"/>
    <cellStyle name="Normal 2 2 2 2 11 3" xfId="48669" xr:uid="{00000000-0005-0000-0000-00004D1E0000}"/>
    <cellStyle name="Normal 2 2 2 2 11 4" xfId="48670" xr:uid="{00000000-0005-0000-0000-00004E1E0000}"/>
    <cellStyle name="Normal 2 2 2 2 11 5" xfId="48671" xr:uid="{00000000-0005-0000-0000-00004F1E0000}"/>
    <cellStyle name="Normal 2 2 2 2 11 6" xfId="48672" xr:uid="{00000000-0005-0000-0000-0000501E0000}"/>
    <cellStyle name="Normal 2 2 2 2 11 7" xfId="48673" xr:uid="{00000000-0005-0000-0000-0000511E0000}"/>
    <cellStyle name="Normal 2 2 2 2 11 8" xfId="48667" xr:uid="{00000000-0005-0000-0000-0000521E0000}"/>
    <cellStyle name="Normal 2 2 2 2 12" xfId="7169" xr:uid="{00000000-0005-0000-0000-0000531E0000}"/>
    <cellStyle name="Normal 2 2 2 2 12 2" xfId="48674" xr:uid="{00000000-0005-0000-0000-0000541E0000}"/>
    <cellStyle name="Normal 2 2 2 2 13" xfId="7170" xr:uid="{00000000-0005-0000-0000-0000551E0000}"/>
    <cellStyle name="Normal 2 2 2 2 13 2" xfId="48675" xr:uid="{00000000-0005-0000-0000-0000561E0000}"/>
    <cellStyle name="Normal 2 2 2 2 14" xfId="7171" xr:uid="{00000000-0005-0000-0000-0000571E0000}"/>
    <cellStyle name="Normal 2 2 2 2 14 2" xfId="48676" xr:uid="{00000000-0005-0000-0000-0000581E0000}"/>
    <cellStyle name="Normal 2 2 2 2 15" xfId="7172" xr:uid="{00000000-0005-0000-0000-0000591E0000}"/>
    <cellStyle name="Normal 2 2 2 2 15 2" xfId="48677" xr:uid="{00000000-0005-0000-0000-00005A1E0000}"/>
    <cellStyle name="Normal 2 2 2 2 16" xfId="7173" xr:uid="{00000000-0005-0000-0000-00005B1E0000}"/>
    <cellStyle name="Normal 2 2 2 2 16 2" xfId="48678" xr:uid="{00000000-0005-0000-0000-00005C1E0000}"/>
    <cellStyle name="Normal 2 2 2 2 17" xfId="7174" xr:uid="{00000000-0005-0000-0000-00005D1E0000}"/>
    <cellStyle name="Normal 2 2 2 2 17 2" xfId="48679" xr:uid="{00000000-0005-0000-0000-00005E1E0000}"/>
    <cellStyle name="Normal 2 2 2 2 18" xfId="7175" xr:uid="{00000000-0005-0000-0000-00005F1E0000}"/>
    <cellStyle name="Normal 2 2 2 2 18 2" xfId="48680" xr:uid="{00000000-0005-0000-0000-0000601E0000}"/>
    <cellStyle name="Normal 2 2 2 2 19" xfId="7176" xr:uid="{00000000-0005-0000-0000-0000611E0000}"/>
    <cellStyle name="Normal 2 2 2 2 19 2" xfId="48681" xr:uid="{00000000-0005-0000-0000-0000621E0000}"/>
    <cellStyle name="Normal 2 2 2 2 2" xfId="7177" xr:uid="{00000000-0005-0000-0000-0000631E0000}"/>
    <cellStyle name="Normal 2 2 2 2 2 10" xfId="7178" xr:uid="{00000000-0005-0000-0000-0000641E0000}"/>
    <cellStyle name="Normal 2 2 2 2 2 10 2" xfId="48683" xr:uid="{00000000-0005-0000-0000-0000651E0000}"/>
    <cellStyle name="Normal 2 2 2 2 2 11" xfId="7179" xr:uid="{00000000-0005-0000-0000-0000661E0000}"/>
    <cellStyle name="Normal 2 2 2 2 2 11 2" xfId="48685" xr:uid="{00000000-0005-0000-0000-0000671E0000}"/>
    <cellStyle name="Normal 2 2 2 2 2 11 3" xfId="48686" xr:uid="{00000000-0005-0000-0000-0000681E0000}"/>
    <cellStyle name="Normal 2 2 2 2 2 11 4" xfId="48687" xr:uid="{00000000-0005-0000-0000-0000691E0000}"/>
    <cellStyle name="Normal 2 2 2 2 2 11 5" xfId="48688" xr:uid="{00000000-0005-0000-0000-00006A1E0000}"/>
    <cellStyle name="Normal 2 2 2 2 2 11 6" xfId="48689" xr:uid="{00000000-0005-0000-0000-00006B1E0000}"/>
    <cellStyle name="Normal 2 2 2 2 2 11 7" xfId="48690" xr:uid="{00000000-0005-0000-0000-00006C1E0000}"/>
    <cellStyle name="Normal 2 2 2 2 2 11 8" xfId="48684" xr:uid="{00000000-0005-0000-0000-00006D1E0000}"/>
    <cellStyle name="Normal 2 2 2 2 2 12" xfId="7180" xr:uid="{00000000-0005-0000-0000-00006E1E0000}"/>
    <cellStyle name="Normal 2 2 2 2 2 12 2" xfId="48691" xr:uid="{00000000-0005-0000-0000-00006F1E0000}"/>
    <cellStyle name="Normal 2 2 2 2 2 13" xfId="7181" xr:uid="{00000000-0005-0000-0000-0000701E0000}"/>
    <cellStyle name="Normal 2 2 2 2 2 13 2" xfId="48692" xr:uid="{00000000-0005-0000-0000-0000711E0000}"/>
    <cellStyle name="Normal 2 2 2 2 2 14" xfId="7182" xr:uid="{00000000-0005-0000-0000-0000721E0000}"/>
    <cellStyle name="Normal 2 2 2 2 2 14 2" xfId="48693" xr:uid="{00000000-0005-0000-0000-0000731E0000}"/>
    <cellStyle name="Normal 2 2 2 2 2 15" xfId="7183" xr:uid="{00000000-0005-0000-0000-0000741E0000}"/>
    <cellStyle name="Normal 2 2 2 2 2 15 2" xfId="48694" xr:uid="{00000000-0005-0000-0000-0000751E0000}"/>
    <cellStyle name="Normal 2 2 2 2 2 16" xfId="7184" xr:uid="{00000000-0005-0000-0000-0000761E0000}"/>
    <cellStyle name="Normal 2 2 2 2 2 16 2" xfId="48695" xr:uid="{00000000-0005-0000-0000-0000771E0000}"/>
    <cellStyle name="Normal 2 2 2 2 2 17" xfId="7185" xr:uid="{00000000-0005-0000-0000-0000781E0000}"/>
    <cellStyle name="Normal 2 2 2 2 2 17 2" xfId="48696" xr:uid="{00000000-0005-0000-0000-0000791E0000}"/>
    <cellStyle name="Normal 2 2 2 2 2 18" xfId="7186" xr:uid="{00000000-0005-0000-0000-00007A1E0000}"/>
    <cellStyle name="Normal 2 2 2 2 2 18 2" xfId="48697" xr:uid="{00000000-0005-0000-0000-00007B1E0000}"/>
    <cellStyle name="Normal 2 2 2 2 2 19" xfId="7187" xr:uid="{00000000-0005-0000-0000-00007C1E0000}"/>
    <cellStyle name="Normal 2 2 2 2 2 19 2" xfId="48698" xr:uid="{00000000-0005-0000-0000-00007D1E0000}"/>
    <cellStyle name="Normal 2 2 2 2 2 2" xfId="7188" xr:uid="{00000000-0005-0000-0000-00007E1E0000}"/>
    <cellStyle name="Normal 2 2 2 2 2 2 10" xfId="7189" xr:uid="{00000000-0005-0000-0000-00007F1E0000}"/>
    <cellStyle name="Normal 2 2 2 2 2 2 10 2" xfId="48701" xr:uid="{00000000-0005-0000-0000-0000801E0000}"/>
    <cellStyle name="Normal 2 2 2 2 2 2 10 3" xfId="48702" xr:uid="{00000000-0005-0000-0000-0000811E0000}"/>
    <cellStyle name="Normal 2 2 2 2 2 2 10 4" xfId="48703" xr:uid="{00000000-0005-0000-0000-0000821E0000}"/>
    <cellStyle name="Normal 2 2 2 2 2 2 10 5" xfId="48704" xr:uid="{00000000-0005-0000-0000-0000831E0000}"/>
    <cellStyle name="Normal 2 2 2 2 2 2 10 6" xfId="48705" xr:uid="{00000000-0005-0000-0000-0000841E0000}"/>
    <cellStyle name="Normal 2 2 2 2 2 2 10 7" xfId="48706" xr:uid="{00000000-0005-0000-0000-0000851E0000}"/>
    <cellStyle name="Normal 2 2 2 2 2 2 10 8" xfId="48700" xr:uid="{00000000-0005-0000-0000-0000861E0000}"/>
    <cellStyle name="Normal 2 2 2 2 2 2 11" xfId="7190" xr:uid="{00000000-0005-0000-0000-0000871E0000}"/>
    <cellStyle name="Normal 2 2 2 2 2 2 11 2" xfId="48707" xr:uid="{00000000-0005-0000-0000-0000881E0000}"/>
    <cellStyle name="Normal 2 2 2 2 2 2 12" xfId="7191" xr:uid="{00000000-0005-0000-0000-0000891E0000}"/>
    <cellStyle name="Normal 2 2 2 2 2 2 12 2" xfId="48708" xr:uid="{00000000-0005-0000-0000-00008A1E0000}"/>
    <cellStyle name="Normal 2 2 2 2 2 2 13" xfId="7192" xr:uid="{00000000-0005-0000-0000-00008B1E0000}"/>
    <cellStyle name="Normal 2 2 2 2 2 2 13 2" xfId="48709" xr:uid="{00000000-0005-0000-0000-00008C1E0000}"/>
    <cellStyle name="Normal 2 2 2 2 2 2 14" xfId="7193" xr:uid="{00000000-0005-0000-0000-00008D1E0000}"/>
    <cellStyle name="Normal 2 2 2 2 2 2 14 2" xfId="48710" xr:uid="{00000000-0005-0000-0000-00008E1E0000}"/>
    <cellStyle name="Normal 2 2 2 2 2 2 15" xfId="7194" xr:uid="{00000000-0005-0000-0000-00008F1E0000}"/>
    <cellStyle name="Normal 2 2 2 2 2 2 15 2" xfId="48711" xr:uid="{00000000-0005-0000-0000-0000901E0000}"/>
    <cellStyle name="Normal 2 2 2 2 2 2 16" xfId="7195" xr:uid="{00000000-0005-0000-0000-0000911E0000}"/>
    <cellStyle name="Normal 2 2 2 2 2 2 16 2" xfId="48712" xr:uid="{00000000-0005-0000-0000-0000921E0000}"/>
    <cellStyle name="Normal 2 2 2 2 2 2 17" xfId="7196" xr:uid="{00000000-0005-0000-0000-0000931E0000}"/>
    <cellStyle name="Normal 2 2 2 2 2 2 17 2" xfId="48713" xr:uid="{00000000-0005-0000-0000-0000941E0000}"/>
    <cellStyle name="Normal 2 2 2 2 2 2 18" xfId="7197" xr:uid="{00000000-0005-0000-0000-0000951E0000}"/>
    <cellStyle name="Normal 2 2 2 2 2 2 18 2" xfId="48714" xr:uid="{00000000-0005-0000-0000-0000961E0000}"/>
    <cellStyle name="Normal 2 2 2 2 2 2 19" xfId="7198" xr:uid="{00000000-0005-0000-0000-0000971E0000}"/>
    <cellStyle name="Normal 2 2 2 2 2 2 19 2" xfId="48715" xr:uid="{00000000-0005-0000-0000-0000981E0000}"/>
    <cellStyle name="Normal 2 2 2 2 2 2 2" xfId="7199" xr:uid="{00000000-0005-0000-0000-0000991E0000}"/>
    <cellStyle name="Normal 2 2 2 2 2 2 2 10" xfId="7200" xr:uid="{00000000-0005-0000-0000-00009A1E0000}"/>
    <cellStyle name="Normal 2 2 2 2 2 2 2 10 2" xfId="48718" xr:uid="{00000000-0005-0000-0000-00009B1E0000}"/>
    <cellStyle name="Normal 2 2 2 2 2 2 2 10 3" xfId="48719" xr:uid="{00000000-0005-0000-0000-00009C1E0000}"/>
    <cellStyle name="Normal 2 2 2 2 2 2 2 10 4" xfId="48720" xr:uid="{00000000-0005-0000-0000-00009D1E0000}"/>
    <cellStyle name="Normal 2 2 2 2 2 2 2 10 5" xfId="48721" xr:uid="{00000000-0005-0000-0000-00009E1E0000}"/>
    <cellStyle name="Normal 2 2 2 2 2 2 2 10 6" xfId="48722" xr:uid="{00000000-0005-0000-0000-00009F1E0000}"/>
    <cellStyle name="Normal 2 2 2 2 2 2 2 10 7" xfId="48723" xr:uid="{00000000-0005-0000-0000-0000A01E0000}"/>
    <cellStyle name="Normal 2 2 2 2 2 2 2 10 8" xfId="48717" xr:uid="{00000000-0005-0000-0000-0000A11E0000}"/>
    <cellStyle name="Normal 2 2 2 2 2 2 2 11" xfId="7201" xr:uid="{00000000-0005-0000-0000-0000A21E0000}"/>
    <cellStyle name="Normal 2 2 2 2 2 2 2 11 2" xfId="48724" xr:uid="{00000000-0005-0000-0000-0000A31E0000}"/>
    <cellStyle name="Normal 2 2 2 2 2 2 2 12" xfId="7202" xr:uid="{00000000-0005-0000-0000-0000A41E0000}"/>
    <cellStyle name="Normal 2 2 2 2 2 2 2 12 2" xfId="48725" xr:uid="{00000000-0005-0000-0000-0000A51E0000}"/>
    <cellStyle name="Normal 2 2 2 2 2 2 2 13" xfId="7203" xr:uid="{00000000-0005-0000-0000-0000A61E0000}"/>
    <cellStyle name="Normal 2 2 2 2 2 2 2 13 2" xfId="48726" xr:uid="{00000000-0005-0000-0000-0000A71E0000}"/>
    <cellStyle name="Normal 2 2 2 2 2 2 2 14" xfId="7204" xr:uid="{00000000-0005-0000-0000-0000A81E0000}"/>
    <cellStyle name="Normal 2 2 2 2 2 2 2 14 2" xfId="48727" xr:uid="{00000000-0005-0000-0000-0000A91E0000}"/>
    <cellStyle name="Normal 2 2 2 2 2 2 2 15" xfId="7205" xr:uid="{00000000-0005-0000-0000-0000AA1E0000}"/>
    <cellStyle name="Normal 2 2 2 2 2 2 2 15 2" xfId="48728" xr:uid="{00000000-0005-0000-0000-0000AB1E0000}"/>
    <cellStyle name="Normal 2 2 2 2 2 2 2 16" xfId="7206" xr:uid="{00000000-0005-0000-0000-0000AC1E0000}"/>
    <cellStyle name="Normal 2 2 2 2 2 2 2 16 2" xfId="48729" xr:uid="{00000000-0005-0000-0000-0000AD1E0000}"/>
    <cellStyle name="Normal 2 2 2 2 2 2 2 17" xfId="7207" xr:uid="{00000000-0005-0000-0000-0000AE1E0000}"/>
    <cellStyle name="Normal 2 2 2 2 2 2 2 17 2" xfId="48730" xr:uid="{00000000-0005-0000-0000-0000AF1E0000}"/>
    <cellStyle name="Normal 2 2 2 2 2 2 2 18" xfId="7208" xr:uid="{00000000-0005-0000-0000-0000B01E0000}"/>
    <cellStyle name="Normal 2 2 2 2 2 2 2 18 2" xfId="48731" xr:uid="{00000000-0005-0000-0000-0000B11E0000}"/>
    <cellStyle name="Normal 2 2 2 2 2 2 2 19" xfId="7209" xr:uid="{00000000-0005-0000-0000-0000B21E0000}"/>
    <cellStyle name="Normal 2 2 2 2 2 2 2 19 2" xfId="48732" xr:uid="{00000000-0005-0000-0000-0000B31E0000}"/>
    <cellStyle name="Normal 2 2 2 2 2 2 2 2" xfId="7210" xr:uid="{00000000-0005-0000-0000-0000B41E0000}"/>
    <cellStyle name="Normal 2 2 2 2 2 2 2 2 10" xfId="7211" xr:uid="{00000000-0005-0000-0000-0000B51E0000}"/>
    <cellStyle name="Normal 2 2 2 2 2 2 2 2 10 2" xfId="48734" xr:uid="{00000000-0005-0000-0000-0000B61E0000}"/>
    <cellStyle name="Normal 2 2 2 2 2 2 2 2 11" xfId="7212" xr:uid="{00000000-0005-0000-0000-0000B71E0000}"/>
    <cellStyle name="Normal 2 2 2 2 2 2 2 2 11 2" xfId="48735" xr:uid="{00000000-0005-0000-0000-0000B81E0000}"/>
    <cellStyle name="Normal 2 2 2 2 2 2 2 2 12" xfId="7213" xr:uid="{00000000-0005-0000-0000-0000B91E0000}"/>
    <cellStyle name="Normal 2 2 2 2 2 2 2 2 12 2" xfId="48736" xr:uid="{00000000-0005-0000-0000-0000BA1E0000}"/>
    <cellStyle name="Normal 2 2 2 2 2 2 2 2 13" xfId="7214" xr:uid="{00000000-0005-0000-0000-0000BB1E0000}"/>
    <cellStyle name="Normal 2 2 2 2 2 2 2 2 13 2" xfId="48737" xr:uid="{00000000-0005-0000-0000-0000BC1E0000}"/>
    <cellStyle name="Normal 2 2 2 2 2 2 2 2 14" xfId="7215" xr:uid="{00000000-0005-0000-0000-0000BD1E0000}"/>
    <cellStyle name="Normal 2 2 2 2 2 2 2 2 14 2" xfId="48738" xr:uid="{00000000-0005-0000-0000-0000BE1E0000}"/>
    <cellStyle name="Normal 2 2 2 2 2 2 2 2 15" xfId="7216" xr:uid="{00000000-0005-0000-0000-0000BF1E0000}"/>
    <cellStyle name="Normal 2 2 2 2 2 2 2 2 15 2" xfId="48739" xr:uid="{00000000-0005-0000-0000-0000C01E0000}"/>
    <cellStyle name="Normal 2 2 2 2 2 2 2 2 16" xfId="7217" xr:uid="{00000000-0005-0000-0000-0000C11E0000}"/>
    <cellStyle name="Normal 2 2 2 2 2 2 2 2 16 2" xfId="48740" xr:uid="{00000000-0005-0000-0000-0000C21E0000}"/>
    <cellStyle name="Normal 2 2 2 2 2 2 2 2 17" xfId="7218" xr:uid="{00000000-0005-0000-0000-0000C31E0000}"/>
    <cellStyle name="Normal 2 2 2 2 2 2 2 2 17 2" xfId="48741" xr:uid="{00000000-0005-0000-0000-0000C41E0000}"/>
    <cellStyle name="Normal 2 2 2 2 2 2 2 2 18" xfId="7219" xr:uid="{00000000-0005-0000-0000-0000C51E0000}"/>
    <cellStyle name="Normal 2 2 2 2 2 2 2 2 18 2" xfId="48742" xr:uid="{00000000-0005-0000-0000-0000C61E0000}"/>
    <cellStyle name="Normal 2 2 2 2 2 2 2 2 19" xfId="7220" xr:uid="{00000000-0005-0000-0000-0000C71E0000}"/>
    <cellStyle name="Normal 2 2 2 2 2 2 2 2 19 2" xfId="48743" xr:uid="{00000000-0005-0000-0000-0000C81E0000}"/>
    <cellStyle name="Normal 2 2 2 2 2 2 2 2 2" xfId="7221" xr:uid="{00000000-0005-0000-0000-0000C91E0000}"/>
    <cellStyle name="Normal 2 2 2 2 2 2 2 2 2 10" xfId="7222" xr:uid="{00000000-0005-0000-0000-0000CA1E0000}"/>
    <cellStyle name="Normal 2 2 2 2 2 2 2 2 2 10 2" xfId="48745" xr:uid="{00000000-0005-0000-0000-0000CB1E0000}"/>
    <cellStyle name="Normal 2 2 2 2 2 2 2 2 2 11" xfId="7223" xr:uid="{00000000-0005-0000-0000-0000CC1E0000}"/>
    <cellStyle name="Normal 2 2 2 2 2 2 2 2 2 11 2" xfId="48746" xr:uid="{00000000-0005-0000-0000-0000CD1E0000}"/>
    <cellStyle name="Normal 2 2 2 2 2 2 2 2 2 12" xfId="7224" xr:uid="{00000000-0005-0000-0000-0000CE1E0000}"/>
    <cellStyle name="Normal 2 2 2 2 2 2 2 2 2 12 2" xfId="48747" xr:uid="{00000000-0005-0000-0000-0000CF1E0000}"/>
    <cellStyle name="Normal 2 2 2 2 2 2 2 2 2 13" xfId="7225" xr:uid="{00000000-0005-0000-0000-0000D01E0000}"/>
    <cellStyle name="Normal 2 2 2 2 2 2 2 2 2 13 2" xfId="48748" xr:uid="{00000000-0005-0000-0000-0000D11E0000}"/>
    <cellStyle name="Normal 2 2 2 2 2 2 2 2 2 14" xfId="7226" xr:uid="{00000000-0005-0000-0000-0000D21E0000}"/>
    <cellStyle name="Normal 2 2 2 2 2 2 2 2 2 14 2" xfId="48749" xr:uid="{00000000-0005-0000-0000-0000D31E0000}"/>
    <cellStyle name="Normal 2 2 2 2 2 2 2 2 2 15" xfId="7227" xr:uid="{00000000-0005-0000-0000-0000D41E0000}"/>
    <cellStyle name="Normal 2 2 2 2 2 2 2 2 2 15 2" xfId="48750" xr:uid="{00000000-0005-0000-0000-0000D51E0000}"/>
    <cellStyle name="Normal 2 2 2 2 2 2 2 2 2 16" xfId="7228" xr:uid="{00000000-0005-0000-0000-0000D61E0000}"/>
    <cellStyle name="Normal 2 2 2 2 2 2 2 2 2 16 2" xfId="48751" xr:uid="{00000000-0005-0000-0000-0000D71E0000}"/>
    <cellStyle name="Normal 2 2 2 2 2 2 2 2 2 17" xfId="7229" xr:uid="{00000000-0005-0000-0000-0000D81E0000}"/>
    <cellStyle name="Normal 2 2 2 2 2 2 2 2 2 17 2" xfId="48752" xr:uid="{00000000-0005-0000-0000-0000D91E0000}"/>
    <cellStyle name="Normal 2 2 2 2 2 2 2 2 2 18" xfId="7230" xr:uid="{00000000-0005-0000-0000-0000DA1E0000}"/>
    <cellStyle name="Normal 2 2 2 2 2 2 2 2 2 18 2" xfId="48753" xr:uid="{00000000-0005-0000-0000-0000DB1E0000}"/>
    <cellStyle name="Normal 2 2 2 2 2 2 2 2 2 19" xfId="48754" xr:uid="{00000000-0005-0000-0000-0000DC1E0000}"/>
    <cellStyle name="Normal 2 2 2 2 2 2 2 2 2 2" xfId="7231" xr:uid="{00000000-0005-0000-0000-0000DD1E0000}"/>
    <cellStyle name="Normal 2 2 2 2 2 2 2 2 2 2 10" xfId="48756" xr:uid="{00000000-0005-0000-0000-0000DE1E0000}"/>
    <cellStyle name="Normal 2 2 2 2 2 2 2 2 2 2 11" xfId="48757" xr:uid="{00000000-0005-0000-0000-0000DF1E0000}"/>
    <cellStyle name="Normal 2 2 2 2 2 2 2 2 2 2 12" xfId="48758" xr:uid="{00000000-0005-0000-0000-0000E01E0000}"/>
    <cellStyle name="Normal 2 2 2 2 2 2 2 2 2 2 13" xfId="48759" xr:uid="{00000000-0005-0000-0000-0000E11E0000}"/>
    <cellStyle name="Normal 2 2 2 2 2 2 2 2 2 2 14" xfId="48760" xr:uid="{00000000-0005-0000-0000-0000E21E0000}"/>
    <cellStyle name="Normal 2 2 2 2 2 2 2 2 2 2 15" xfId="48761" xr:uid="{00000000-0005-0000-0000-0000E31E0000}"/>
    <cellStyle name="Normal 2 2 2 2 2 2 2 2 2 2 16" xfId="48762" xr:uid="{00000000-0005-0000-0000-0000E41E0000}"/>
    <cellStyle name="Normal 2 2 2 2 2 2 2 2 2 2 17" xfId="48763" xr:uid="{00000000-0005-0000-0000-0000E51E0000}"/>
    <cellStyle name="Normal 2 2 2 2 2 2 2 2 2 2 18" xfId="48764" xr:uid="{00000000-0005-0000-0000-0000E61E0000}"/>
    <cellStyle name="Normal 2 2 2 2 2 2 2 2 2 2 19" xfId="48755" xr:uid="{00000000-0005-0000-0000-0000E71E0000}"/>
    <cellStyle name="Normal 2 2 2 2 2 2 2 2 2 2 2" xfId="48765" xr:uid="{00000000-0005-0000-0000-0000E81E0000}"/>
    <cellStyle name="Normal 2 2 2 2 2 2 2 2 2 2 2 2" xfId="48766" xr:uid="{00000000-0005-0000-0000-0000E91E0000}"/>
    <cellStyle name="Normal 2 2 2 2 2 2 2 2 2 2 2 2 2" xfId="48767" xr:uid="{00000000-0005-0000-0000-0000EA1E0000}"/>
    <cellStyle name="Normal 2 2 2 2 2 2 2 2 2 2 2 2 3" xfId="48768" xr:uid="{00000000-0005-0000-0000-0000EB1E0000}"/>
    <cellStyle name="Normal 2 2 2 2 2 2 2 2 2 2 2 2 4" xfId="48769" xr:uid="{00000000-0005-0000-0000-0000EC1E0000}"/>
    <cellStyle name="Normal 2 2 2 2 2 2 2 2 2 2 2 2 5" xfId="48770" xr:uid="{00000000-0005-0000-0000-0000ED1E0000}"/>
    <cellStyle name="Normal 2 2 2 2 2 2 2 2 2 2 2 2 6" xfId="48771" xr:uid="{00000000-0005-0000-0000-0000EE1E0000}"/>
    <cellStyle name="Normal 2 2 2 2 2 2 2 2 2 2 2 2 7" xfId="48772" xr:uid="{00000000-0005-0000-0000-0000EF1E0000}"/>
    <cellStyle name="Normal 2 2 2 2 2 2 2 2 2 2 2 3" xfId="48773" xr:uid="{00000000-0005-0000-0000-0000F01E0000}"/>
    <cellStyle name="Normal 2 2 2 2 2 2 2 2 2 2 2 4" xfId="48774" xr:uid="{00000000-0005-0000-0000-0000F11E0000}"/>
    <cellStyle name="Normal 2 2 2 2 2 2 2 2 2 2 2 5" xfId="48775" xr:uid="{00000000-0005-0000-0000-0000F21E0000}"/>
    <cellStyle name="Normal 2 2 2 2 2 2 2 2 2 2 2 6" xfId="48776" xr:uid="{00000000-0005-0000-0000-0000F31E0000}"/>
    <cellStyle name="Normal 2 2 2 2 2 2 2 2 2 2 2 7" xfId="48777" xr:uid="{00000000-0005-0000-0000-0000F41E0000}"/>
    <cellStyle name="Normal 2 2 2 2 2 2 2 2 2 2 2 8" xfId="48778" xr:uid="{00000000-0005-0000-0000-0000F51E0000}"/>
    <cellStyle name="Normal 2 2 2 2 2 2 2 2 2 2 3" xfId="48779" xr:uid="{00000000-0005-0000-0000-0000F61E0000}"/>
    <cellStyle name="Normal 2 2 2 2 2 2 2 2 2 2 4" xfId="48780" xr:uid="{00000000-0005-0000-0000-0000F71E0000}"/>
    <cellStyle name="Normal 2 2 2 2 2 2 2 2 2 2 5" xfId="48781" xr:uid="{00000000-0005-0000-0000-0000F81E0000}"/>
    <cellStyle name="Normal 2 2 2 2 2 2 2 2 2 2 5 2" xfId="48782" xr:uid="{00000000-0005-0000-0000-0000F91E0000}"/>
    <cellStyle name="Normal 2 2 2 2 2 2 2 2 2 2 5 3" xfId="48783" xr:uid="{00000000-0005-0000-0000-0000FA1E0000}"/>
    <cellStyle name="Normal 2 2 2 2 2 2 2 2 2 2 5 4" xfId="48784" xr:uid="{00000000-0005-0000-0000-0000FB1E0000}"/>
    <cellStyle name="Normal 2 2 2 2 2 2 2 2 2 2 5 5" xfId="48785" xr:uid="{00000000-0005-0000-0000-0000FC1E0000}"/>
    <cellStyle name="Normal 2 2 2 2 2 2 2 2 2 2 5 6" xfId="48786" xr:uid="{00000000-0005-0000-0000-0000FD1E0000}"/>
    <cellStyle name="Normal 2 2 2 2 2 2 2 2 2 2 5 7" xfId="48787" xr:uid="{00000000-0005-0000-0000-0000FE1E0000}"/>
    <cellStyle name="Normal 2 2 2 2 2 2 2 2 2 2 6" xfId="48788" xr:uid="{00000000-0005-0000-0000-0000FF1E0000}"/>
    <cellStyle name="Normal 2 2 2 2 2 2 2 2 2 2 7" xfId="48789" xr:uid="{00000000-0005-0000-0000-0000001F0000}"/>
    <cellStyle name="Normal 2 2 2 2 2 2 2 2 2 2 8" xfId="48790" xr:uid="{00000000-0005-0000-0000-0000011F0000}"/>
    <cellStyle name="Normal 2 2 2 2 2 2 2 2 2 2 9" xfId="48791" xr:uid="{00000000-0005-0000-0000-0000021F0000}"/>
    <cellStyle name="Normal 2 2 2 2 2 2 2 2 2 20" xfId="48744" xr:uid="{00000000-0005-0000-0000-0000031F0000}"/>
    <cellStyle name="Normal 2 2 2 2 2 2 2 2 2 3" xfId="7232" xr:uid="{00000000-0005-0000-0000-0000041F0000}"/>
    <cellStyle name="Normal 2 2 2 2 2 2 2 2 2 3 2" xfId="48792" xr:uid="{00000000-0005-0000-0000-0000051F0000}"/>
    <cellStyle name="Normal 2 2 2 2 2 2 2 2 2 4" xfId="7233" xr:uid="{00000000-0005-0000-0000-0000061F0000}"/>
    <cellStyle name="Normal 2 2 2 2 2 2 2 2 2 4 2" xfId="48794" xr:uid="{00000000-0005-0000-0000-0000071F0000}"/>
    <cellStyle name="Normal 2 2 2 2 2 2 2 2 2 4 2 2" xfId="48795" xr:uid="{00000000-0005-0000-0000-0000081F0000}"/>
    <cellStyle name="Normal 2 2 2 2 2 2 2 2 2 4 2 3" xfId="48796" xr:uid="{00000000-0005-0000-0000-0000091F0000}"/>
    <cellStyle name="Normal 2 2 2 2 2 2 2 2 2 4 2 4" xfId="48797" xr:uid="{00000000-0005-0000-0000-00000A1F0000}"/>
    <cellStyle name="Normal 2 2 2 2 2 2 2 2 2 4 2 5" xfId="48798" xr:uid="{00000000-0005-0000-0000-00000B1F0000}"/>
    <cellStyle name="Normal 2 2 2 2 2 2 2 2 2 4 2 6" xfId="48799" xr:uid="{00000000-0005-0000-0000-00000C1F0000}"/>
    <cellStyle name="Normal 2 2 2 2 2 2 2 2 2 4 2 7" xfId="48800" xr:uid="{00000000-0005-0000-0000-00000D1F0000}"/>
    <cellStyle name="Normal 2 2 2 2 2 2 2 2 2 4 3" xfId="48801" xr:uid="{00000000-0005-0000-0000-00000E1F0000}"/>
    <cellStyle name="Normal 2 2 2 2 2 2 2 2 2 4 4" xfId="48802" xr:uid="{00000000-0005-0000-0000-00000F1F0000}"/>
    <cellStyle name="Normal 2 2 2 2 2 2 2 2 2 4 5" xfId="48803" xr:uid="{00000000-0005-0000-0000-0000101F0000}"/>
    <cellStyle name="Normal 2 2 2 2 2 2 2 2 2 4 6" xfId="48804" xr:uid="{00000000-0005-0000-0000-0000111F0000}"/>
    <cellStyle name="Normal 2 2 2 2 2 2 2 2 2 4 7" xfId="48805" xr:uid="{00000000-0005-0000-0000-0000121F0000}"/>
    <cellStyle name="Normal 2 2 2 2 2 2 2 2 2 4 8" xfId="48806" xr:uid="{00000000-0005-0000-0000-0000131F0000}"/>
    <cellStyle name="Normal 2 2 2 2 2 2 2 2 2 4 9" xfId="48793" xr:uid="{00000000-0005-0000-0000-0000141F0000}"/>
    <cellStyle name="Normal 2 2 2 2 2 2 2 2 2 5" xfId="7234" xr:uid="{00000000-0005-0000-0000-0000151F0000}"/>
    <cellStyle name="Normal 2 2 2 2 2 2 2 2 2 5 2" xfId="48807" xr:uid="{00000000-0005-0000-0000-0000161F0000}"/>
    <cellStyle name="Normal 2 2 2 2 2 2 2 2 2 6" xfId="7235" xr:uid="{00000000-0005-0000-0000-0000171F0000}"/>
    <cellStyle name="Normal 2 2 2 2 2 2 2 2 2 6 2" xfId="48809" xr:uid="{00000000-0005-0000-0000-0000181F0000}"/>
    <cellStyle name="Normal 2 2 2 2 2 2 2 2 2 6 3" xfId="48810" xr:uid="{00000000-0005-0000-0000-0000191F0000}"/>
    <cellStyle name="Normal 2 2 2 2 2 2 2 2 2 6 4" xfId="48811" xr:uid="{00000000-0005-0000-0000-00001A1F0000}"/>
    <cellStyle name="Normal 2 2 2 2 2 2 2 2 2 6 5" xfId="48812" xr:uid="{00000000-0005-0000-0000-00001B1F0000}"/>
    <cellStyle name="Normal 2 2 2 2 2 2 2 2 2 6 6" xfId="48813" xr:uid="{00000000-0005-0000-0000-00001C1F0000}"/>
    <cellStyle name="Normal 2 2 2 2 2 2 2 2 2 6 7" xfId="48814" xr:uid="{00000000-0005-0000-0000-00001D1F0000}"/>
    <cellStyle name="Normal 2 2 2 2 2 2 2 2 2 6 8" xfId="48808" xr:uid="{00000000-0005-0000-0000-00001E1F0000}"/>
    <cellStyle name="Normal 2 2 2 2 2 2 2 2 2 7" xfId="7236" xr:uid="{00000000-0005-0000-0000-00001F1F0000}"/>
    <cellStyle name="Normal 2 2 2 2 2 2 2 2 2 7 2" xfId="48815" xr:uid="{00000000-0005-0000-0000-0000201F0000}"/>
    <cellStyle name="Normal 2 2 2 2 2 2 2 2 2 8" xfId="7237" xr:uid="{00000000-0005-0000-0000-0000211F0000}"/>
    <cellStyle name="Normal 2 2 2 2 2 2 2 2 2 8 2" xfId="48816" xr:uid="{00000000-0005-0000-0000-0000221F0000}"/>
    <cellStyle name="Normal 2 2 2 2 2 2 2 2 2 9" xfId="7238" xr:uid="{00000000-0005-0000-0000-0000231F0000}"/>
    <cellStyle name="Normal 2 2 2 2 2 2 2 2 2 9 2" xfId="48817" xr:uid="{00000000-0005-0000-0000-0000241F0000}"/>
    <cellStyle name="Normal 2 2 2 2 2 2 2 2 2_Opex Input" xfId="48818" xr:uid="{00000000-0005-0000-0000-0000251F0000}"/>
    <cellStyle name="Normal 2 2 2 2 2 2 2 2 20" xfId="48819" xr:uid="{00000000-0005-0000-0000-0000261F0000}"/>
    <cellStyle name="Normal 2 2 2 2 2 2 2 2 21" xfId="48733" xr:uid="{00000000-0005-0000-0000-0000271F0000}"/>
    <cellStyle name="Normal 2 2 2 2 2 2 2 2 3" xfId="7239" xr:uid="{00000000-0005-0000-0000-0000281F0000}"/>
    <cellStyle name="Normal 2 2 2 2 2 2 2 2 3 2" xfId="48820" xr:uid="{00000000-0005-0000-0000-0000291F0000}"/>
    <cellStyle name="Normal 2 2 2 2 2 2 2 2 4" xfId="7240" xr:uid="{00000000-0005-0000-0000-00002A1F0000}"/>
    <cellStyle name="Normal 2 2 2 2 2 2 2 2 4 2" xfId="48821" xr:uid="{00000000-0005-0000-0000-00002B1F0000}"/>
    <cellStyle name="Normal 2 2 2 2 2 2 2 2 5" xfId="7241" xr:uid="{00000000-0005-0000-0000-00002C1F0000}"/>
    <cellStyle name="Normal 2 2 2 2 2 2 2 2 5 2" xfId="48823" xr:uid="{00000000-0005-0000-0000-00002D1F0000}"/>
    <cellStyle name="Normal 2 2 2 2 2 2 2 2 5 2 2" xfId="48824" xr:uid="{00000000-0005-0000-0000-00002E1F0000}"/>
    <cellStyle name="Normal 2 2 2 2 2 2 2 2 5 2 3" xfId="48825" xr:uid="{00000000-0005-0000-0000-00002F1F0000}"/>
    <cellStyle name="Normal 2 2 2 2 2 2 2 2 5 2 4" xfId="48826" xr:uid="{00000000-0005-0000-0000-0000301F0000}"/>
    <cellStyle name="Normal 2 2 2 2 2 2 2 2 5 2 5" xfId="48827" xr:uid="{00000000-0005-0000-0000-0000311F0000}"/>
    <cellStyle name="Normal 2 2 2 2 2 2 2 2 5 2 6" xfId="48828" xr:uid="{00000000-0005-0000-0000-0000321F0000}"/>
    <cellStyle name="Normal 2 2 2 2 2 2 2 2 5 2 7" xfId="48829" xr:uid="{00000000-0005-0000-0000-0000331F0000}"/>
    <cellStyle name="Normal 2 2 2 2 2 2 2 2 5 3" xfId="48830" xr:uid="{00000000-0005-0000-0000-0000341F0000}"/>
    <cellStyle name="Normal 2 2 2 2 2 2 2 2 5 4" xfId="48831" xr:uid="{00000000-0005-0000-0000-0000351F0000}"/>
    <cellStyle name="Normal 2 2 2 2 2 2 2 2 5 5" xfId="48832" xr:uid="{00000000-0005-0000-0000-0000361F0000}"/>
    <cellStyle name="Normal 2 2 2 2 2 2 2 2 5 6" xfId="48833" xr:uid="{00000000-0005-0000-0000-0000371F0000}"/>
    <cellStyle name="Normal 2 2 2 2 2 2 2 2 5 7" xfId="48834" xr:uid="{00000000-0005-0000-0000-0000381F0000}"/>
    <cellStyle name="Normal 2 2 2 2 2 2 2 2 5 8" xfId="48835" xr:uid="{00000000-0005-0000-0000-0000391F0000}"/>
    <cellStyle name="Normal 2 2 2 2 2 2 2 2 5 9" xfId="48822" xr:uid="{00000000-0005-0000-0000-00003A1F0000}"/>
    <cellStyle name="Normal 2 2 2 2 2 2 2 2 6" xfId="7242" xr:uid="{00000000-0005-0000-0000-00003B1F0000}"/>
    <cellStyle name="Normal 2 2 2 2 2 2 2 2 6 2" xfId="48836" xr:uid="{00000000-0005-0000-0000-00003C1F0000}"/>
    <cellStyle name="Normal 2 2 2 2 2 2 2 2 7" xfId="7243" xr:uid="{00000000-0005-0000-0000-00003D1F0000}"/>
    <cellStyle name="Normal 2 2 2 2 2 2 2 2 7 2" xfId="48838" xr:uid="{00000000-0005-0000-0000-00003E1F0000}"/>
    <cellStyle name="Normal 2 2 2 2 2 2 2 2 7 3" xfId="48839" xr:uid="{00000000-0005-0000-0000-00003F1F0000}"/>
    <cellStyle name="Normal 2 2 2 2 2 2 2 2 7 4" xfId="48840" xr:uid="{00000000-0005-0000-0000-0000401F0000}"/>
    <cellStyle name="Normal 2 2 2 2 2 2 2 2 7 5" xfId="48841" xr:uid="{00000000-0005-0000-0000-0000411F0000}"/>
    <cellStyle name="Normal 2 2 2 2 2 2 2 2 7 6" xfId="48842" xr:uid="{00000000-0005-0000-0000-0000421F0000}"/>
    <cellStyle name="Normal 2 2 2 2 2 2 2 2 7 7" xfId="48843" xr:uid="{00000000-0005-0000-0000-0000431F0000}"/>
    <cellStyle name="Normal 2 2 2 2 2 2 2 2 7 8" xfId="48837" xr:uid="{00000000-0005-0000-0000-0000441F0000}"/>
    <cellStyle name="Normal 2 2 2 2 2 2 2 2 8" xfId="7244" xr:uid="{00000000-0005-0000-0000-0000451F0000}"/>
    <cellStyle name="Normal 2 2 2 2 2 2 2 2 8 2" xfId="48844" xr:uid="{00000000-0005-0000-0000-0000461F0000}"/>
    <cellStyle name="Normal 2 2 2 2 2 2 2 2 9" xfId="7245" xr:uid="{00000000-0005-0000-0000-0000471F0000}"/>
    <cellStyle name="Normal 2 2 2 2 2 2 2 2 9 2" xfId="48845" xr:uid="{00000000-0005-0000-0000-0000481F0000}"/>
    <cellStyle name="Normal 2 2 2 2 2 2 2 2_ELEC SAP FCST UPLOAD" xfId="7246" xr:uid="{00000000-0005-0000-0000-0000491F0000}"/>
    <cellStyle name="Normal 2 2 2 2 2 2 2 20" xfId="7247" xr:uid="{00000000-0005-0000-0000-00004A1F0000}"/>
    <cellStyle name="Normal 2 2 2 2 2 2 2 20 2" xfId="48846" xr:uid="{00000000-0005-0000-0000-00004B1F0000}"/>
    <cellStyle name="Normal 2 2 2 2 2 2 2 21" xfId="7248" xr:uid="{00000000-0005-0000-0000-00004C1F0000}"/>
    <cellStyle name="Normal 2 2 2 2 2 2 2 21 2" xfId="48847" xr:uid="{00000000-0005-0000-0000-00004D1F0000}"/>
    <cellStyle name="Normal 2 2 2 2 2 2 2 22" xfId="7249" xr:uid="{00000000-0005-0000-0000-00004E1F0000}"/>
    <cellStyle name="Normal 2 2 2 2 2 2 2 22 2" xfId="48848" xr:uid="{00000000-0005-0000-0000-00004F1F0000}"/>
    <cellStyle name="Normal 2 2 2 2 2 2 2 23" xfId="48849" xr:uid="{00000000-0005-0000-0000-0000501F0000}"/>
    <cellStyle name="Normal 2 2 2 2 2 2 2 24" xfId="48716" xr:uid="{00000000-0005-0000-0000-0000511F0000}"/>
    <cellStyle name="Normal 2 2 2 2 2 2 2 3" xfId="7250" xr:uid="{00000000-0005-0000-0000-0000521F0000}"/>
    <cellStyle name="Normal 2 2 2 2 2 2 2 3 2" xfId="48850" xr:uid="{00000000-0005-0000-0000-0000531F0000}"/>
    <cellStyle name="Normal 2 2 2 2 2 2 2 4" xfId="7251" xr:uid="{00000000-0005-0000-0000-0000541F0000}"/>
    <cellStyle name="Normal 2 2 2 2 2 2 2 4 2" xfId="48851" xr:uid="{00000000-0005-0000-0000-0000551F0000}"/>
    <cellStyle name="Normal 2 2 2 2 2 2 2 5" xfId="7252" xr:uid="{00000000-0005-0000-0000-0000561F0000}"/>
    <cellStyle name="Normal 2 2 2 2 2 2 2 5 2" xfId="48852" xr:uid="{00000000-0005-0000-0000-0000571F0000}"/>
    <cellStyle name="Normal 2 2 2 2 2 2 2 6" xfId="7253" xr:uid="{00000000-0005-0000-0000-0000581F0000}"/>
    <cellStyle name="Normal 2 2 2 2 2 2 2 6 2" xfId="48853" xr:uid="{00000000-0005-0000-0000-0000591F0000}"/>
    <cellStyle name="Normal 2 2 2 2 2 2 2 7" xfId="7254" xr:uid="{00000000-0005-0000-0000-00005A1F0000}"/>
    <cellStyle name="Normal 2 2 2 2 2 2 2 7 2" xfId="48854" xr:uid="{00000000-0005-0000-0000-00005B1F0000}"/>
    <cellStyle name="Normal 2 2 2 2 2 2 2 8" xfId="7255" xr:uid="{00000000-0005-0000-0000-00005C1F0000}"/>
    <cellStyle name="Normal 2 2 2 2 2 2 2 8 2" xfId="48856" xr:uid="{00000000-0005-0000-0000-00005D1F0000}"/>
    <cellStyle name="Normal 2 2 2 2 2 2 2 8 2 2" xfId="48857" xr:uid="{00000000-0005-0000-0000-00005E1F0000}"/>
    <cellStyle name="Normal 2 2 2 2 2 2 2 8 2 3" xfId="48858" xr:uid="{00000000-0005-0000-0000-00005F1F0000}"/>
    <cellStyle name="Normal 2 2 2 2 2 2 2 8 2 4" xfId="48859" xr:uid="{00000000-0005-0000-0000-0000601F0000}"/>
    <cellStyle name="Normal 2 2 2 2 2 2 2 8 2 5" xfId="48860" xr:uid="{00000000-0005-0000-0000-0000611F0000}"/>
    <cellStyle name="Normal 2 2 2 2 2 2 2 8 2 6" xfId="48861" xr:uid="{00000000-0005-0000-0000-0000621F0000}"/>
    <cellStyle name="Normal 2 2 2 2 2 2 2 8 2 7" xfId="48862" xr:uid="{00000000-0005-0000-0000-0000631F0000}"/>
    <cellStyle name="Normal 2 2 2 2 2 2 2 8 3" xfId="48863" xr:uid="{00000000-0005-0000-0000-0000641F0000}"/>
    <cellStyle name="Normal 2 2 2 2 2 2 2 8 4" xfId="48864" xr:uid="{00000000-0005-0000-0000-0000651F0000}"/>
    <cellStyle name="Normal 2 2 2 2 2 2 2 8 5" xfId="48865" xr:uid="{00000000-0005-0000-0000-0000661F0000}"/>
    <cellStyle name="Normal 2 2 2 2 2 2 2 8 6" xfId="48866" xr:uid="{00000000-0005-0000-0000-0000671F0000}"/>
    <cellStyle name="Normal 2 2 2 2 2 2 2 8 7" xfId="48867" xr:uid="{00000000-0005-0000-0000-0000681F0000}"/>
    <cellStyle name="Normal 2 2 2 2 2 2 2 8 8" xfId="48868" xr:uid="{00000000-0005-0000-0000-0000691F0000}"/>
    <cellStyle name="Normal 2 2 2 2 2 2 2 8 9" xfId="48855" xr:uid="{00000000-0005-0000-0000-00006A1F0000}"/>
    <cellStyle name="Normal 2 2 2 2 2 2 2 9" xfId="7256" xr:uid="{00000000-0005-0000-0000-00006B1F0000}"/>
    <cellStyle name="Normal 2 2 2 2 2 2 2 9 2" xfId="48869" xr:uid="{00000000-0005-0000-0000-00006C1F0000}"/>
    <cellStyle name="Normal 2 2 2 2 2 2 2_ELEC SAP FCST UPLOAD" xfId="7257" xr:uid="{00000000-0005-0000-0000-00006D1F0000}"/>
    <cellStyle name="Normal 2 2 2 2 2 2 20" xfId="7258" xr:uid="{00000000-0005-0000-0000-00006E1F0000}"/>
    <cellStyle name="Normal 2 2 2 2 2 2 20 2" xfId="48870" xr:uid="{00000000-0005-0000-0000-00006F1F0000}"/>
    <cellStyle name="Normal 2 2 2 2 2 2 21" xfId="7259" xr:uid="{00000000-0005-0000-0000-0000701F0000}"/>
    <cellStyle name="Normal 2 2 2 2 2 2 21 2" xfId="48871" xr:uid="{00000000-0005-0000-0000-0000711F0000}"/>
    <cellStyle name="Normal 2 2 2 2 2 2 22" xfId="7260" xr:uid="{00000000-0005-0000-0000-0000721F0000}"/>
    <cellStyle name="Normal 2 2 2 2 2 2 22 2" xfId="48872" xr:uid="{00000000-0005-0000-0000-0000731F0000}"/>
    <cellStyle name="Normal 2 2 2 2 2 2 23" xfId="48873" xr:uid="{00000000-0005-0000-0000-0000741F0000}"/>
    <cellStyle name="Normal 2 2 2 2 2 2 24" xfId="48699" xr:uid="{00000000-0005-0000-0000-0000751F0000}"/>
    <cellStyle name="Normal 2 2 2 2 2 2 3" xfId="7261" xr:uid="{00000000-0005-0000-0000-0000761F0000}"/>
    <cellStyle name="Normal 2 2 2 2 2 2 3 2" xfId="7262" xr:uid="{00000000-0005-0000-0000-0000771F0000}"/>
    <cellStyle name="Normal 2 2 2 2 2 2 3 2 2" xfId="48875" xr:uid="{00000000-0005-0000-0000-0000781F0000}"/>
    <cellStyle name="Normal 2 2 2 2 2 2 3 3" xfId="7263" xr:uid="{00000000-0005-0000-0000-0000791F0000}"/>
    <cellStyle name="Normal 2 2 2 2 2 2 3 3 2" xfId="48876" xr:uid="{00000000-0005-0000-0000-00007A1F0000}"/>
    <cellStyle name="Normal 2 2 2 2 2 2 3 4" xfId="48874" xr:uid="{00000000-0005-0000-0000-00007B1F0000}"/>
    <cellStyle name="Normal 2 2 2 2 2 2 3_ELEC SAP FCST UPLOAD" xfId="7264" xr:uid="{00000000-0005-0000-0000-00007C1F0000}"/>
    <cellStyle name="Normal 2 2 2 2 2 2 4" xfId="7265" xr:uid="{00000000-0005-0000-0000-00007D1F0000}"/>
    <cellStyle name="Normal 2 2 2 2 2 2 4 2" xfId="48877" xr:uid="{00000000-0005-0000-0000-00007E1F0000}"/>
    <cellStyle name="Normal 2 2 2 2 2 2 5" xfId="7266" xr:uid="{00000000-0005-0000-0000-00007F1F0000}"/>
    <cellStyle name="Normal 2 2 2 2 2 2 5 2" xfId="48878" xr:uid="{00000000-0005-0000-0000-0000801F0000}"/>
    <cellStyle name="Normal 2 2 2 2 2 2 6" xfId="7267" xr:uid="{00000000-0005-0000-0000-0000811F0000}"/>
    <cellStyle name="Normal 2 2 2 2 2 2 6 2" xfId="48879" xr:uid="{00000000-0005-0000-0000-0000821F0000}"/>
    <cellStyle name="Normal 2 2 2 2 2 2 7" xfId="7268" xr:uid="{00000000-0005-0000-0000-0000831F0000}"/>
    <cellStyle name="Normal 2 2 2 2 2 2 7 2" xfId="48880" xr:uid="{00000000-0005-0000-0000-0000841F0000}"/>
    <cellStyle name="Normal 2 2 2 2 2 2 8" xfId="7269" xr:uid="{00000000-0005-0000-0000-0000851F0000}"/>
    <cellStyle name="Normal 2 2 2 2 2 2 8 2" xfId="48882" xr:uid="{00000000-0005-0000-0000-0000861F0000}"/>
    <cellStyle name="Normal 2 2 2 2 2 2 8 2 2" xfId="48883" xr:uid="{00000000-0005-0000-0000-0000871F0000}"/>
    <cellStyle name="Normal 2 2 2 2 2 2 8 2 3" xfId="48884" xr:uid="{00000000-0005-0000-0000-0000881F0000}"/>
    <cellStyle name="Normal 2 2 2 2 2 2 8 2 4" xfId="48885" xr:uid="{00000000-0005-0000-0000-0000891F0000}"/>
    <cellStyle name="Normal 2 2 2 2 2 2 8 2 5" xfId="48886" xr:uid="{00000000-0005-0000-0000-00008A1F0000}"/>
    <cellStyle name="Normal 2 2 2 2 2 2 8 2 6" xfId="48887" xr:uid="{00000000-0005-0000-0000-00008B1F0000}"/>
    <cellStyle name="Normal 2 2 2 2 2 2 8 2 7" xfId="48888" xr:uid="{00000000-0005-0000-0000-00008C1F0000}"/>
    <cellStyle name="Normal 2 2 2 2 2 2 8 3" xfId="48889" xr:uid="{00000000-0005-0000-0000-00008D1F0000}"/>
    <cellStyle name="Normal 2 2 2 2 2 2 8 4" xfId="48890" xr:uid="{00000000-0005-0000-0000-00008E1F0000}"/>
    <cellStyle name="Normal 2 2 2 2 2 2 8 5" xfId="48891" xr:uid="{00000000-0005-0000-0000-00008F1F0000}"/>
    <cellStyle name="Normal 2 2 2 2 2 2 8 6" xfId="48892" xr:uid="{00000000-0005-0000-0000-0000901F0000}"/>
    <cellStyle name="Normal 2 2 2 2 2 2 8 7" xfId="48893" xr:uid="{00000000-0005-0000-0000-0000911F0000}"/>
    <cellStyle name="Normal 2 2 2 2 2 2 8 8" xfId="48894" xr:uid="{00000000-0005-0000-0000-0000921F0000}"/>
    <cellStyle name="Normal 2 2 2 2 2 2 8 9" xfId="48881" xr:uid="{00000000-0005-0000-0000-0000931F0000}"/>
    <cellStyle name="Normal 2 2 2 2 2 2 9" xfId="7270" xr:uid="{00000000-0005-0000-0000-0000941F0000}"/>
    <cellStyle name="Normal 2 2 2 2 2 2 9 2" xfId="48895" xr:uid="{00000000-0005-0000-0000-0000951F0000}"/>
    <cellStyle name="Normal 2 2 2 2 2 2_ELEC SAP FCST UPLOAD" xfId="7271" xr:uid="{00000000-0005-0000-0000-0000961F0000}"/>
    <cellStyle name="Normal 2 2 2 2 2 20" xfId="7272" xr:uid="{00000000-0005-0000-0000-0000971F0000}"/>
    <cellStyle name="Normal 2 2 2 2 2 20 2" xfId="48896" xr:uid="{00000000-0005-0000-0000-0000981F0000}"/>
    <cellStyle name="Normal 2 2 2 2 2 21" xfId="7273" xr:uid="{00000000-0005-0000-0000-0000991F0000}"/>
    <cellStyle name="Normal 2 2 2 2 2 21 2" xfId="48897" xr:uid="{00000000-0005-0000-0000-00009A1F0000}"/>
    <cellStyle name="Normal 2 2 2 2 2 22" xfId="7274" xr:uid="{00000000-0005-0000-0000-00009B1F0000}"/>
    <cellStyle name="Normal 2 2 2 2 2 22 2" xfId="48898" xr:uid="{00000000-0005-0000-0000-00009C1F0000}"/>
    <cellStyle name="Normal 2 2 2 2 2 23" xfId="7275" xr:uid="{00000000-0005-0000-0000-00009D1F0000}"/>
    <cellStyle name="Normal 2 2 2 2 2 23 2" xfId="48899" xr:uid="{00000000-0005-0000-0000-00009E1F0000}"/>
    <cellStyle name="Normal 2 2 2 2 2 24" xfId="48900" xr:uid="{00000000-0005-0000-0000-00009F1F0000}"/>
    <cellStyle name="Normal 2 2 2 2 2 25" xfId="48682" xr:uid="{00000000-0005-0000-0000-0000A01F0000}"/>
    <cellStyle name="Normal 2 2 2 2 2 3" xfId="7276" xr:uid="{00000000-0005-0000-0000-0000A11F0000}"/>
    <cellStyle name="Normal 2 2 2 2 2 3 2" xfId="7277" xr:uid="{00000000-0005-0000-0000-0000A21F0000}"/>
    <cellStyle name="Normal 2 2 2 2 2 3 2 2" xfId="48902" xr:uid="{00000000-0005-0000-0000-0000A31F0000}"/>
    <cellStyle name="Normal 2 2 2 2 2 3 3" xfId="7278" xr:uid="{00000000-0005-0000-0000-0000A41F0000}"/>
    <cellStyle name="Normal 2 2 2 2 2 3 3 2" xfId="48903" xr:uid="{00000000-0005-0000-0000-0000A51F0000}"/>
    <cellStyle name="Normal 2 2 2 2 2 3 4" xfId="48901" xr:uid="{00000000-0005-0000-0000-0000A61F0000}"/>
    <cellStyle name="Normal 2 2 2 2 2 3_ELEC SAP FCST UPLOAD" xfId="7279" xr:uid="{00000000-0005-0000-0000-0000A71F0000}"/>
    <cellStyle name="Normal 2 2 2 2 2 4" xfId="7280" xr:uid="{00000000-0005-0000-0000-0000A81F0000}"/>
    <cellStyle name="Normal 2 2 2 2 2 4 2" xfId="48904" xr:uid="{00000000-0005-0000-0000-0000A91F0000}"/>
    <cellStyle name="Normal 2 2 2 2 2 5" xfId="7281" xr:uid="{00000000-0005-0000-0000-0000AA1F0000}"/>
    <cellStyle name="Normal 2 2 2 2 2 5 2" xfId="48905" xr:uid="{00000000-0005-0000-0000-0000AB1F0000}"/>
    <cellStyle name="Normal 2 2 2 2 2 6" xfId="7282" xr:uid="{00000000-0005-0000-0000-0000AC1F0000}"/>
    <cellStyle name="Normal 2 2 2 2 2 6 2" xfId="48906" xr:uid="{00000000-0005-0000-0000-0000AD1F0000}"/>
    <cellStyle name="Normal 2 2 2 2 2 7" xfId="7283" xr:uid="{00000000-0005-0000-0000-0000AE1F0000}"/>
    <cellStyle name="Normal 2 2 2 2 2 7 2" xfId="48907" xr:uid="{00000000-0005-0000-0000-0000AF1F0000}"/>
    <cellStyle name="Normal 2 2 2 2 2 8" xfId="7284" xr:uid="{00000000-0005-0000-0000-0000B01F0000}"/>
    <cellStyle name="Normal 2 2 2 2 2 8 2" xfId="48908" xr:uid="{00000000-0005-0000-0000-0000B11F0000}"/>
    <cellStyle name="Normal 2 2 2 2 2 9" xfId="7285" xr:uid="{00000000-0005-0000-0000-0000B21F0000}"/>
    <cellStyle name="Normal 2 2 2 2 2 9 2" xfId="48910" xr:uid="{00000000-0005-0000-0000-0000B31F0000}"/>
    <cellStyle name="Normal 2 2 2 2 2 9 2 2" xfId="48911" xr:uid="{00000000-0005-0000-0000-0000B41F0000}"/>
    <cellStyle name="Normal 2 2 2 2 2 9 2 3" xfId="48912" xr:uid="{00000000-0005-0000-0000-0000B51F0000}"/>
    <cellStyle name="Normal 2 2 2 2 2 9 2 4" xfId="48913" xr:uid="{00000000-0005-0000-0000-0000B61F0000}"/>
    <cellStyle name="Normal 2 2 2 2 2 9 2 5" xfId="48914" xr:uid="{00000000-0005-0000-0000-0000B71F0000}"/>
    <cellStyle name="Normal 2 2 2 2 2 9 2 6" xfId="48915" xr:uid="{00000000-0005-0000-0000-0000B81F0000}"/>
    <cellStyle name="Normal 2 2 2 2 2 9 2 7" xfId="48916" xr:uid="{00000000-0005-0000-0000-0000B91F0000}"/>
    <cellStyle name="Normal 2 2 2 2 2 9 3" xfId="48917" xr:uid="{00000000-0005-0000-0000-0000BA1F0000}"/>
    <cellStyle name="Normal 2 2 2 2 2 9 4" xfId="48918" xr:uid="{00000000-0005-0000-0000-0000BB1F0000}"/>
    <cellStyle name="Normal 2 2 2 2 2 9 5" xfId="48919" xr:uid="{00000000-0005-0000-0000-0000BC1F0000}"/>
    <cellStyle name="Normal 2 2 2 2 2 9 6" xfId="48920" xr:uid="{00000000-0005-0000-0000-0000BD1F0000}"/>
    <cellStyle name="Normal 2 2 2 2 2 9 7" xfId="48921" xr:uid="{00000000-0005-0000-0000-0000BE1F0000}"/>
    <cellStyle name="Normal 2 2 2 2 2 9 8" xfId="48922" xr:uid="{00000000-0005-0000-0000-0000BF1F0000}"/>
    <cellStyle name="Normal 2 2 2 2 2 9 9" xfId="48909" xr:uid="{00000000-0005-0000-0000-0000C01F0000}"/>
    <cellStyle name="Normal 2 2 2 2 2_ELEC SAP FCST UPLOAD" xfId="7286" xr:uid="{00000000-0005-0000-0000-0000C11F0000}"/>
    <cellStyle name="Normal 2 2 2 2 20" xfId="7287" xr:uid="{00000000-0005-0000-0000-0000C21F0000}"/>
    <cellStyle name="Normal 2 2 2 2 20 2" xfId="48923" xr:uid="{00000000-0005-0000-0000-0000C31F0000}"/>
    <cellStyle name="Normal 2 2 2 2 21" xfId="7288" xr:uid="{00000000-0005-0000-0000-0000C41F0000}"/>
    <cellStyle name="Normal 2 2 2 2 21 2" xfId="48924" xr:uid="{00000000-0005-0000-0000-0000C51F0000}"/>
    <cellStyle name="Normal 2 2 2 2 22" xfId="7289" xr:uid="{00000000-0005-0000-0000-0000C61F0000}"/>
    <cellStyle name="Normal 2 2 2 2 22 2" xfId="48925" xr:uid="{00000000-0005-0000-0000-0000C71F0000}"/>
    <cellStyle name="Normal 2 2 2 2 23" xfId="7290" xr:uid="{00000000-0005-0000-0000-0000C81F0000}"/>
    <cellStyle name="Normal 2 2 2 2 23 2" xfId="48926" xr:uid="{00000000-0005-0000-0000-0000C91F0000}"/>
    <cellStyle name="Normal 2 2 2 2 24" xfId="7291" xr:uid="{00000000-0005-0000-0000-0000CA1F0000}"/>
    <cellStyle name="Normal 2 2 2 2 24 2" xfId="48927"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30" xr:uid="{00000000-0005-0000-0000-0000D41F0000}"/>
    <cellStyle name="Normal 2 2 2 2 3 2 3" xfId="7300" xr:uid="{00000000-0005-0000-0000-0000D51F0000}"/>
    <cellStyle name="Normal 2 2 2 2 3 2 3 2" xfId="48931" xr:uid="{00000000-0005-0000-0000-0000D61F0000}"/>
    <cellStyle name="Normal 2 2 2 2 3 2 4" xfId="48929" xr:uid="{00000000-0005-0000-0000-0000D71F0000}"/>
    <cellStyle name="Normal 2 2 2 2 3 2_ELEC SAP FCST UPLOAD" xfId="7301" xr:uid="{00000000-0005-0000-0000-0000D81F0000}"/>
    <cellStyle name="Normal 2 2 2 2 3 3" xfId="7302" xr:uid="{00000000-0005-0000-0000-0000D91F0000}"/>
    <cellStyle name="Normal 2 2 2 2 3 3 2" xfId="48932" xr:uid="{00000000-0005-0000-0000-0000DA1F0000}"/>
    <cellStyle name="Normal 2 2 2 2 3 4" xfId="7303" xr:uid="{00000000-0005-0000-0000-0000DB1F0000}"/>
    <cellStyle name="Normal 2 2 2 2 3 4 2" xfId="48933" xr:uid="{00000000-0005-0000-0000-0000DC1F0000}"/>
    <cellStyle name="Normal 2 2 2 2 3 5" xfId="7304" xr:uid="{00000000-0005-0000-0000-0000DD1F0000}"/>
    <cellStyle name="Normal 2 2 2 2 3 5 2" xfId="48934" xr:uid="{00000000-0005-0000-0000-0000DE1F0000}"/>
    <cellStyle name="Normal 2 2 2 2 3 6" xfId="7305" xr:uid="{00000000-0005-0000-0000-0000DF1F0000}"/>
    <cellStyle name="Normal 2 2 2 2 3 6 2" xfId="48935" xr:uid="{00000000-0005-0000-0000-0000E01F0000}"/>
    <cellStyle name="Normal 2 2 2 2 3 7" xfId="48928"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7" xr:uid="{00000000-0005-0000-0000-0000EF1F0000}"/>
    <cellStyle name="Normal 2 2 2 2 4 3" xfId="7319" xr:uid="{00000000-0005-0000-0000-0000F01F0000}"/>
    <cellStyle name="Normal 2 2 2 2 4 3 2" xfId="48938" xr:uid="{00000000-0005-0000-0000-0000F11F0000}"/>
    <cellStyle name="Normal 2 2 2 2 4 4" xfId="48936"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9"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40"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41"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42"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5" xr:uid="{00000000-0005-0000-0000-000039200000}"/>
    <cellStyle name="Normal 2 2 2 2 9" xfId="7386" xr:uid="{00000000-0005-0000-0000-00003A200000}"/>
    <cellStyle name="Normal 2 2 2 2 9 2" xfId="48944" xr:uid="{00000000-0005-0000-0000-00003B200000}"/>
    <cellStyle name="Normal 2 2 2 2 9 2 2" xfId="48945" xr:uid="{00000000-0005-0000-0000-00003C200000}"/>
    <cellStyle name="Normal 2 2 2 2 9 2 3" xfId="48946" xr:uid="{00000000-0005-0000-0000-00003D200000}"/>
    <cellStyle name="Normal 2 2 2 2 9 2 4" xfId="48947" xr:uid="{00000000-0005-0000-0000-00003E200000}"/>
    <cellStyle name="Normal 2 2 2 2 9 2 5" xfId="48948" xr:uid="{00000000-0005-0000-0000-00003F200000}"/>
    <cellStyle name="Normal 2 2 2 2 9 2 6" xfId="48949" xr:uid="{00000000-0005-0000-0000-000040200000}"/>
    <cellStyle name="Normal 2 2 2 2 9 2 7" xfId="48950" xr:uid="{00000000-0005-0000-0000-000041200000}"/>
    <cellStyle name="Normal 2 2 2 2 9 3" xfId="48951" xr:uid="{00000000-0005-0000-0000-000042200000}"/>
    <cellStyle name="Normal 2 2 2 2 9 4" xfId="48952" xr:uid="{00000000-0005-0000-0000-000043200000}"/>
    <cellStyle name="Normal 2 2 2 2 9 5" xfId="48953" xr:uid="{00000000-0005-0000-0000-000044200000}"/>
    <cellStyle name="Normal 2 2 2 2 9 6" xfId="48954" xr:uid="{00000000-0005-0000-0000-000045200000}"/>
    <cellStyle name="Normal 2 2 2 2 9 7" xfId="48955" xr:uid="{00000000-0005-0000-0000-000046200000}"/>
    <cellStyle name="Normal 2 2 2 2 9 8" xfId="48956" xr:uid="{00000000-0005-0000-0000-000047200000}"/>
    <cellStyle name="Normal 2 2 2 2 9 9" xfId="48943" xr:uid="{00000000-0005-0000-0000-000048200000}"/>
    <cellStyle name="Normal 2 2 2 2_ELEC SAP FCST UPLOAD" xfId="7387" xr:uid="{00000000-0005-0000-0000-000049200000}"/>
    <cellStyle name="Normal 2 2 2 20" xfId="7388" xr:uid="{00000000-0005-0000-0000-00004A200000}"/>
    <cellStyle name="Normal 2 2 2 20 2" xfId="48957" xr:uid="{00000000-0005-0000-0000-00004B200000}"/>
    <cellStyle name="Normal 2 2 2 21" xfId="7389" xr:uid="{00000000-0005-0000-0000-00004C200000}"/>
    <cellStyle name="Normal 2 2 2 21 2" xfId="48958" xr:uid="{00000000-0005-0000-0000-00004D200000}"/>
    <cellStyle name="Normal 2 2 2 22" xfId="7390" xr:uid="{00000000-0005-0000-0000-00004E200000}"/>
    <cellStyle name="Normal 2 2 2 22 2" xfId="48959" xr:uid="{00000000-0005-0000-0000-00004F200000}"/>
    <cellStyle name="Normal 2 2 2 23" xfId="7391" xr:uid="{00000000-0005-0000-0000-000050200000}"/>
    <cellStyle name="Normal 2 2 2 23 2" xfId="48960" xr:uid="{00000000-0005-0000-0000-000051200000}"/>
    <cellStyle name="Normal 2 2 2 24" xfId="7392" xr:uid="{00000000-0005-0000-0000-000052200000}"/>
    <cellStyle name="Normal 2 2 2 24 2" xfId="48961" xr:uid="{00000000-0005-0000-0000-000053200000}"/>
    <cellStyle name="Normal 2 2 2 25" xfId="7393" xr:uid="{00000000-0005-0000-0000-000054200000}"/>
    <cellStyle name="Normal 2 2 2 25 2" xfId="48962" xr:uid="{00000000-0005-0000-0000-000055200000}"/>
    <cellStyle name="Normal 2 2 2 26" xfId="7394" xr:uid="{00000000-0005-0000-0000-000056200000}"/>
    <cellStyle name="Normal 2 2 2 26 2" xfId="48963"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4"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8" xr:uid="{00000000-0005-0000-0000-00006B200000}"/>
    <cellStyle name="Normal 2 2 2 4 2 2 3" xfId="7413" xr:uid="{00000000-0005-0000-0000-00006C200000}"/>
    <cellStyle name="Normal 2 2 2 4 2 2 3 2" xfId="48969" xr:uid="{00000000-0005-0000-0000-00006D200000}"/>
    <cellStyle name="Normal 2 2 2 4 2 2 4" xfId="48967" xr:uid="{00000000-0005-0000-0000-00006E200000}"/>
    <cellStyle name="Normal 2 2 2 4 2 2_ELEC SAP FCST UPLOAD" xfId="7414" xr:uid="{00000000-0005-0000-0000-00006F200000}"/>
    <cellStyle name="Normal 2 2 2 4 2 3" xfId="7415" xr:uid="{00000000-0005-0000-0000-000070200000}"/>
    <cellStyle name="Normal 2 2 2 4 2 3 2" xfId="48970" xr:uid="{00000000-0005-0000-0000-000071200000}"/>
    <cellStyle name="Normal 2 2 2 4 2 4" xfId="7416" xr:uid="{00000000-0005-0000-0000-000072200000}"/>
    <cellStyle name="Normal 2 2 2 4 2 4 2" xfId="48971" xr:uid="{00000000-0005-0000-0000-000073200000}"/>
    <cellStyle name="Normal 2 2 2 4 2 5" xfId="7417" xr:uid="{00000000-0005-0000-0000-000074200000}"/>
    <cellStyle name="Normal 2 2 2 4 2 5 2" xfId="48972" xr:uid="{00000000-0005-0000-0000-000075200000}"/>
    <cellStyle name="Normal 2 2 2 4 2 6" xfId="7418" xr:uid="{00000000-0005-0000-0000-000076200000}"/>
    <cellStyle name="Normal 2 2 2 4 2 6 2" xfId="48973" xr:uid="{00000000-0005-0000-0000-000077200000}"/>
    <cellStyle name="Normal 2 2 2 4 2 7" xfId="48966"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5" xr:uid="{00000000-0005-0000-0000-00007C200000}"/>
    <cellStyle name="Normal 2 2 2 4 3 3" xfId="7422" xr:uid="{00000000-0005-0000-0000-00007D200000}"/>
    <cellStyle name="Normal 2 2 2 4 3 3 2" xfId="48976" xr:uid="{00000000-0005-0000-0000-00007E200000}"/>
    <cellStyle name="Normal 2 2 2 4 3 4" xfId="48974" xr:uid="{00000000-0005-0000-0000-00007F200000}"/>
    <cellStyle name="Normal 2 2 2 4 3_ELEC SAP FCST UPLOAD" xfId="7423" xr:uid="{00000000-0005-0000-0000-000080200000}"/>
    <cellStyle name="Normal 2 2 2 4 4" xfId="7424" xr:uid="{00000000-0005-0000-0000-000081200000}"/>
    <cellStyle name="Normal 2 2 2 4 4 2" xfId="48977" xr:uid="{00000000-0005-0000-0000-000082200000}"/>
    <cellStyle name="Normal 2 2 2 4 5" xfId="7425" xr:uid="{00000000-0005-0000-0000-000083200000}"/>
    <cellStyle name="Normal 2 2 2 4 5 2" xfId="48978" xr:uid="{00000000-0005-0000-0000-000084200000}"/>
    <cellStyle name="Normal 2 2 2 4 6" xfId="7426" xr:uid="{00000000-0005-0000-0000-000085200000}"/>
    <cellStyle name="Normal 2 2 2 4 6 2" xfId="48979" xr:uid="{00000000-0005-0000-0000-000086200000}"/>
    <cellStyle name="Normal 2 2 2 4 7" xfId="48965"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81" xr:uid="{00000000-0005-0000-0000-000095200000}"/>
    <cellStyle name="Normal 2 2 2 5 3" xfId="7440" xr:uid="{00000000-0005-0000-0000-000096200000}"/>
    <cellStyle name="Normal 2 2 2 5 3 2" xfId="48982" xr:uid="{00000000-0005-0000-0000-000097200000}"/>
    <cellStyle name="Normal 2 2 2 5 4" xfId="48980"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3"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4"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5"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5" xr:uid="{00000000-0005-0000-0000-0000C5200000}"/>
    <cellStyle name="Normal 2 2 2 9" xfId="7482" xr:uid="{00000000-0005-0000-0000-0000C6200000}"/>
    <cellStyle name="Normal 2 2 2 9 2" xfId="48986" xr:uid="{00000000-0005-0000-0000-0000C7200000}"/>
    <cellStyle name="Normal 2 2 2_3.1.2 DB Pension Detail" xfId="7483" xr:uid="{00000000-0005-0000-0000-0000C8200000}"/>
    <cellStyle name="Normal 2 2 20" xfId="7484" xr:uid="{00000000-0005-0000-0000-0000C9200000}"/>
    <cellStyle name="Normal 2 2 20 2" xfId="48987" xr:uid="{00000000-0005-0000-0000-0000CA200000}"/>
    <cellStyle name="Normal 2 2 21" xfId="7485" xr:uid="{00000000-0005-0000-0000-0000CB200000}"/>
    <cellStyle name="Normal 2 2 21 2" xfId="48988" xr:uid="{00000000-0005-0000-0000-0000CC200000}"/>
    <cellStyle name="Normal 2 2 22" xfId="7486" xr:uid="{00000000-0005-0000-0000-0000CD200000}"/>
    <cellStyle name="Normal 2 2 22 2" xfId="48989" xr:uid="{00000000-0005-0000-0000-0000CE200000}"/>
    <cellStyle name="Normal 2 2 23" xfId="7487" xr:uid="{00000000-0005-0000-0000-0000CF200000}"/>
    <cellStyle name="Normal 2 2 23 2" xfId="48990" xr:uid="{00000000-0005-0000-0000-0000D0200000}"/>
    <cellStyle name="Normal 2 2 24" xfId="7488" xr:uid="{00000000-0005-0000-0000-0000D1200000}"/>
    <cellStyle name="Normal 2 2 24 2" xfId="48991" xr:uid="{00000000-0005-0000-0000-0000D2200000}"/>
    <cellStyle name="Normal 2 2 25" xfId="7489" xr:uid="{00000000-0005-0000-0000-0000D3200000}"/>
    <cellStyle name="Normal 2 2 25 2" xfId="48992" xr:uid="{00000000-0005-0000-0000-0000D4200000}"/>
    <cellStyle name="Normal 2 2 26" xfId="7490" xr:uid="{00000000-0005-0000-0000-0000D5200000}"/>
    <cellStyle name="Normal 2 2 26 2" xfId="48993"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9"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8" xr:uid="{00000000-0005-0000-0000-000024210000}"/>
    <cellStyle name="Normal 2 2 3 2 2 2 2 3" xfId="7567" xr:uid="{00000000-0005-0000-0000-000025210000}"/>
    <cellStyle name="Normal 2 2 3 2 2 2 2 3 2" xfId="49000"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7" xr:uid="{00000000-0005-0000-0000-000031210000}"/>
    <cellStyle name="Normal 2 2 3 2 2 2 3" xfId="7578" xr:uid="{00000000-0005-0000-0000-000032210000}"/>
    <cellStyle name="Normal 2 2 3 2 2 2 3 2" xfId="49001" xr:uid="{00000000-0005-0000-0000-000033210000}"/>
    <cellStyle name="Normal 2 2 3 2 2 2 4" xfId="7579" xr:uid="{00000000-0005-0000-0000-000034210000}"/>
    <cellStyle name="Normal 2 2 3 2 2 2 4 2" xfId="49002" xr:uid="{00000000-0005-0000-0000-000035210000}"/>
    <cellStyle name="Normal 2 2 3 2 2 2 5" xfId="7580" xr:uid="{00000000-0005-0000-0000-000036210000}"/>
    <cellStyle name="Normal 2 2 3 2 2 2 5 2" xfId="49003" xr:uid="{00000000-0005-0000-0000-000037210000}"/>
    <cellStyle name="Normal 2 2 3 2 2 2 6" xfId="7581" xr:uid="{00000000-0005-0000-0000-000038210000}"/>
    <cellStyle name="Normal 2 2 3 2 2 2 6 2" xfId="49004"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6" xr:uid="{00000000-0005-0000-0000-000041210000}"/>
    <cellStyle name="Normal 2 2 3 2 2 3" xfId="7589" xr:uid="{00000000-0005-0000-0000-000042210000}"/>
    <cellStyle name="Normal 2 2 3 2 2 3 2" xfId="7590" xr:uid="{00000000-0005-0000-0000-000043210000}"/>
    <cellStyle name="Normal 2 2 3 2 2 3 2 2" xfId="49006" xr:uid="{00000000-0005-0000-0000-000044210000}"/>
    <cellStyle name="Normal 2 2 3 2 2 3 3" xfId="7591" xr:uid="{00000000-0005-0000-0000-000045210000}"/>
    <cellStyle name="Normal 2 2 3 2 2 3 3 2" xfId="49007" xr:uid="{00000000-0005-0000-0000-000046210000}"/>
    <cellStyle name="Normal 2 2 3 2 2 3 4" xfId="49005" xr:uid="{00000000-0005-0000-0000-000047210000}"/>
    <cellStyle name="Normal 2 2 3 2 2 3_ELEC SAP FCST UPLOAD" xfId="7592" xr:uid="{00000000-0005-0000-0000-000048210000}"/>
    <cellStyle name="Normal 2 2 3 2 2 4" xfId="7593" xr:uid="{00000000-0005-0000-0000-000049210000}"/>
    <cellStyle name="Normal 2 2 3 2 2 4 2" xfId="49008" xr:uid="{00000000-0005-0000-0000-00004A210000}"/>
    <cellStyle name="Normal 2 2 3 2 2 5" xfId="7594" xr:uid="{00000000-0005-0000-0000-00004B210000}"/>
    <cellStyle name="Normal 2 2 3 2 2 5 2" xfId="49009" xr:uid="{00000000-0005-0000-0000-00004C210000}"/>
    <cellStyle name="Normal 2 2 3 2 2 6" xfId="7595" xr:uid="{00000000-0005-0000-0000-00004D210000}"/>
    <cellStyle name="Normal 2 2 3 2 2 6 2" xfId="49010"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5" xr:uid="{00000000-0005-0000-0000-000057210000}"/>
    <cellStyle name="Normal 2 2 3 2 3" xfId="7604" xr:uid="{00000000-0005-0000-0000-000058210000}"/>
    <cellStyle name="Normal 2 2 3 2 3 2" xfId="7605" xr:uid="{00000000-0005-0000-0000-000059210000}"/>
    <cellStyle name="Normal 2 2 3 2 3 2 2" xfId="49012" xr:uid="{00000000-0005-0000-0000-00005A210000}"/>
    <cellStyle name="Normal 2 2 3 2 3 3" xfId="7606" xr:uid="{00000000-0005-0000-0000-00005B210000}"/>
    <cellStyle name="Normal 2 2 3 2 3 3 2" xfId="49013" xr:uid="{00000000-0005-0000-0000-00005C210000}"/>
    <cellStyle name="Normal 2 2 3 2 3 4" xfId="49011" xr:uid="{00000000-0005-0000-0000-00005D210000}"/>
    <cellStyle name="Normal 2 2 3 2 3_ELEC SAP FCST UPLOAD" xfId="7607" xr:uid="{00000000-0005-0000-0000-00005E210000}"/>
    <cellStyle name="Normal 2 2 3 2 4" xfId="7608" xr:uid="{00000000-0005-0000-0000-00005F210000}"/>
    <cellStyle name="Normal 2 2 3 2 4 2" xfId="49014" xr:uid="{00000000-0005-0000-0000-000060210000}"/>
    <cellStyle name="Normal 2 2 3 2 5" xfId="7609" xr:uid="{00000000-0005-0000-0000-000061210000}"/>
    <cellStyle name="Normal 2 2 3 2 5 2" xfId="49015" xr:uid="{00000000-0005-0000-0000-000062210000}"/>
    <cellStyle name="Normal 2 2 3 2 6" xfId="7610" xr:uid="{00000000-0005-0000-0000-000063210000}"/>
    <cellStyle name="Normal 2 2 3 2 6 2" xfId="49016" xr:uid="{00000000-0005-0000-0000-000064210000}"/>
    <cellStyle name="Normal 2 2 3 2 7" xfId="7611" xr:uid="{00000000-0005-0000-0000-000065210000}"/>
    <cellStyle name="Normal 2 2 3 2 7 2" xfId="49017"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20" xr:uid="{00000000-0005-0000-0000-000077210000}"/>
    <cellStyle name="Normal 2 2 3 3 2 3" xfId="7628" xr:uid="{00000000-0005-0000-0000-000078210000}"/>
    <cellStyle name="Normal 2 2 3 3 2 3 2" xfId="49021" xr:uid="{00000000-0005-0000-0000-000079210000}"/>
    <cellStyle name="Normal 2 2 3 3 2 4" xfId="49019" xr:uid="{00000000-0005-0000-0000-00007A210000}"/>
    <cellStyle name="Normal 2 2 3 3 2_ELEC SAP FCST UPLOAD" xfId="7629" xr:uid="{00000000-0005-0000-0000-00007B210000}"/>
    <cellStyle name="Normal 2 2 3 3 3" xfId="7630" xr:uid="{00000000-0005-0000-0000-00007C210000}"/>
    <cellStyle name="Normal 2 2 3 3 3 2" xfId="49022" xr:uid="{00000000-0005-0000-0000-00007D210000}"/>
    <cellStyle name="Normal 2 2 3 3 4" xfId="7631" xr:uid="{00000000-0005-0000-0000-00007E210000}"/>
    <cellStyle name="Normal 2 2 3 3 4 2" xfId="49023" xr:uid="{00000000-0005-0000-0000-00007F210000}"/>
    <cellStyle name="Normal 2 2 3 3 5" xfId="7632" xr:uid="{00000000-0005-0000-0000-000080210000}"/>
    <cellStyle name="Normal 2 2 3 3 5 2" xfId="49024" xr:uid="{00000000-0005-0000-0000-000081210000}"/>
    <cellStyle name="Normal 2 2 3 3 6" xfId="7633" xr:uid="{00000000-0005-0000-0000-000082210000}"/>
    <cellStyle name="Normal 2 2 3 3 6 2" xfId="49025" xr:uid="{00000000-0005-0000-0000-000083210000}"/>
    <cellStyle name="Normal 2 2 3 3 7" xfId="49018"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7" xr:uid="{00000000-0005-0000-0000-000092210000}"/>
    <cellStyle name="Normal 2 2 3 4 3" xfId="7647" xr:uid="{00000000-0005-0000-0000-000093210000}"/>
    <cellStyle name="Normal 2 2 3 4 3 2" xfId="49028" xr:uid="{00000000-0005-0000-0000-000094210000}"/>
    <cellStyle name="Normal 2 2 3 4 4" xfId="49026"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9"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30"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31"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4"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5"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4" xr:uid="{00000000-0005-0000-0000-00001C220000}"/>
    <cellStyle name="Normal 2 2 4 2 2 3" xfId="7777" xr:uid="{00000000-0005-0000-0000-00001D220000}"/>
    <cellStyle name="Normal 2 2 4 2 2 3 2" xfId="49036"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3" xr:uid="{00000000-0005-0000-0000-000029220000}"/>
    <cellStyle name="Normal 2 2 4 2 3" xfId="7788" xr:uid="{00000000-0005-0000-0000-00002A220000}"/>
    <cellStyle name="Normal 2 2 4 2 3 2" xfId="49037" xr:uid="{00000000-0005-0000-0000-00002B220000}"/>
    <cellStyle name="Normal 2 2 4 2 4" xfId="7789" xr:uid="{00000000-0005-0000-0000-00002C220000}"/>
    <cellStyle name="Normal 2 2 4 2 4 2" xfId="49038" xr:uid="{00000000-0005-0000-0000-00002D220000}"/>
    <cellStyle name="Normal 2 2 4 2 5" xfId="7790" xr:uid="{00000000-0005-0000-0000-00002E220000}"/>
    <cellStyle name="Normal 2 2 4 2 5 2" xfId="49039" xr:uid="{00000000-0005-0000-0000-00002F220000}"/>
    <cellStyle name="Normal 2 2 4 2 6" xfId="7791" xr:uid="{00000000-0005-0000-0000-000030220000}"/>
    <cellStyle name="Normal 2 2 4 2 6 2" xfId="49040"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42" xr:uid="{00000000-0005-0000-0000-000042220000}"/>
    <cellStyle name="Normal 2 2 4 3 3" xfId="7808" xr:uid="{00000000-0005-0000-0000-000043220000}"/>
    <cellStyle name="Normal 2 2 4 3 3 2" xfId="49043" xr:uid="{00000000-0005-0000-0000-000044220000}"/>
    <cellStyle name="Normal 2 2 4 3 4" xfId="49041"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4"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5"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6"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32"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8"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9"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7"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50"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51"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52"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3"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4" xr:uid="{00000000-0005-0000-0000-000027250000}"/>
    <cellStyle name="Normal 2 21" xfId="8535" xr:uid="{00000000-0005-0000-0000-000028250000}"/>
    <cellStyle name="Normal 2 21 2" xfId="49055" xr:uid="{00000000-0005-0000-0000-000029250000}"/>
    <cellStyle name="Normal 2 22" xfId="8536" xr:uid="{00000000-0005-0000-0000-00002A250000}"/>
    <cellStyle name="Normal 2 22 2" xfId="49056" xr:uid="{00000000-0005-0000-0000-00002B250000}"/>
    <cellStyle name="Normal 2 23" xfId="8537" xr:uid="{00000000-0005-0000-0000-00002C250000}"/>
    <cellStyle name="Normal 2 23 2" xfId="49057" xr:uid="{00000000-0005-0000-0000-00002D250000}"/>
    <cellStyle name="Normal 2 24" xfId="8538" xr:uid="{00000000-0005-0000-0000-00002E250000}"/>
    <cellStyle name="Normal 2 24 2" xfId="49058" xr:uid="{00000000-0005-0000-0000-00002F250000}"/>
    <cellStyle name="Normal 2 25" xfId="8539" xr:uid="{00000000-0005-0000-0000-000030250000}"/>
    <cellStyle name="Normal 2 25 2" xfId="49059" xr:uid="{00000000-0005-0000-0000-000031250000}"/>
    <cellStyle name="Normal 2 26" xfId="8540" xr:uid="{00000000-0005-0000-0000-000032250000}"/>
    <cellStyle name="Normal 2 26 2" xfId="49060" xr:uid="{00000000-0005-0000-0000-000033250000}"/>
    <cellStyle name="Normal 2 27" xfId="8541" xr:uid="{00000000-0005-0000-0000-000034250000}"/>
    <cellStyle name="Normal 2 27 2" xfId="49061"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7"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6" xr:uid="{00000000-0005-0000-0000-000082250000}"/>
    <cellStyle name="Normal 2 3 2 2 2 2 3" xfId="8617" xr:uid="{00000000-0005-0000-0000-000083250000}"/>
    <cellStyle name="Normal 2 3 2 2 2 2 3 2" xfId="49068"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5" xr:uid="{00000000-0005-0000-0000-00008F250000}"/>
    <cellStyle name="Normal 2 3 2 2 2 3" xfId="8628" xr:uid="{00000000-0005-0000-0000-000090250000}"/>
    <cellStyle name="Normal 2 3 2 2 2 3 2" xfId="49069" xr:uid="{00000000-0005-0000-0000-000091250000}"/>
    <cellStyle name="Normal 2 3 2 2 2 4" xfId="8629" xr:uid="{00000000-0005-0000-0000-000092250000}"/>
    <cellStyle name="Normal 2 3 2 2 2 4 2" xfId="49070" xr:uid="{00000000-0005-0000-0000-000093250000}"/>
    <cellStyle name="Normal 2 3 2 2 2 5" xfId="8630" xr:uid="{00000000-0005-0000-0000-000094250000}"/>
    <cellStyle name="Normal 2 3 2 2 2 5 2" xfId="49071" xr:uid="{00000000-0005-0000-0000-000095250000}"/>
    <cellStyle name="Normal 2 3 2 2 2 6" xfId="8631" xr:uid="{00000000-0005-0000-0000-000096250000}"/>
    <cellStyle name="Normal 2 3 2 2 2 6 2" xfId="49072"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4" xr:uid="{00000000-0005-0000-0000-0000A8250000}"/>
    <cellStyle name="Normal 2 3 2 2 3 3" xfId="8648" xr:uid="{00000000-0005-0000-0000-0000A9250000}"/>
    <cellStyle name="Normal 2 3 2 2 3 3 2" xfId="49075" xr:uid="{00000000-0005-0000-0000-0000AA250000}"/>
    <cellStyle name="Normal 2 3 2 2 3 4" xfId="49073"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6"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7"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8"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4"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80"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9" xr:uid="{00000000-0005-0000-0000-000026260000}"/>
    <cellStyle name="Normal 2 3 2 3 3" xfId="8766" xr:uid="{00000000-0005-0000-0000-000027260000}"/>
    <cellStyle name="Normal 2 3 2 3 3 2" xfId="49081"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82"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3"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4"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5"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3"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8"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7" xr:uid="{00000000-0005-0000-0000-0000B6260000}"/>
    <cellStyle name="Normal 2 3 3 2 3" xfId="8902" xr:uid="{00000000-0005-0000-0000-0000B7260000}"/>
    <cellStyle name="Normal 2 3 3 2 3 2" xfId="49089"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90"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91"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92"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3"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6"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5"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6"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4"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7"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8"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9"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62"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100"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4"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5"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3"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6"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7"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8"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9"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102"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11"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12"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10"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3"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4"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5"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101"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6"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7"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8"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9"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20"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21"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22"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5"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7"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3"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6"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30"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3"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400"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5"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6"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5" xr:uid="{00000000-0005-0000-0000-0000D4330000}"/>
    <cellStyle name="Normal 3 10 3" xfId="12212" xr:uid="{00000000-0005-0000-0000-0000D5330000}"/>
    <cellStyle name="Normal 3 10 3 2" xfId="49127" xr:uid="{00000000-0005-0000-0000-0000D6330000}"/>
    <cellStyle name="Normal 3 10 4" xfId="12213" xr:uid="{00000000-0005-0000-0000-0000D7330000}"/>
    <cellStyle name="Normal 3 10 4 2" xfId="49128" xr:uid="{00000000-0005-0000-0000-0000D8330000}"/>
    <cellStyle name="Normal 3 10 5" xfId="12214" xr:uid="{00000000-0005-0000-0000-0000D9330000}"/>
    <cellStyle name="Normal 3 10 5 2" xfId="49129" xr:uid="{00000000-0005-0000-0000-0000DA330000}"/>
    <cellStyle name="Normal 3 10 6" xfId="12215" xr:uid="{00000000-0005-0000-0000-0000DB330000}"/>
    <cellStyle name="Normal 3 10 6 2" xfId="49130" xr:uid="{00000000-0005-0000-0000-0000DC330000}"/>
    <cellStyle name="Normal 3 10 7" xfId="12216" xr:uid="{00000000-0005-0000-0000-0000DD330000}"/>
    <cellStyle name="Normal 3 10 7 2" xfId="49131"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32"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3"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4" xr:uid="{00000000-0005-0000-0000-000006340000}"/>
    <cellStyle name="Normal 3 14" xfId="12253" xr:uid="{00000000-0005-0000-0000-000007340000}"/>
    <cellStyle name="Normal 3 14 2" xfId="49135" xr:uid="{00000000-0005-0000-0000-000008340000}"/>
    <cellStyle name="Normal 3 15" xfId="12254" xr:uid="{00000000-0005-0000-0000-000009340000}"/>
    <cellStyle name="Normal 3 15 2" xfId="49136" xr:uid="{00000000-0005-0000-0000-00000A340000}"/>
    <cellStyle name="Normal 3 16" xfId="12255" xr:uid="{00000000-0005-0000-0000-00000B340000}"/>
    <cellStyle name="Normal 3 16 2" xfId="49137" xr:uid="{00000000-0005-0000-0000-00000C340000}"/>
    <cellStyle name="Normal 3 17" xfId="12256" xr:uid="{00000000-0005-0000-0000-00000D340000}"/>
    <cellStyle name="Normal 3 17 2" xfId="49138" xr:uid="{00000000-0005-0000-0000-00000E340000}"/>
    <cellStyle name="Normal 3 18" xfId="12257" xr:uid="{00000000-0005-0000-0000-00000F340000}"/>
    <cellStyle name="Normal 3 18 2" xfId="49139" xr:uid="{00000000-0005-0000-0000-000010340000}"/>
    <cellStyle name="Normal 3 19" xfId="12258" xr:uid="{00000000-0005-0000-0000-000011340000}"/>
    <cellStyle name="Normal 3 19 2" xfId="49140" xr:uid="{00000000-0005-0000-0000-000012340000}"/>
    <cellStyle name="Normal 3 2" xfId="89" xr:uid="{00000000-0005-0000-0000-000013340000}"/>
    <cellStyle name="Normal 3 2 10" xfId="12259" xr:uid="{00000000-0005-0000-0000-000014340000}"/>
    <cellStyle name="Normal 3 2 10 2" xfId="49142" xr:uid="{00000000-0005-0000-0000-000015340000}"/>
    <cellStyle name="Normal 3 2 11" xfId="12260" xr:uid="{00000000-0005-0000-0000-000016340000}"/>
    <cellStyle name="Normal 3 2 11 2" xfId="49143" xr:uid="{00000000-0005-0000-0000-000017340000}"/>
    <cellStyle name="Normal 3 2 12" xfId="12261" xr:uid="{00000000-0005-0000-0000-000018340000}"/>
    <cellStyle name="Normal 3 2 12 2" xfId="49144" xr:uid="{00000000-0005-0000-0000-000019340000}"/>
    <cellStyle name="Normal 3 2 13" xfId="12262" xr:uid="{00000000-0005-0000-0000-00001A340000}"/>
    <cellStyle name="Normal 3 2 13 2" xfId="49145" xr:uid="{00000000-0005-0000-0000-00001B340000}"/>
    <cellStyle name="Normal 3 2 14" xfId="12263" xr:uid="{00000000-0005-0000-0000-00001C340000}"/>
    <cellStyle name="Normal 3 2 14 2" xfId="49146" xr:uid="{00000000-0005-0000-0000-00001D340000}"/>
    <cellStyle name="Normal 3 2 15" xfId="12264" xr:uid="{00000000-0005-0000-0000-00001E340000}"/>
    <cellStyle name="Normal 3 2 15 2" xfId="49147" xr:uid="{00000000-0005-0000-0000-00001F340000}"/>
    <cellStyle name="Normal 3 2 16" xfId="12265" xr:uid="{00000000-0005-0000-0000-000020340000}"/>
    <cellStyle name="Normal 3 2 16 2" xfId="49148"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50" xr:uid="{00000000-0005-0000-0000-000031340000}"/>
    <cellStyle name="Normal 3 2 2 3" xfId="49151" xr:uid="{00000000-0005-0000-0000-000032340000}"/>
    <cellStyle name="Normal 3 2 2 4" xfId="49152" xr:uid="{00000000-0005-0000-0000-000033340000}"/>
    <cellStyle name="Normal 3 2 2 5" xfId="49153" xr:uid="{00000000-0005-0000-0000-000034340000}"/>
    <cellStyle name="Normal 3 2 2 6" xfId="49154" xr:uid="{00000000-0005-0000-0000-000035340000}"/>
    <cellStyle name="Normal 3 2 2 7" xfId="49155" xr:uid="{00000000-0005-0000-0000-000036340000}"/>
    <cellStyle name="Normal 3 2 2 8" xfId="49149"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6"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7"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8"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9"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60"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41" xr:uid="{00000000-0005-0000-0000-00009D340000}"/>
    <cellStyle name="Normal 3 2 8" xfId="12377" xr:uid="{00000000-0005-0000-0000-00009E340000}"/>
    <cellStyle name="Normal 3 2 8 2" xfId="49161" xr:uid="{00000000-0005-0000-0000-00009F340000}"/>
    <cellStyle name="Normal 3 2 9" xfId="12378" xr:uid="{00000000-0005-0000-0000-0000A0340000}"/>
    <cellStyle name="Normal 3 2 9 2" xfId="49162" xr:uid="{00000000-0005-0000-0000-0000A1340000}"/>
    <cellStyle name="Normal 3 2_3.1.2 DB Pension Detail" xfId="12379" xr:uid="{00000000-0005-0000-0000-0000A2340000}"/>
    <cellStyle name="Normal 3 20" xfId="12380" xr:uid="{00000000-0005-0000-0000-0000A3340000}"/>
    <cellStyle name="Normal 3 20 2" xfId="49163"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5"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4"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6"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7"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8"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9"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70"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71"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4"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7"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6" xr:uid="{00000000-0005-0000-0000-0000193E0000}"/>
    <cellStyle name="Normal 4 2 2 2 2 3" xfId="14789" xr:uid="{00000000-0005-0000-0000-00001A3E0000}"/>
    <cellStyle name="Normal 4 2 2 2 2 3 2" xfId="49178"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5" xr:uid="{00000000-0005-0000-0000-0000263E0000}"/>
    <cellStyle name="Normal 4 2 2 2 3" xfId="14800" xr:uid="{00000000-0005-0000-0000-0000273E0000}"/>
    <cellStyle name="Normal 4 2 2 2 3 2" xfId="49179" xr:uid="{00000000-0005-0000-0000-0000283E0000}"/>
    <cellStyle name="Normal 4 2 2 2 4" xfId="14801" xr:uid="{00000000-0005-0000-0000-0000293E0000}"/>
    <cellStyle name="Normal 4 2 2 2 4 2" xfId="49180" xr:uid="{00000000-0005-0000-0000-00002A3E0000}"/>
    <cellStyle name="Normal 4 2 2 2 5" xfId="14802" xr:uid="{00000000-0005-0000-0000-00002B3E0000}"/>
    <cellStyle name="Normal 4 2 2 2 5 2" xfId="49181" xr:uid="{00000000-0005-0000-0000-00002C3E0000}"/>
    <cellStyle name="Normal 4 2 2 2 6" xfId="14803" xr:uid="{00000000-0005-0000-0000-00002D3E0000}"/>
    <cellStyle name="Normal 4 2 2 2 6 2" xfId="49182"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4" xr:uid="{00000000-0005-0000-0000-0000363E0000}"/>
    <cellStyle name="Normal 4 2 2 3" xfId="14811" xr:uid="{00000000-0005-0000-0000-0000373E0000}"/>
    <cellStyle name="Normal 4 2 2 3 2" xfId="14812" xr:uid="{00000000-0005-0000-0000-0000383E0000}"/>
    <cellStyle name="Normal 4 2 2 3 2 2" xfId="49184" xr:uid="{00000000-0005-0000-0000-0000393E0000}"/>
    <cellStyle name="Normal 4 2 2 3 3" xfId="14813" xr:uid="{00000000-0005-0000-0000-00003A3E0000}"/>
    <cellStyle name="Normal 4 2 2 3 3 2" xfId="49185" xr:uid="{00000000-0005-0000-0000-00003B3E0000}"/>
    <cellStyle name="Normal 4 2 2 3 4" xfId="49183" xr:uid="{00000000-0005-0000-0000-00003C3E0000}"/>
    <cellStyle name="Normal 4 2 2 3_ELEC SAP FCST UPLOAD" xfId="14814" xr:uid="{00000000-0005-0000-0000-00003D3E0000}"/>
    <cellStyle name="Normal 4 2 2 4" xfId="14815" xr:uid="{00000000-0005-0000-0000-00003E3E0000}"/>
    <cellStyle name="Normal 4 2 2 4 2" xfId="49186" xr:uid="{00000000-0005-0000-0000-00003F3E0000}"/>
    <cellStyle name="Normal 4 2 2 5" xfId="14816" xr:uid="{00000000-0005-0000-0000-0000403E0000}"/>
    <cellStyle name="Normal 4 2 2 5 2" xfId="49187" xr:uid="{00000000-0005-0000-0000-0000413E0000}"/>
    <cellStyle name="Normal 4 2 2 6" xfId="14817" xr:uid="{00000000-0005-0000-0000-0000423E0000}"/>
    <cellStyle name="Normal 4 2 2 6 2" xfId="49188"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3" xr:uid="{00000000-0005-0000-0000-00004C3E0000}"/>
    <cellStyle name="Normal 4 2 3" xfId="99" xr:uid="{00000000-0005-0000-0000-00004D3E0000}"/>
    <cellStyle name="Normal 4 2 3 2" xfId="14826" xr:uid="{00000000-0005-0000-0000-00004E3E0000}"/>
    <cellStyle name="Normal 4 2 3 2 2" xfId="49190" xr:uid="{00000000-0005-0000-0000-00004F3E0000}"/>
    <cellStyle name="Normal 4 2 3 3" xfId="14827" xr:uid="{00000000-0005-0000-0000-0000503E0000}"/>
    <cellStyle name="Normal 4 2 3 3 2" xfId="49191" xr:uid="{00000000-0005-0000-0000-0000513E0000}"/>
    <cellStyle name="Normal 4 2 3 4" xfId="49189" xr:uid="{00000000-0005-0000-0000-0000523E0000}"/>
    <cellStyle name="Normal 4 2 3_ELEC SAP FCST UPLOAD" xfId="14828" xr:uid="{00000000-0005-0000-0000-0000533E0000}"/>
    <cellStyle name="Normal 4 2 4" xfId="14829" xr:uid="{00000000-0005-0000-0000-0000543E0000}"/>
    <cellStyle name="Normal 4 2 4 2" xfId="49192" xr:uid="{00000000-0005-0000-0000-0000553E0000}"/>
    <cellStyle name="Normal 4 2 5" xfId="14830" xr:uid="{00000000-0005-0000-0000-0000563E0000}"/>
    <cellStyle name="Normal 4 2 5 2" xfId="49193" xr:uid="{00000000-0005-0000-0000-0000573E0000}"/>
    <cellStyle name="Normal 4 2 6" xfId="14831" xr:uid="{00000000-0005-0000-0000-0000583E0000}"/>
    <cellStyle name="Normal 4 2 6 2" xfId="49194" xr:uid="{00000000-0005-0000-0000-0000593E0000}"/>
    <cellStyle name="Normal 4 2 7" xfId="14832" xr:uid="{00000000-0005-0000-0000-00005A3E0000}"/>
    <cellStyle name="Normal 4 2 7 2" xfId="49195"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8" xr:uid="{00000000-0005-0000-0000-00006C3E0000}"/>
    <cellStyle name="Normal 4 3 2 3" xfId="14849" xr:uid="{00000000-0005-0000-0000-00006D3E0000}"/>
    <cellStyle name="Normal 4 3 2 3 2" xfId="49199" xr:uid="{00000000-0005-0000-0000-00006E3E0000}"/>
    <cellStyle name="Normal 4 3 2 4" xfId="49197" xr:uid="{00000000-0005-0000-0000-00006F3E0000}"/>
    <cellStyle name="Normal 4 3 2_ELEC SAP FCST UPLOAD" xfId="14850" xr:uid="{00000000-0005-0000-0000-0000703E0000}"/>
    <cellStyle name="Normal 4 3 3" xfId="14851" xr:uid="{00000000-0005-0000-0000-0000713E0000}"/>
    <cellStyle name="Normal 4 3 3 2" xfId="49200" xr:uid="{00000000-0005-0000-0000-0000723E0000}"/>
    <cellStyle name="Normal 4 3 4" xfId="14852" xr:uid="{00000000-0005-0000-0000-0000733E0000}"/>
    <cellStyle name="Normal 4 3 4 2" xfId="49201" xr:uid="{00000000-0005-0000-0000-0000743E0000}"/>
    <cellStyle name="Normal 4 3 5" xfId="14853" xr:uid="{00000000-0005-0000-0000-0000753E0000}"/>
    <cellStyle name="Normal 4 3 5 2" xfId="49202" xr:uid="{00000000-0005-0000-0000-0000763E0000}"/>
    <cellStyle name="Normal 4 3 6" xfId="14854" xr:uid="{00000000-0005-0000-0000-0000773E0000}"/>
    <cellStyle name="Normal 4 3 6 2" xfId="49203" xr:uid="{00000000-0005-0000-0000-0000783E0000}"/>
    <cellStyle name="Normal 4 3 7" xfId="49196"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4"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5"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6"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72"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10"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9" xr:uid="{00000000-0005-0000-0000-00006D430000}"/>
    <cellStyle name="Normal 5 2 2 3" xfId="16117" xr:uid="{00000000-0005-0000-0000-00006E430000}"/>
    <cellStyle name="Normal 5 2 2 3 2" xfId="49211"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8" xr:uid="{00000000-0005-0000-0000-00007A430000}"/>
    <cellStyle name="Normal 5 2 3" xfId="16128" xr:uid="{00000000-0005-0000-0000-00007B430000}"/>
    <cellStyle name="Normal 5 2 3 2" xfId="49212" xr:uid="{00000000-0005-0000-0000-00007C430000}"/>
    <cellStyle name="Normal 5 2 4" xfId="16129" xr:uid="{00000000-0005-0000-0000-00007D430000}"/>
    <cellStyle name="Normal 5 2 4 2" xfId="49213" xr:uid="{00000000-0005-0000-0000-00007E430000}"/>
    <cellStyle name="Normal 5 2 5" xfId="16130" xr:uid="{00000000-0005-0000-0000-00007F430000}"/>
    <cellStyle name="Normal 5 2 5 2" xfId="49214" xr:uid="{00000000-0005-0000-0000-000080430000}"/>
    <cellStyle name="Normal 5 2 6" xfId="16131" xr:uid="{00000000-0005-0000-0000-000081430000}"/>
    <cellStyle name="Normal 5 2 6 2" xfId="49215"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6"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7"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8"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7"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9" xr:uid="{00000000-0005-0000-0000-00003C460000}"/>
    <cellStyle name="Normal 6 9" xfId="16825" xr:uid="{00000000-0005-0000-0000-00003D460000}"/>
    <cellStyle name="Normal 60" xfId="16826" xr:uid="{00000000-0005-0000-0000-00003E460000}"/>
    <cellStyle name="Normal 60 2 2" xfId="51699" xr:uid="{01EBFC67-6FC9-4297-B358-0FC831192AE6}"/>
    <cellStyle name="Normal 61" xfId="90" xr:uid="{00000000-0005-0000-0000-00003F460000}"/>
    <cellStyle name="Normal 61 2" xfId="16827" xr:uid="{00000000-0005-0000-0000-000040460000}"/>
    <cellStyle name="Normal 61 3 2" xfId="51701" xr:uid="{7DB87781-B3EA-4CD5-9092-96E766B9E9C4}"/>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40"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20"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9" xr:uid="{00000000-0005-0000-0000-000006470000}"/>
    <cellStyle name="Normal 71" xfId="51688" xr:uid="{D88C049C-0ABF-4963-A188-FC0A6DC5C5F8}"/>
    <cellStyle name="Normal 72" xfId="51690" xr:uid="{78AE7F22-65C0-4960-860E-692289CD99BD}"/>
    <cellStyle name="Normal 73" xfId="51692" xr:uid="{6DF7956B-B673-4C54-8158-D8A9E57FE5A2}"/>
    <cellStyle name="Normal 73 2" xfId="51694"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21"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22"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3"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4" xr:uid="{00000000-0005-0000-0000-0000574B0000}"/>
    <cellStyle name="Normál_Cost_Baseline v1.1" xfId="18122" xr:uid="{00000000-0005-0000-0000-0000594B0000}"/>
    <cellStyle name="Normal_Financial tables_NG" xfId="48236" xr:uid="{00000000-0005-0000-0000-00005A4B0000}"/>
    <cellStyle name="Normal_Opex Tables 2 2 2" xfId="85" xr:uid="{00000000-0005-0000-0000-00005B4B0000}"/>
    <cellStyle name="Normal_risk table" xfId="48234" xr:uid="{00000000-0005-0000-0000-00005C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9" xr:uid="{00000000-0005-0000-0000-0000754B0000}"/>
    <cellStyle name="Note 2 2 2 3" xfId="18147" xr:uid="{00000000-0005-0000-0000-0000764B0000}"/>
    <cellStyle name="Note 2 2 2 3 2" xfId="18148" xr:uid="{00000000-0005-0000-0000-0000774B0000}"/>
    <cellStyle name="Note 2 2 2 3 3" xfId="51396"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5"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8" xr:uid="{00000000-0005-0000-0000-0000834B0000}"/>
    <cellStyle name="Note 2 2 4" xfId="18158" xr:uid="{00000000-0005-0000-0000-0000844B0000}"/>
    <cellStyle name="Note 2 2 4 2" xfId="18159" xr:uid="{00000000-0005-0000-0000-0000854B0000}"/>
    <cellStyle name="Note 2 2 4 3" xfId="51494"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7"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7" xr:uid="{00000000-0005-0000-0000-00009B4B0000}"/>
    <cellStyle name="Note 2 3 2 3" xfId="51163" xr:uid="{00000000-0005-0000-0000-00009C4B0000}"/>
    <cellStyle name="Note 2 3 2 4" xfId="49796" xr:uid="{00000000-0005-0000-0000-00009D4B0000}"/>
    <cellStyle name="Note 2 3 3" xfId="18179" xr:uid="{00000000-0005-0000-0000-00009E4B0000}"/>
    <cellStyle name="Note 2 3 3 2" xfId="50576" xr:uid="{00000000-0005-0000-0000-00009F4B0000}"/>
    <cellStyle name="Note 2 3 4" xfId="51481" xr:uid="{00000000-0005-0000-0000-0000A04B0000}"/>
    <cellStyle name="Note 2 3 5" xfId="49468"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8" xr:uid="{00000000-0005-0000-0000-0000AF4B0000}"/>
    <cellStyle name="Note 2 4 2 3" xfId="51385" xr:uid="{00000000-0005-0000-0000-0000B04B0000}"/>
    <cellStyle name="Note 2 4 2 4" xfId="49806" xr:uid="{00000000-0005-0000-0000-0000B14B0000}"/>
    <cellStyle name="Note 2 4 3" xfId="18193" xr:uid="{00000000-0005-0000-0000-0000B24B0000}"/>
    <cellStyle name="Note 2 4 3 2" xfId="50567" xr:uid="{00000000-0005-0000-0000-0000B34B0000}"/>
    <cellStyle name="Note 2 4 4" xfId="50948" xr:uid="{00000000-0005-0000-0000-0000B44B0000}"/>
    <cellStyle name="Note 2 4 5" xfId="49478"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7" xr:uid="{00000000-0005-0000-0000-0000C34B0000}"/>
    <cellStyle name="Note 2 5 3" xfId="18207" xr:uid="{00000000-0005-0000-0000-0000C44B0000}"/>
    <cellStyle name="Note 2 5 3 2" xfId="50656" xr:uid="{00000000-0005-0000-0000-0000C54B0000}"/>
    <cellStyle name="Note 2 5 4" xfId="49637"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7" xr:uid="{00000000-0005-0000-0000-0000D34B0000}"/>
    <cellStyle name="Note 2 6 3" xfId="51334" xr:uid="{00000000-0005-0000-0000-0000D44B0000}"/>
    <cellStyle name="Note 2 6 4" xfId="50042"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61"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4"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6"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5" xr:uid="{00000000-0005-0000-0000-0000024C0000}"/>
    <cellStyle name="Note 3" xfId="18261" xr:uid="{00000000-0005-0000-0000-0000034C0000}"/>
    <cellStyle name="Note 3 10" xfId="49467" xr:uid="{00000000-0005-0000-0000-0000044C0000}"/>
    <cellStyle name="Note 3 10 2" xfId="49795" xr:uid="{00000000-0005-0000-0000-0000054C0000}"/>
    <cellStyle name="Note 3 10 2 2" xfId="50208" xr:uid="{00000000-0005-0000-0000-0000064C0000}"/>
    <cellStyle name="Note 3 10 2 3" xfId="51533" xr:uid="{00000000-0005-0000-0000-0000074C0000}"/>
    <cellStyle name="Note 3 10 3" xfId="50577" xr:uid="{00000000-0005-0000-0000-0000084C0000}"/>
    <cellStyle name="Note 3 10 4" xfId="51225" xr:uid="{00000000-0005-0000-0000-0000094C0000}"/>
    <cellStyle name="Note 3 11" xfId="49479" xr:uid="{00000000-0005-0000-0000-00000A4C0000}"/>
    <cellStyle name="Note 3 11 2" xfId="49807" xr:uid="{00000000-0005-0000-0000-00000B4C0000}"/>
    <cellStyle name="Note 3 11 2 2" xfId="50197" xr:uid="{00000000-0005-0000-0000-00000C4C0000}"/>
    <cellStyle name="Note 3 11 2 3" xfId="51624" xr:uid="{00000000-0005-0000-0000-00000D4C0000}"/>
    <cellStyle name="Note 3 11 3" xfId="50566" xr:uid="{00000000-0005-0000-0000-00000E4C0000}"/>
    <cellStyle name="Note 3 11 4" xfId="51236" xr:uid="{00000000-0005-0000-0000-00000F4C0000}"/>
    <cellStyle name="Note 3 12" xfId="49638" xr:uid="{00000000-0005-0000-0000-0000104C0000}"/>
    <cellStyle name="Note 3 12 2" xfId="50990" xr:uid="{00000000-0005-0000-0000-0000114C0000}"/>
    <cellStyle name="Note 3 12 3" xfId="50652" xr:uid="{00000000-0005-0000-0000-0000124C0000}"/>
    <cellStyle name="Note 3 13" xfId="50041" xr:uid="{00000000-0005-0000-0000-0000134C0000}"/>
    <cellStyle name="Note 3 13 2" xfId="51086" xr:uid="{00000000-0005-0000-0000-0000144C0000}"/>
    <cellStyle name="Note 3 13 3" xfId="51566" xr:uid="{00000000-0005-0000-0000-0000154C0000}"/>
    <cellStyle name="Note 3 14" xfId="50760" xr:uid="{00000000-0005-0000-0000-0000164C0000}"/>
    <cellStyle name="Note 3 15" xfId="50955" xr:uid="{00000000-0005-0000-0000-0000174C0000}"/>
    <cellStyle name="Note 3 16" xfId="51142" xr:uid="{00000000-0005-0000-0000-0000184C0000}"/>
    <cellStyle name="Note 3 17" xfId="49226" xr:uid="{00000000-0005-0000-0000-0000194C0000}"/>
    <cellStyle name="Note 3 2" xfId="18262" xr:uid="{00000000-0005-0000-0000-00001A4C0000}"/>
    <cellStyle name="Note 3 2 10" xfId="49227" xr:uid="{00000000-0005-0000-0000-00001B4C0000}"/>
    <cellStyle name="Note 3 2 2" xfId="18263" xr:uid="{00000000-0005-0000-0000-00001C4C0000}"/>
    <cellStyle name="Note 3 2 2 2" xfId="49817" xr:uid="{00000000-0005-0000-0000-00001D4C0000}"/>
    <cellStyle name="Note 3 2 2 2 2" xfId="50188" xr:uid="{00000000-0005-0000-0000-00001E4C0000}"/>
    <cellStyle name="Note 3 2 2 2 3" xfId="51276" xr:uid="{00000000-0005-0000-0000-00001F4C0000}"/>
    <cellStyle name="Note 3 2 2 3" xfId="50556" xr:uid="{00000000-0005-0000-0000-0000204C0000}"/>
    <cellStyle name="Note 3 2 2 4" xfId="51457" xr:uid="{00000000-0005-0000-0000-0000214C0000}"/>
    <cellStyle name="Note 3 2 2 5" xfId="49489" xr:uid="{00000000-0005-0000-0000-0000224C0000}"/>
    <cellStyle name="Note 3 2 3" xfId="49466" xr:uid="{00000000-0005-0000-0000-0000234C0000}"/>
    <cellStyle name="Note 3 2 3 2" xfId="49794" xr:uid="{00000000-0005-0000-0000-0000244C0000}"/>
    <cellStyle name="Note 3 2 3 2 2" xfId="50209" xr:uid="{00000000-0005-0000-0000-0000254C0000}"/>
    <cellStyle name="Note 3 2 3 2 3" xfId="51275" xr:uid="{00000000-0005-0000-0000-0000264C0000}"/>
    <cellStyle name="Note 3 2 3 3" xfId="50578" xr:uid="{00000000-0005-0000-0000-0000274C0000}"/>
    <cellStyle name="Note 3 2 3 4" xfId="51460" xr:uid="{00000000-0005-0000-0000-0000284C0000}"/>
    <cellStyle name="Note 3 2 4" xfId="49480" xr:uid="{00000000-0005-0000-0000-0000294C0000}"/>
    <cellStyle name="Note 3 2 4 2" xfId="49808" xr:uid="{00000000-0005-0000-0000-00002A4C0000}"/>
    <cellStyle name="Note 3 2 4 2 2" xfId="50196" xr:uid="{00000000-0005-0000-0000-00002B4C0000}"/>
    <cellStyle name="Note 3 2 4 2 3" xfId="51139" xr:uid="{00000000-0005-0000-0000-00002C4C0000}"/>
    <cellStyle name="Note 3 2 4 3" xfId="50565" xr:uid="{00000000-0005-0000-0000-00002D4C0000}"/>
    <cellStyle name="Note 3 2 4 4" xfId="51493" xr:uid="{00000000-0005-0000-0000-00002E4C0000}"/>
    <cellStyle name="Note 3 2 5" xfId="49639" xr:uid="{00000000-0005-0000-0000-00002F4C0000}"/>
    <cellStyle name="Note 3 2 5 2" xfId="50903" xr:uid="{00000000-0005-0000-0000-0000304C0000}"/>
    <cellStyle name="Note 3 2 5 3" xfId="50653" xr:uid="{00000000-0005-0000-0000-0000314C0000}"/>
    <cellStyle name="Note 3 2 6" xfId="50040" xr:uid="{00000000-0005-0000-0000-0000324C0000}"/>
    <cellStyle name="Note 3 2 6 2" xfId="51085" xr:uid="{00000000-0005-0000-0000-0000334C0000}"/>
    <cellStyle name="Note 3 2 6 3" xfId="51309" xr:uid="{00000000-0005-0000-0000-0000344C0000}"/>
    <cellStyle name="Note 3 2 7" xfId="50759" xr:uid="{00000000-0005-0000-0000-0000354C0000}"/>
    <cellStyle name="Note 3 2 8" xfId="50907" xr:uid="{00000000-0005-0000-0000-0000364C0000}"/>
    <cellStyle name="Note 3 2 9" xfId="50775" xr:uid="{00000000-0005-0000-0000-0000374C0000}"/>
    <cellStyle name="Note 3 3" xfId="18264" xr:uid="{00000000-0005-0000-0000-0000384C0000}"/>
    <cellStyle name="Note 3 3 10" xfId="49228" xr:uid="{00000000-0005-0000-0000-0000394C0000}"/>
    <cellStyle name="Note 3 3 2" xfId="18265" xr:uid="{00000000-0005-0000-0000-00003A4C0000}"/>
    <cellStyle name="Note 3 3 2 2" xfId="49818" xr:uid="{00000000-0005-0000-0000-00003B4C0000}"/>
    <cellStyle name="Note 3 3 2 2 2" xfId="50187" xr:uid="{00000000-0005-0000-0000-00003C4C0000}"/>
    <cellStyle name="Note 3 3 2 2 3" xfId="51534" xr:uid="{00000000-0005-0000-0000-00003D4C0000}"/>
    <cellStyle name="Note 3 3 2 3" xfId="50555" xr:uid="{00000000-0005-0000-0000-00003E4C0000}"/>
    <cellStyle name="Note 3 3 2 4" xfId="51355" xr:uid="{00000000-0005-0000-0000-00003F4C0000}"/>
    <cellStyle name="Note 3 3 2 5" xfId="49490" xr:uid="{00000000-0005-0000-0000-0000404C0000}"/>
    <cellStyle name="Note 3 3 3" xfId="49465" xr:uid="{00000000-0005-0000-0000-0000414C0000}"/>
    <cellStyle name="Note 3 3 3 2" xfId="49793" xr:uid="{00000000-0005-0000-0000-0000424C0000}"/>
    <cellStyle name="Note 3 3 3 2 2" xfId="50210" xr:uid="{00000000-0005-0000-0000-0000434C0000}"/>
    <cellStyle name="Note 3 3 3 2 3" xfId="50882" xr:uid="{00000000-0005-0000-0000-0000444C0000}"/>
    <cellStyle name="Note 3 3 3 3" xfId="50579" xr:uid="{00000000-0005-0000-0000-0000454C0000}"/>
    <cellStyle name="Note 3 3 3 4" xfId="51202" xr:uid="{00000000-0005-0000-0000-0000464C0000}"/>
    <cellStyle name="Note 3 3 4" xfId="49481" xr:uid="{00000000-0005-0000-0000-0000474C0000}"/>
    <cellStyle name="Note 3 3 4 2" xfId="49809" xr:uid="{00000000-0005-0000-0000-0000484C0000}"/>
    <cellStyle name="Note 3 3 4 2 2" xfId="50195" xr:uid="{00000000-0005-0000-0000-0000494C0000}"/>
    <cellStyle name="Note 3 3 4 2 3" xfId="50897" xr:uid="{00000000-0005-0000-0000-00004A4C0000}"/>
    <cellStyle name="Note 3 3 4 3" xfId="50564" xr:uid="{00000000-0005-0000-0000-00004B4C0000}"/>
    <cellStyle name="Note 3 3 4 4" xfId="51200" xr:uid="{00000000-0005-0000-0000-00004C4C0000}"/>
    <cellStyle name="Note 3 3 5" xfId="49640" xr:uid="{00000000-0005-0000-0000-00004D4C0000}"/>
    <cellStyle name="Note 3 3 5 2" xfId="50928" xr:uid="{00000000-0005-0000-0000-00004E4C0000}"/>
    <cellStyle name="Note 3 3 5 3" xfId="50654" xr:uid="{00000000-0005-0000-0000-00004F4C0000}"/>
    <cellStyle name="Note 3 3 6" xfId="50039" xr:uid="{00000000-0005-0000-0000-0000504C0000}"/>
    <cellStyle name="Note 3 3 6 2" xfId="51084" xr:uid="{00000000-0005-0000-0000-0000514C0000}"/>
    <cellStyle name="Note 3 3 6 3" xfId="51159" xr:uid="{00000000-0005-0000-0000-0000524C0000}"/>
    <cellStyle name="Note 3 3 7" xfId="50758" xr:uid="{00000000-0005-0000-0000-0000534C0000}"/>
    <cellStyle name="Note 3 3 8" xfId="50984" xr:uid="{00000000-0005-0000-0000-0000544C0000}"/>
    <cellStyle name="Note 3 3 9" xfId="50789" xr:uid="{00000000-0005-0000-0000-0000554C0000}"/>
    <cellStyle name="Note 3 4" xfId="18266" xr:uid="{00000000-0005-0000-0000-0000564C0000}"/>
    <cellStyle name="Note 3 4 10" xfId="49229" xr:uid="{00000000-0005-0000-0000-0000574C0000}"/>
    <cellStyle name="Note 3 4 2" xfId="49491" xr:uid="{00000000-0005-0000-0000-0000584C0000}"/>
    <cellStyle name="Note 3 4 2 2" xfId="49819" xr:uid="{00000000-0005-0000-0000-0000594C0000}"/>
    <cellStyle name="Note 3 4 2 2 2" xfId="50186" xr:uid="{00000000-0005-0000-0000-00005A4C0000}"/>
    <cellStyle name="Note 3 4 2 2 3" xfId="51162" xr:uid="{00000000-0005-0000-0000-00005B4C0000}"/>
    <cellStyle name="Note 3 4 2 3" xfId="50554" xr:uid="{00000000-0005-0000-0000-00005C4C0000}"/>
    <cellStyle name="Note 3 4 2 4" xfId="51649" xr:uid="{00000000-0005-0000-0000-00005D4C0000}"/>
    <cellStyle name="Note 3 4 3" xfId="49464" xr:uid="{00000000-0005-0000-0000-00005E4C0000}"/>
    <cellStyle name="Note 3 4 3 2" xfId="49792" xr:uid="{00000000-0005-0000-0000-00005F4C0000}"/>
    <cellStyle name="Note 3 4 3 2 2" xfId="50211" xr:uid="{00000000-0005-0000-0000-0000604C0000}"/>
    <cellStyle name="Note 3 4 3 2 3" xfId="51619" xr:uid="{00000000-0005-0000-0000-0000614C0000}"/>
    <cellStyle name="Note 3 4 3 3" xfId="50580" xr:uid="{00000000-0005-0000-0000-0000624C0000}"/>
    <cellStyle name="Note 3 4 3 4" xfId="51491" xr:uid="{00000000-0005-0000-0000-0000634C0000}"/>
    <cellStyle name="Note 3 4 4" xfId="49482" xr:uid="{00000000-0005-0000-0000-0000644C0000}"/>
    <cellStyle name="Note 3 4 4 2" xfId="49810" xr:uid="{00000000-0005-0000-0000-0000654C0000}"/>
    <cellStyle name="Note 3 4 4 2 2" xfId="50194" xr:uid="{00000000-0005-0000-0000-0000664C0000}"/>
    <cellStyle name="Note 3 4 4 2 3" xfId="50968" xr:uid="{00000000-0005-0000-0000-0000674C0000}"/>
    <cellStyle name="Note 3 4 4 3" xfId="50563" xr:uid="{00000000-0005-0000-0000-0000684C0000}"/>
    <cellStyle name="Note 3 4 4 4" xfId="51458" xr:uid="{00000000-0005-0000-0000-0000694C0000}"/>
    <cellStyle name="Note 3 4 5" xfId="49641" xr:uid="{00000000-0005-0000-0000-00006A4C0000}"/>
    <cellStyle name="Note 3 4 5 2" xfId="50862" xr:uid="{00000000-0005-0000-0000-00006B4C0000}"/>
    <cellStyle name="Note 3 4 5 3" xfId="51375" xr:uid="{00000000-0005-0000-0000-00006C4C0000}"/>
    <cellStyle name="Note 3 4 6" xfId="50038" xr:uid="{00000000-0005-0000-0000-00006D4C0000}"/>
    <cellStyle name="Note 3 4 6 2" xfId="51083" xr:uid="{00000000-0005-0000-0000-00006E4C0000}"/>
    <cellStyle name="Note 3 4 6 3" xfId="51132" xr:uid="{00000000-0005-0000-0000-00006F4C0000}"/>
    <cellStyle name="Note 3 4 7" xfId="50757" xr:uid="{00000000-0005-0000-0000-0000704C0000}"/>
    <cellStyle name="Note 3 4 8" xfId="50795" xr:uid="{00000000-0005-0000-0000-0000714C0000}"/>
    <cellStyle name="Note 3 4 9" xfId="50762" xr:uid="{00000000-0005-0000-0000-0000724C0000}"/>
    <cellStyle name="Note 3 5" xfId="49230" xr:uid="{00000000-0005-0000-0000-0000734C0000}"/>
    <cellStyle name="Note 3 5 2" xfId="49492" xr:uid="{00000000-0005-0000-0000-0000744C0000}"/>
    <cellStyle name="Note 3 5 2 2" xfId="49820" xr:uid="{00000000-0005-0000-0000-0000754C0000}"/>
    <cellStyle name="Note 3 5 2 2 2" xfId="50185" xr:uid="{00000000-0005-0000-0000-0000764C0000}"/>
    <cellStyle name="Note 3 5 2 2 3" xfId="51422" xr:uid="{00000000-0005-0000-0000-0000774C0000}"/>
    <cellStyle name="Note 3 5 2 3" xfId="50553" xr:uid="{00000000-0005-0000-0000-0000784C0000}"/>
    <cellStyle name="Note 3 5 2 4" xfId="50961" xr:uid="{00000000-0005-0000-0000-0000794C0000}"/>
    <cellStyle name="Note 3 5 3" xfId="49463" xr:uid="{00000000-0005-0000-0000-00007A4C0000}"/>
    <cellStyle name="Note 3 5 3 2" xfId="49791" xr:uid="{00000000-0005-0000-0000-00007B4C0000}"/>
    <cellStyle name="Note 3 5 3 2 2" xfId="50212" xr:uid="{00000000-0005-0000-0000-00007C4C0000}"/>
    <cellStyle name="Note 3 5 3 2 3" xfId="51393" xr:uid="{00000000-0005-0000-0000-00007D4C0000}"/>
    <cellStyle name="Note 3 5 3 3" xfId="50581" xr:uid="{00000000-0005-0000-0000-00007E4C0000}"/>
    <cellStyle name="Note 3 5 3 4" xfId="51234" xr:uid="{00000000-0005-0000-0000-00007F4C0000}"/>
    <cellStyle name="Note 3 5 4" xfId="49483" xr:uid="{00000000-0005-0000-0000-0000804C0000}"/>
    <cellStyle name="Note 3 5 4 2" xfId="49811" xr:uid="{00000000-0005-0000-0000-0000814C0000}"/>
    <cellStyle name="Note 3 5 4 2 2" xfId="50193" xr:uid="{00000000-0005-0000-0000-0000824C0000}"/>
    <cellStyle name="Note 3 5 4 2 3" xfId="51277" xr:uid="{00000000-0005-0000-0000-0000834C0000}"/>
    <cellStyle name="Note 3 5 4 3" xfId="50562" xr:uid="{00000000-0005-0000-0000-0000844C0000}"/>
    <cellStyle name="Note 3 5 4 4" xfId="51354" xr:uid="{00000000-0005-0000-0000-0000854C0000}"/>
    <cellStyle name="Note 3 5 5" xfId="49642" xr:uid="{00000000-0005-0000-0000-0000864C0000}"/>
    <cellStyle name="Note 3 5 5 2" xfId="50931" xr:uid="{00000000-0005-0000-0000-0000874C0000}"/>
    <cellStyle name="Note 3 5 5 3" xfId="50667" xr:uid="{00000000-0005-0000-0000-0000884C0000}"/>
    <cellStyle name="Note 3 5 6" xfId="50037" xr:uid="{00000000-0005-0000-0000-0000894C0000}"/>
    <cellStyle name="Note 3 5 6 2" xfId="51082" xr:uid="{00000000-0005-0000-0000-00008A4C0000}"/>
    <cellStyle name="Note 3 5 6 3" xfId="50935" xr:uid="{00000000-0005-0000-0000-00008B4C0000}"/>
    <cellStyle name="Note 3 5 7" xfId="50756" xr:uid="{00000000-0005-0000-0000-00008C4C0000}"/>
    <cellStyle name="Note 3 5 8" xfId="50870" xr:uid="{00000000-0005-0000-0000-00008D4C0000}"/>
    <cellStyle name="Note 3 5 9" xfId="50985" xr:uid="{00000000-0005-0000-0000-00008E4C0000}"/>
    <cellStyle name="Note 3 6" xfId="49231" xr:uid="{00000000-0005-0000-0000-00008F4C0000}"/>
    <cellStyle name="Note 3 6 2" xfId="49493" xr:uid="{00000000-0005-0000-0000-0000904C0000}"/>
    <cellStyle name="Note 3 6 2 2" xfId="49821" xr:uid="{00000000-0005-0000-0000-0000914C0000}"/>
    <cellStyle name="Note 3 6 2 2 2" xfId="50184" xr:uid="{00000000-0005-0000-0000-0000924C0000}"/>
    <cellStyle name="Note 3 6 2 2 3" xfId="51333" xr:uid="{00000000-0005-0000-0000-0000934C0000}"/>
    <cellStyle name="Note 3 6 2 3" xfId="50552" xr:uid="{00000000-0005-0000-0000-0000944C0000}"/>
    <cellStyle name="Note 3 6 2 4" xfId="51238" xr:uid="{00000000-0005-0000-0000-0000954C0000}"/>
    <cellStyle name="Note 3 6 3" xfId="49462" xr:uid="{00000000-0005-0000-0000-0000964C0000}"/>
    <cellStyle name="Note 3 6 3 2" xfId="49790" xr:uid="{00000000-0005-0000-0000-0000974C0000}"/>
    <cellStyle name="Note 3 6 3 2 2" xfId="50213" xr:uid="{00000000-0005-0000-0000-0000984C0000}"/>
    <cellStyle name="Note 3 6 3 2 3" xfId="51560" xr:uid="{00000000-0005-0000-0000-0000994C0000}"/>
    <cellStyle name="Note 3 6 3 3" xfId="50582" xr:uid="{00000000-0005-0000-0000-00009A4C0000}"/>
    <cellStyle name="Note 3 6 3 4" xfId="50808" xr:uid="{00000000-0005-0000-0000-00009B4C0000}"/>
    <cellStyle name="Note 3 6 4" xfId="49484" xr:uid="{00000000-0005-0000-0000-00009C4C0000}"/>
    <cellStyle name="Note 3 6 4 2" xfId="49812" xr:uid="{00000000-0005-0000-0000-00009D4C0000}"/>
    <cellStyle name="Note 3 6 4 2 2" xfId="50192" xr:uid="{00000000-0005-0000-0000-00009E4C0000}"/>
    <cellStyle name="Note 3 6 4 2 3" xfId="51535" xr:uid="{00000000-0005-0000-0000-00009F4C0000}"/>
    <cellStyle name="Note 3 6 4 3" xfId="50561" xr:uid="{00000000-0005-0000-0000-0000A04C0000}"/>
    <cellStyle name="Note 3 6 4 4" xfId="51650" xr:uid="{00000000-0005-0000-0000-0000A14C0000}"/>
    <cellStyle name="Note 3 6 5" xfId="49643" xr:uid="{00000000-0005-0000-0000-0000A24C0000}"/>
    <cellStyle name="Note 3 6 5 2" xfId="50865" xr:uid="{00000000-0005-0000-0000-0000A34C0000}"/>
    <cellStyle name="Note 3 6 5 3" xfId="51213" xr:uid="{00000000-0005-0000-0000-0000A44C0000}"/>
    <cellStyle name="Note 3 6 6" xfId="49966" xr:uid="{00000000-0005-0000-0000-0000A54C0000}"/>
    <cellStyle name="Note 3 6 6 2" xfId="51011" xr:uid="{00000000-0005-0000-0000-0000A64C0000}"/>
    <cellStyle name="Note 3 6 6 3" xfId="51550" xr:uid="{00000000-0005-0000-0000-0000A74C0000}"/>
    <cellStyle name="Note 3 6 7" xfId="50755" xr:uid="{00000000-0005-0000-0000-0000A84C0000}"/>
    <cellStyle name="Note 3 6 8" xfId="50945" xr:uid="{00000000-0005-0000-0000-0000A94C0000}"/>
    <cellStyle name="Note 3 6 9" xfId="50932" xr:uid="{00000000-0005-0000-0000-0000AA4C0000}"/>
    <cellStyle name="Note 3 7" xfId="49232" xr:uid="{00000000-0005-0000-0000-0000AB4C0000}"/>
    <cellStyle name="Note 3 7 2" xfId="49494" xr:uid="{00000000-0005-0000-0000-0000AC4C0000}"/>
    <cellStyle name="Note 3 7 2 2" xfId="49822" xr:uid="{00000000-0005-0000-0000-0000AD4C0000}"/>
    <cellStyle name="Note 3 7 2 2 2" xfId="50183" xr:uid="{00000000-0005-0000-0000-0000AE4C0000}"/>
    <cellStyle name="Note 3 7 2 2 3" xfId="51589" xr:uid="{00000000-0005-0000-0000-0000AF4C0000}"/>
    <cellStyle name="Note 3 7 2 3" xfId="50551" xr:uid="{00000000-0005-0000-0000-0000B04C0000}"/>
    <cellStyle name="Note 3 7 2 4" xfId="51495" xr:uid="{00000000-0005-0000-0000-0000B14C0000}"/>
    <cellStyle name="Note 3 7 3" xfId="49461" xr:uid="{00000000-0005-0000-0000-0000B24C0000}"/>
    <cellStyle name="Note 3 7 3 2" xfId="49789" xr:uid="{00000000-0005-0000-0000-0000B34C0000}"/>
    <cellStyle name="Note 3 7 3 2 2" xfId="50214" xr:uid="{00000000-0005-0000-0000-0000B44C0000}"/>
    <cellStyle name="Note 3 7 3 2 3" xfId="51303" xr:uid="{00000000-0005-0000-0000-0000B54C0000}"/>
    <cellStyle name="Note 3 7 3 3" xfId="50583" xr:uid="{00000000-0005-0000-0000-0000B64C0000}"/>
    <cellStyle name="Note 3 7 3 4" xfId="51652" xr:uid="{00000000-0005-0000-0000-0000B74C0000}"/>
    <cellStyle name="Note 3 7 4" xfId="49485" xr:uid="{00000000-0005-0000-0000-0000B84C0000}"/>
    <cellStyle name="Note 3 7 4 2" xfId="49813" xr:uid="{00000000-0005-0000-0000-0000B94C0000}"/>
    <cellStyle name="Note 3 7 4 2 2" xfId="50191" xr:uid="{00000000-0005-0000-0000-0000BA4C0000}"/>
    <cellStyle name="Note 3 7 4 2 3" xfId="51302" xr:uid="{00000000-0005-0000-0000-0000BB4C0000}"/>
    <cellStyle name="Note 3 7 4 3" xfId="50560" xr:uid="{00000000-0005-0000-0000-0000BC4C0000}"/>
    <cellStyle name="Note 3 7 4 4" xfId="50889" xr:uid="{00000000-0005-0000-0000-0000BD4C0000}"/>
    <cellStyle name="Note 3 7 5" xfId="49644" xr:uid="{00000000-0005-0000-0000-0000BE4C0000}"/>
    <cellStyle name="Note 3 7 5 2" xfId="50926" xr:uid="{00000000-0005-0000-0000-0000BF4C0000}"/>
    <cellStyle name="Note 3 7 5 3" xfId="50767" xr:uid="{00000000-0005-0000-0000-0000C04C0000}"/>
    <cellStyle name="Note 3 7 6" xfId="50052" xr:uid="{00000000-0005-0000-0000-0000C14C0000}"/>
    <cellStyle name="Note 3 7 6 2" xfId="51096" xr:uid="{00000000-0005-0000-0000-0000C24C0000}"/>
    <cellStyle name="Note 3 7 6 3" xfId="51603" xr:uid="{00000000-0005-0000-0000-0000C34C0000}"/>
    <cellStyle name="Note 3 7 7" xfId="50754" xr:uid="{00000000-0005-0000-0000-0000C44C0000}"/>
    <cellStyle name="Note 3 7 8" xfId="50885" xr:uid="{00000000-0005-0000-0000-0000C54C0000}"/>
    <cellStyle name="Note 3 7 9" xfId="50655" xr:uid="{00000000-0005-0000-0000-0000C64C0000}"/>
    <cellStyle name="Note 3 8" xfId="49233" xr:uid="{00000000-0005-0000-0000-0000C74C0000}"/>
    <cellStyle name="Note 3 8 2" xfId="49495" xr:uid="{00000000-0005-0000-0000-0000C84C0000}"/>
    <cellStyle name="Note 3 8 2 2" xfId="49823" xr:uid="{00000000-0005-0000-0000-0000C94C0000}"/>
    <cellStyle name="Note 3 8 2 2 2" xfId="50182" xr:uid="{00000000-0005-0000-0000-0000CA4C0000}"/>
    <cellStyle name="Note 3 8 2 2 3" xfId="51672" xr:uid="{00000000-0005-0000-0000-0000CB4C0000}"/>
    <cellStyle name="Note 3 8 2 3" xfId="50550" xr:uid="{00000000-0005-0000-0000-0000CC4C0000}"/>
    <cellStyle name="Note 3 8 2 4" xfId="51198" xr:uid="{00000000-0005-0000-0000-0000CD4C0000}"/>
    <cellStyle name="Note 3 8 3" xfId="49460" xr:uid="{00000000-0005-0000-0000-0000CE4C0000}"/>
    <cellStyle name="Note 3 8 3 2" xfId="49788" xr:uid="{00000000-0005-0000-0000-0000CF4C0000}"/>
    <cellStyle name="Note 3 8 3 2 2" xfId="50215" xr:uid="{00000000-0005-0000-0000-0000D04C0000}"/>
    <cellStyle name="Note 3 8 3 2 3" xfId="51532" xr:uid="{00000000-0005-0000-0000-0000D14C0000}"/>
    <cellStyle name="Note 3 8 3 3" xfId="50584" xr:uid="{00000000-0005-0000-0000-0000D24C0000}"/>
    <cellStyle name="Note 3 8 3 4" xfId="51351" xr:uid="{00000000-0005-0000-0000-0000D34C0000}"/>
    <cellStyle name="Note 3 8 4" xfId="49486" xr:uid="{00000000-0005-0000-0000-0000D44C0000}"/>
    <cellStyle name="Note 3 8 4 2" xfId="49814" xr:uid="{00000000-0005-0000-0000-0000D54C0000}"/>
    <cellStyle name="Note 3 8 4 2 2" xfId="50190" xr:uid="{00000000-0005-0000-0000-0000D64C0000}"/>
    <cellStyle name="Note 3 8 4 2 3" xfId="51559" xr:uid="{00000000-0005-0000-0000-0000D74C0000}"/>
    <cellStyle name="Note 3 8 4 3" xfId="50559" xr:uid="{00000000-0005-0000-0000-0000D84C0000}"/>
    <cellStyle name="Note 3 8 4 4" xfId="51237" xr:uid="{00000000-0005-0000-0000-0000D94C0000}"/>
    <cellStyle name="Note 3 8 5" xfId="49645" xr:uid="{00000000-0005-0000-0000-0000DA4C0000}"/>
    <cellStyle name="Note 3 8 5 2" xfId="50861" xr:uid="{00000000-0005-0000-0000-0000DB4C0000}"/>
    <cellStyle name="Note 3 8 5 3" xfId="50785" xr:uid="{00000000-0005-0000-0000-0000DC4C0000}"/>
    <cellStyle name="Note 3 8 6" xfId="50036" xr:uid="{00000000-0005-0000-0000-0000DD4C0000}"/>
    <cellStyle name="Note 3 8 6 2" xfId="51081" xr:uid="{00000000-0005-0000-0000-0000DE4C0000}"/>
    <cellStyle name="Note 3 8 6 3" xfId="51131" xr:uid="{00000000-0005-0000-0000-0000DF4C0000}"/>
    <cellStyle name="Note 3 8 7" xfId="50753" xr:uid="{00000000-0005-0000-0000-0000E04C0000}"/>
    <cellStyle name="Note 3 8 8" xfId="50956" xr:uid="{00000000-0005-0000-0000-0000E14C0000}"/>
    <cellStyle name="Note 3 8 9" xfId="50764" xr:uid="{00000000-0005-0000-0000-0000E24C0000}"/>
    <cellStyle name="Note 3 9" xfId="49488" xr:uid="{00000000-0005-0000-0000-0000E34C0000}"/>
    <cellStyle name="Note 3 9 2" xfId="49816" xr:uid="{00000000-0005-0000-0000-0000E44C0000}"/>
    <cellStyle name="Note 3 9 2 2" xfId="50069" xr:uid="{00000000-0005-0000-0000-0000E54C0000}"/>
    <cellStyle name="Note 3 9 2 3" xfId="51669" xr:uid="{00000000-0005-0000-0000-0000E64C0000}"/>
    <cellStyle name="Note 3 9 3" xfId="50557" xr:uid="{00000000-0005-0000-0000-0000E74C0000}"/>
    <cellStyle name="Note 3 9 4" xfId="51199"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81" xr:uid="{00000000-0005-0000-0000-0000254D0000}"/>
    <cellStyle name="Output 2 2 2 3" xfId="18327" xr:uid="{00000000-0005-0000-0000-0000264D0000}"/>
    <cellStyle name="Output 2 2 2 3 2" xfId="18328" xr:uid="{00000000-0005-0000-0000-0000274D0000}"/>
    <cellStyle name="Output 2 2 2 3 3" xfId="51339"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4"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9" xr:uid="{00000000-0005-0000-0000-0000334D0000}"/>
    <cellStyle name="Output 2 2 4" xfId="18338" xr:uid="{00000000-0005-0000-0000-0000344D0000}"/>
    <cellStyle name="Output 2 2 4 2" xfId="18339" xr:uid="{00000000-0005-0000-0000-0000354D0000}"/>
    <cellStyle name="Output 2 2 4 3" xfId="51456"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6"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6" xr:uid="{00000000-0005-0000-0000-00004B4D0000}"/>
    <cellStyle name="Output 2 3 2 3" xfId="51274" xr:uid="{00000000-0005-0000-0000-00004C4D0000}"/>
    <cellStyle name="Output 2 3 2 4" xfId="49787" xr:uid="{00000000-0005-0000-0000-00004D4D0000}"/>
    <cellStyle name="Output 2 3 3" xfId="18359" xr:uid="{00000000-0005-0000-0000-00004E4D0000}"/>
    <cellStyle name="Output 2 3 3 2" xfId="50585" xr:uid="{00000000-0005-0000-0000-00004F4D0000}"/>
    <cellStyle name="Output 2 3 4" xfId="51480" xr:uid="{00000000-0005-0000-0000-0000504D0000}"/>
    <cellStyle name="Output 2 3 5" xfId="49459"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6" xr:uid="{00000000-0005-0000-0000-0000624D0000}"/>
    <cellStyle name="Output 2 4 3" xfId="18376" xr:uid="{00000000-0005-0000-0000-0000634D0000}"/>
    <cellStyle name="Output 2 4 3 2" xfId="50766" xr:uid="{00000000-0005-0000-0000-0000644D0000}"/>
    <cellStyle name="Output 2 4 4" xfId="49646"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4"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80" xr:uid="{00000000-0005-0000-0000-0000754D0000}"/>
    <cellStyle name="Output 2 5 3" xfId="18391" xr:uid="{00000000-0005-0000-0000-0000764D0000}"/>
    <cellStyle name="Output 2 5 3 2" xfId="51130" xr:uid="{00000000-0005-0000-0000-0000774D0000}"/>
    <cellStyle name="Output 2 5 4" xfId="50035" xr:uid="{00000000-0005-0000-0000-0000784D0000}"/>
    <cellStyle name="Output 2 6" xfId="18392" xr:uid="{00000000-0005-0000-0000-0000794D0000}"/>
    <cellStyle name="Output 2 6 2" xfId="18393" xr:uid="{00000000-0005-0000-0000-00007A4D0000}"/>
    <cellStyle name="Output 2 6 3" xfId="50752" xr:uid="{00000000-0005-0000-0000-00007B4D0000}"/>
    <cellStyle name="Output 2 7" xfId="18394" xr:uid="{00000000-0005-0000-0000-00007C4D0000}"/>
    <cellStyle name="Output 2 7 2" xfId="18395" xr:uid="{00000000-0005-0000-0000-00007D4D0000}"/>
    <cellStyle name="Output 2 7 3" xfId="50908"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80" xr:uid="{00000000-0005-0000-0000-0000844D0000}"/>
    <cellStyle name="Output 3 2 2 3" xfId="50749" xr:uid="{00000000-0005-0000-0000-0000854D0000}"/>
    <cellStyle name="Output 3 2 2 4" xfId="49825" xr:uid="{00000000-0005-0000-0000-0000864D0000}"/>
    <cellStyle name="Output 3 2 3" xfId="50548" xr:uid="{00000000-0005-0000-0000-0000874D0000}"/>
    <cellStyle name="Output 3 2 4" xfId="51226" xr:uid="{00000000-0005-0000-0000-0000884D0000}"/>
    <cellStyle name="Output 3 2 5" xfId="49497" xr:uid="{00000000-0005-0000-0000-0000894D0000}"/>
    <cellStyle name="Output 3 3" xfId="18401" xr:uid="{00000000-0005-0000-0000-00008A4D0000}"/>
    <cellStyle name="Output 3 3 2" xfId="18402" xr:uid="{00000000-0005-0000-0000-00008B4D0000}"/>
    <cellStyle name="Output 3 3 2 2" xfId="50217" xr:uid="{00000000-0005-0000-0000-00008C4D0000}"/>
    <cellStyle name="Output 3 3 2 3" xfId="50849" xr:uid="{00000000-0005-0000-0000-00008D4D0000}"/>
    <cellStyle name="Output 3 3 2 4" xfId="49786" xr:uid="{00000000-0005-0000-0000-00008E4D0000}"/>
    <cellStyle name="Output 3 3 3" xfId="50586" xr:uid="{00000000-0005-0000-0000-00008F4D0000}"/>
    <cellStyle name="Output 3 3 4" xfId="51224" xr:uid="{00000000-0005-0000-0000-0000904D0000}"/>
    <cellStyle name="Output 3 3 5" xfId="49458" xr:uid="{00000000-0005-0000-0000-0000914D0000}"/>
    <cellStyle name="Output 3 4" xfId="18403" xr:uid="{00000000-0005-0000-0000-0000924D0000}"/>
    <cellStyle name="Output 3 4 2" xfId="50425" xr:uid="{00000000-0005-0000-0000-0000934D0000}"/>
    <cellStyle name="Output 3 4 3" xfId="50784" xr:uid="{00000000-0005-0000-0000-0000944D0000}"/>
    <cellStyle name="Output 3 4 4" xfId="49647" xr:uid="{00000000-0005-0000-0000-0000954D0000}"/>
    <cellStyle name="Output 3 5" xfId="50034" xr:uid="{00000000-0005-0000-0000-0000964D0000}"/>
    <cellStyle name="Output 3 5 2" xfId="51079" xr:uid="{00000000-0005-0000-0000-0000974D0000}"/>
    <cellStyle name="Output 3 5 3" xfId="50866" xr:uid="{00000000-0005-0000-0000-0000984D0000}"/>
    <cellStyle name="Output 3 6" xfId="50751" xr:uid="{00000000-0005-0000-0000-0000994D0000}"/>
    <cellStyle name="Output 3 7" xfId="50983" xr:uid="{00000000-0005-0000-0000-00009A4D0000}"/>
    <cellStyle name="Output 3 8" xfId="49235"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6"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7"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8" xr:uid="{00000000-0005-0000-0000-0000BF4F0000}"/>
    <cellStyle name="Percent 14" xfId="49239" xr:uid="{00000000-0005-0000-0000-0000C04F0000}"/>
    <cellStyle name="Percent 15" xfId="48242" xr:uid="{00000000-0005-0000-0000-0000C14F0000}"/>
    <cellStyle name="Percent 16" xfId="51689" xr:uid="{A5ABCC90-F860-4D7D-893B-9C9C2F1A77B2}"/>
    <cellStyle name="Percent 17" xfId="51691" xr:uid="{7E2A4EBC-EDAF-455C-99E2-6E0AFECBF748}"/>
    <cellStyle name="Percent 18" xfId="51693" xr:uid="{30F21A05-C29D-4306-B467-A48BF6254259}"/>
    <cellStyle name="Percent 18 2" xfId="51695"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6"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18" xfId="51706" xr:uid="{6D8A232D-4A64-4D2E-8BA2-37AFDBAE2F3A}"/>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40"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10" xfId="51704" xr:uid="{2FD29704-F845-4AAA-ABE2-EF1B5B05A1B8}"/>
    <cellStyle name="Percent 3 2" xfId="21414" xr:uid="{00000000-0005-0000-0000-000069590000}"/>
    <cellStyle name="Percent 3 2 4" xfId="51702" xr:uid="{4DEB5784-13C4-4561-9C53-E16FFCFE34E9}"/>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3"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42"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5"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4"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7"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6"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41"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9"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9"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8"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80"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5"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81"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50"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51"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3"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52"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5"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4"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8" xr:uid="{00000000-0005-0000-0000-000057890000}"/>
    <cellStyle name="RIGs input cells 47 2 2" xfId="51697" xr:uid="{A88BAD4B-83B2-4577-B1C3-F23E9A5FD83B}"/>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82"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6"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8"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7"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60"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9"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5" xr:uid="{00000000-0005-0000-0000-000026A30000}"/>
    <cellStyle name="RIGs input totals 47 2 2" xfId="51696" xr:uid="{A5665928-FD4A-489B-8B5C-2D4C7D58E0BC}"/>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62"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61"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3"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4"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3"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4" xr:uid="{00000000-0005-0000-0000-0000B0B70000}"/>
    <cellStyle name="SAPBEXaggData 2 2 3" xfId="50781" xr:uid="{00000000-0005-0000-0000-0000B1B70000}"/>
    <cellStyle name="SAPBEXaggData 2 2 4" xfId="49837" xr:uid="{00000000-0005-0000-0000-0000B2B70000}"/>
    <cellStyle name="SAPBEXaggData 2 3" xfId="45513" xr:uid="{00000000-0005-0000-0000-0000B3B70000}"/>
    <cellStyle name="SAPBEXaggData 2 3 2" xfId="50536" xr:uid="{00000000-0005-0000-0000-0000B4B70000}"/>
    <cellStyle name="SAPBEXaggData 2 4" xfId="50980" xr:uid="{00000000-0005-0000-0000-0000B5B70000}"/>
    <cellStyle name="SAPBEXaggData 2 5" xfId="49509"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5" xr:uid="{00000000-0005-0000-0000-0000C2B70000}"/>
    <cellStyle name="SAPBEXaggData 3 2 2" xfId="50218" xr:uid="{00000000-0005-0000-0000-0000C3B70000}"/>
    <cellStyle name="SAPBEXaggData 3 2 3" xfId="51620" xr:uid="{00000000-0005-0000-0000-0000C4B70000}"/>
    <cellStyle name="SAPBEXaggData 3 3" xfId="50587" xr:uid="{00000000-0005-0000-0000-0000C5B70000}"/>
    <cellStyle name="SAPBEXaggData 3 4" xfId="51461" xr:uid="{00000000-0005-0000-0000-0000C6B70000}"/>
    <cellStyle name="SAPBEXaggData 3 5" xfId="49457"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5" xr:uid="{00000000-0005-0000-0000-0000CBB70000}"/>
    <cellStyle name="SAPBEXaggData 4" xfId="45528" xr:uid="{00000000-0005-0000-0000-0000CCB70000}"/>
    <cellStyle name="SAPBEXaggData 4 2" xfId="49826" xr:uid="{00000000-0005-0000-0000-0000CDB70000}"/>
    <cellStyle name="SAPBEXaggData 4 2 2" xfId="50179" xr:uid="{00000000-0005-0000-0000-0000CEB70000}"/>
    <cellStyle name="SAPBEXaggData 4 2 3" xfId="50780" xr:uid="{00000000-0005-0000-0000-0000CFB70000}"/>
    <cellStyle name="SAPBEXaggData 4 3" xfId="50547" xr:uid="{00000000-0005-0000-0000-0000D0B70000}"/>
    <cellStyle name="SAPBEXaggData 4 4" xfId="51482" xr:uid="{00000000-0005-0000-0000-0000D1B70000}"/>
    <cellStyle name="SAPBEXaggData 4 5" xfId="49498" xr:uid="{00000000-0005-0000-0000-0000D2B70000}"/>
    <cellStyle name="SAPBEXaggData 5" xfId="45529" xr:uid="{00000000-0005-0000-0000-0000D3B70000}"/>
    <cellStyle name="SAPBEXaggData 5 2" xfId="50424" xr:uid="{00000000-0005-0000-0000-0000D4B70000}"/>
    <cellStyle name="SAPBEXaggData 5 3" xfId="50769" xr:uid="{00000000-0005-0000-0000-0000D5B70000}"/>
    <cellStyle name="SAPBEXaggData 5 4" xfId="49648" xr:uid="{00000000-0005-0000-0000-0000D6B70000}"/>
    <cellStyle name="SAPBEXaggData 6" xfId="45530" xr:uid="{00000000-0005-0000-0000-0000D7B70000}"/>
    <cellStyle name="SAPBEXaggData 6 2" xfId="51078" xr:uid="{00000000-0005-0000-0000-0000D8B70000}"/>
    <cellStyle name="SAPBEXaggData 6 3" xfId="51129" xr:uid="{00000000-0005-0000-0000-0000D9B70000}"/>
    <cellStyle name="SAPBEXaggData 6 4" xfId="50033" xr:uid="{00000000-0005-0000-0000-0000DAB70000}"/>
    <cellStyle name="SAPBEXaggData 7" xfId="45531" xr:uid="{00000000-0005-0000-0000-0000DBB70000}"/>
    <cellStyle name="SAPBEXaggData 7 2" xfId="50746" xr:uid="{00000000-0005-0000-0000-0000DCB70000}"/>
    <cellStyle name="SAPBEXaggData 8" xfId="45532" xr:uid="{00000000-0005-0000-0000-0000DDB70000}"/>
    <cellStyle name="SAPBEXaggData 8 2" xfId="51470" xr:uid="{00000000-0005-0000-0000-0000DEB70000}"/>
    <cellStyle name="SAPBEXaggData 9" xfId="45533" xr:uid="{00000000-0005-0000-0000-0000DFB70000}"/>
    <cellStyle name="SAPBEXaggData 9 2" xfId="51214"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3" xr:uid="{00000000-0005-0000-0000-0000EFB70000}"/>
    <cellStyle name="SAPBEXaggDataEmph 2 2 3" xfId="50771" xr:uid="{00000000-0005-0000-0000-0000F0B70000}"/>
    <cellStyle name="SAPBEXaggDataEmph 2 2 4" xfId="49838" xr:uid="{00000000-0005-0000-0000-0000F1B70000}"/>
    <cellStyle name="SAPBEXaggDataEmph 2 3" xfId="45547" xr:uid="{00000000-0005-0000-0000-0000F2B70000}"/>
    <cellStyle name="SAPBEXaggDataEmph 2 3 2" xfId="50535" xr:uid="{00000000-0005-0000-0000-0000F3B70000}"/>
    <cellStyle name="SAPBEXaggDataEmph 2 4" xfId="50809" xr:uid="{00000000-0005-0000-0000-0000F4B70000}"/>
    <cellStyle name="SAPBEXaggDataEmph 2 5" xfId="49510"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4" xr:uid="{00000000-0005-0000-0000-000001B80000}"/>
    <cellStyle name="SAPBEXaggDataEmph 3 2 2" xfId="50219" xr:uid="{00000000-0005-0000-0000-000002B80000}"/>
    <cellStyle name="SAPBEXaggDataEmph 3 2 3" xfId="51392" xr:uid="{00000000-0005-0000-0000-000003B80000}"/>
    <cellStyle name="SAPBEXaggDataEmph 3 3" xfId="50588" xr:uid="{00000000-0005-0000-0000-000004B80000}"/>
    <cellStyle name="SAPBEXaggDataEmph 3 4" xfId="51203" xr:uid="{00000000-0005-0000-0000-000005B80000}"/>
    <cellStyle name="SAPBEXaggDataEmph 3 5" xfId="49456"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6" xr:uid="{00000000-0005-0000-0000-00000AB80000}"/>
    <cellStyle name="SAPBEXaggDataEmph 4" xfId="45562" xr:uid="{00000000-0005-0000-0000-00000BB80000}"/>
    <cellStyle name="SAPBEXaggDataEmph 4 2" xfId="49827" xr:uid="{00000000-0005-0000-0000-00000CB80000}"/>
    <cellStyle name="SAPBEXaggDataEmph 4 2 2" xfId="50178" xr:uid="{00000000-0005-0000-0000-00000DB80000}"/>
    <cellStyle name="SAPBEXaggDataEmph 4 2 3" xfId="50821" xr:uid="{00000000-0005-0000-0000-00000EB80000}"/>
    <cellStyle name="SAPBEXaggDataEmph 4 3" xfId="50546" xr:uid="{00000000-0005-0000-0000-00000FB80000}"/>
    <cellStyle name="SAPBEXaggDataEmph 4 4" xfId="51356" xr:uid="{00000000-0005-0000-0000-000010B80000}"/>
    <cellStyle name="SAPBEXaggDataEmph 4 5" xfId="49499" xr:uid="{00000000-0005-0000-0000-000011B80000}"/>
    <cellStyle name="SAPBEXaggDataEmph 5" xfId="45563" xr:uid="{00000000-0005-0000-0000-000012B80000}"/>
    <cellStyle name="SAPBEXaggDataEmph 5 2" xfId="50423" xr:uid="{00000000-0005-0000-0000-000013B80000}"/>
    <cellStyle name="SAPBEXaggDataEmph 5 3" xfId="50834" xr:uid="{00000000-0005-0000-0000-000014B80000}"/>
    <cellStyle name="SAPBEXaggDataEmph 5 4" xfId="49649" xr:uid="{00000000-0005-0000-0000-000015B80000}"/>
    <cellStyle name="SAPBEXaggDataEmph 6" xfId="45564" xr:uid="{00000000-0005-0000-0000-000016B80000}"/>
    <cellStyle name="SAPBEXaggDataEmph 6 2" xfId="51077" xr:uid="{00000000-0005-0000-0000-000017B80000}"/>
    <cellStyle name="SAPBEXaggDataEmph 6 3" xfId="51604" xr:uid="{00000000-0005-0000-0000-000018B80000}"/>
    <cellStyle name="SAPBEXaggDataEmph 6 4" xfId="50032" xr:uid="{00000000-0005-0000-0000-000019B80000}"/>
    <cellStyle name="SAPBEXaggDataEmph 7" xfId="45565" xr:uid="{00000000-0005-0000-0000-00001AB80000}"/>
    <cellStyle name="SAPBEXaggDataEmph 7 2" xfId="50745" xr:uid="{00000000-0005-0000-0000-00001BB80000}"/>
    <cellStyle name="SAPBEXaggDataEmph 8" xfId="45566" xr:uid="{00000000-0005-0000-0000-00001CB80000}"/>
    <cellStyle name="SAPBEXaggDataEmph 8 2" xfId="51215" xr:uid="{00000000-0005-0000-0000-00001DB80000}"/>
    <cellStyle name="SAPBEXaggDataEmph 9" xfId="45567" xr:uid="{00000000-0005-0000-0000-00001EB80000}"/>
    <cellStyle name="SAPBEXaggDataEmph 9 2" xfId="50777"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72" xr:uid="{00000000-0005-0000-0000-00002EB80000}"/>
    <cellStyle name="SAPBEXaggItem 2 2 3" xfId="50787" xr:uid="{00000000-0005-0000-0000-00002FB80000}"/>
    <cellStyle name="SAPBEXaggItem 2 2 4" xfId="49839" xr:uid="{00000000-0005-0000-0000-000030B80000}"/>
    <cellStyle name="SAPBEXaggItem 2 3" xfId="45581" xr:uid="{00000000-0005-0000-0000-000031B80000}"/>
    <cellStyle name="SAPBEXaggItem 2 3 2" xfId="50534" xr:uid="{00000000-0005-0000-0000-000032B80000}"/>
    <cellStyle name="SAPBEXaggItem 2 4" xfId="51240" xr:uid="{00000000-0005-0000-0000-000033B80000}"/>
    <cellStyle name="SAPBEXaggItem 2 5" xfId="49511"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3" xr:uid="{00000000-0005-0000-0000-000040B80000}"/>
    <cellStyle name="SAPBEXaggItem 3 2 2" xfId="50220" xr:uid="{00000000-0005-0000-0000-000041B80000}"/>
    <cellStyle name="SAPBEXaggItem 3 2 3" xfId="51424" xr:uid="{00000000-0005-0000-0000-000042B80000}"/>
    <cellStyle name="SAPBEXaggItem 3 3" xfId="50589" xr:uid="{00000000-0005-0000-0000-000043B80000}"/>
    <cellStyle name="SAPBEXaggItem 3 4" xfId="51490" xr:uid="{00000000-0005-0000-0000-000044B80000}"/>
    <cellStyle name="SAPBEXaggItem 3 5" xfId="49455"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7" xr:uid="{00000000-0005-0000-0000-000049B80000}"/>
    <cellStyle name="SAPBEXaggItem 4" xfId="45596" xr:uid="{00000000-0005-0000-0000-00004AB80000}"/>
    <cellStyle name="SAPBEXaggItem 4 2" xfId="49828" xr:uid="{00000000-0005-0000-0000-00004BB80000}"/>
    <cellStyle name="SAPBEXaggItem 4 2 2" xfId="50177" xr:uid="{00000000-0005-0000-0000-00004CB80000}"/>
    <cellStyle name="SAPBEXaggItem 4 2 3" xfId="50858" xr:uid="{00000000-0005-0000-0000-00004DB80000}"/>
    <cellStyle name="SAPBEXaggItem 4 3" xfId="50545" xr:uid="{00000000-0005-0000-0000-00004EB80000}"/>
    <cellStyle name="SAPBEXaggItem 4 4" xfId="51648" xr:uid="{00000000-0005-0000-0000-00004FB80000}"/>
    <cellStyle name="SAPBEXaggItem 4 5" xfId="49500" xr:uid="{00000000-0005-0000-0000-000050B80000}"/>
    <cellStyle name="SAPBEXaggItem 5" xfId="45597" xr:uid="{00000000-0005-0000-0000-000051B80000}"/>
    <cellStyle name="SAPBEXaggItem 5 2" xfId="50422" xr:uid="{00000000-0005-0000-0000-000052B80000}"/>
    <cellStyle name="SAPBEXaggItem 5 3" xfId="51632" xr:uid="{00000000-0005-0000-0000-000053B80000}"/>
    <cellStyle name="SAPBEXaggItem 5 4" xfId="49650" xr:uid="{00000000-0005-0000-0000-000054B80000}"/>
    <cellStyle name="SAPBEXaggItem 6" xfId="45598" xr:uid="{00000000-0005-0000-0000-000055B80000}"/>
    <cellStyle name="SAPBEXaggItem 6 2" xfId="51076" xr:uid="{00000000-0005-0000-0000-000056B80000}"/>
    <cellStyle name="SAPBEXaggItem 6 3" xfId="50922" xr:uid="{00000000-0005-0000-0000-000057B80000}"/>
    <cellStyle name="SAPBEXaggItem 6 4" xfId="50031" xr:uid="{00000000-0005-0000-0000-000058B80000}"/>
    <cellStyle name="SAPBEXaggItem 7" xfId="45599" xr:uid="{00000000-0005-0000-0000-000059B80000}"/>
    <cellStyle name="SAPBEXaggItem 7 2" xfId="50744" xr:uid="{00000000-0005-0000-0000-00005AB80000}"/>
    <cellStyle name="SAPBEXaggItem 8" xfId="45600" xr:uid="{00000000-0005-0000-0000-00005BB80000}"/>
    <cellStyle name="SAPBEXaggItem 8 2" xfId="51472" xr:uid="{00000000-0005-0000-0000-00005CB80000}"/>
    <cellStyle name="SAPBEXaggItem 9" xfId="45601" xr:uid="{00000000-0005-0000-0000-00005DB80000}"/>
    <cellStyle name="SAPBEXaggItem 9 2" xfId="51681"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71" xr:uid="{00000000-0005-0000-0000-00006DB80000}"/>
    <cellStyle name="SAPBEXaggItemX 2 2 3" xfId="51671" xr:uid="{00000000-0005-0000-0000-00006EB80000}"/>
    <cellStyle name="SAPBEXaggItemX 2 2 4" xfId="49840" xr:uid="{00000000-0005-0000-0000-00006FB80000}"/>
    <cellStyle name="SAPBEXaggItemX 2 3" xfId="45615" xr:uid="{00000000-0005-0000-0000-000070B80000}"/>
    <cellStyle name="SAPBEXaggItemX 2 3 2" xfId="50533" xr:uid="{00000000-0005-0000-0000-000071B80000}"/>
    <cellStyle name="SAPBEXaggItemX 2 4" xfId="51497" xr:uid="{00000000-0005-0000-0000-000072B80000}"/>
    <cellStyle name="SAPBEXaggItemX 2 5" xfId="49512"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82" xr:uid="{00000000-0005-0000-0000-00007FB80000}"/>
    <cellStyle name="SAPBEXaggItemX 3 2 2" xfId="50221" xr:uid="{00000000-0005-0000-0000-000080B80000}"/>
    <cellStyle name="SAPBEXaggItemX 3 2 3" xfId="51164" xr:uid="{00000000-0005-0000-0000-000081B80000}"/>
    <cellStyle name="SAPBEXaggItemX 3 3" xfId="50590" xr:uid="{00000000-0005-0000-0000-000082B80000}"/>
    <cellStyle name="SAPBEXaggItemX 3 4" xfId="51233" xr:uid="{00000000-0005-0000-0000-000083B80000}"/>
    <cellStyle name="SAPBEXaggItemX 3 5" xfId="49454"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8" xr:uid="{00000000-0005-0000-0000-000088B80000}"/>
    <cellStyle name="SAPBEXaggItemX 4" xfId="45630" xr:uid="{00000000-0005-0000-0000-000089B80000}"/>
    <cellStyle name="SAPBEXaggItemX 4 2" xfId="50421" xr:uid="{00000000-0005-0000-0000-00008AB80000}"/>
    <cellStyle name="SAPBEXaggItemX 4 3" xfId="50666" xr:uid="{00000000-0005-0000-0000-00008BB80000}"/>
    <cellStyle name="SAPBEXaggItemX 4 4" xfId="49651" xr:uid="{00000000-0005-0000-0000-00008CB80000}"/>
    <cellStyle name="SAPBEXaggItemX 5" xfId="45631" xr:uid="{00000000-0005-0000-0000-00008DB80000}"/>
    <cellStyle name="SAPBEXaggItemX 5 2" xfId="51075" xr:uid="{00000000-0005-0000-0000-00008EB80000}"/>
    <cellStyle name="SAPBEXaggItemX 5 3" xfId="51417" xr:uid="{00000000-0005-0000-0000-00008FB80000}"/>
    <cellStyle name="SAPBEXaggItemX 5 4" xfId="50030" xr:uid="{00000000-0005-0000-0000-000090B80000}"/>
    <cellStyle name="SAPBEXaggItemX 6" xfId="45632" xr:uid="{00000000-0005-0000-0000-000091B80000}"/>
    <cellStyle name="SAPBEXaggItemX 6 2" xfId="50743" xr:uid="{00000000-0005-0000-0000-000092B80000}"/>
    <cellStyle name="SAPBEXaggItemX 7" xfId="45633" xr:uid="{00000000-0005-0000-0000-000093B80000}"/>
    <cellStyle name="SAPBEXaggItemX 7 2" xfId="51341"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9" xr:uid="{00000000-0005-0000-0000-000098B80000}"/>
    <cellStyle name="SAPBEXchaText 2" xfId="45636" xr:uid="{00000000-0005-0000-0000-000099B80000}"/>
    <cellStyle name="SAPBEXchaText 2 2" xfId="49841" xr:uid="{00000000-0005-0000-0000-00009AB80000}"/>
    <cellStyle name="SAPBEXchaText 2 2 2" xfId="50170" xr:uid="{00000000-0005-0000-0000-00009BB80000}"/>
    <cellStyle name="SAPBEXchaText 2 2 3" xfId="50820" xr:uid="{00000000-0005-0000-0000-00009CB80000}"/>
    <cellStyle name="SAPBEXchaText 2 3" xfId="50532" xr:uid="{00000000-0005-0000-0000-00009DB80000}"/>
    <cellStyle name="SAPBEXchaText 2 4" xfId="51196" xr:uid="{00000000-0005-0000-0000-00009EB80000}"/>
    <cellStyle name="SAPBEXchaText 2 5" xfId="49513" xr:uid="{00000000-0005-0000-0000-00009FB80000}"/>
    <cellStyle name="SAPBEXchaText 3" xfId="49453" xr:uid="{00000000-0005-0000-0000-0000A0B80000}"/>
    <cellStyle name="SAPBEXchaText 3 2" xfId="49781" xr:uid="{00000000-0005-0000-0000-0000A1B80000}"/>
    <cellStyle name="SAPBEXchaText 3 2 2" xfId="50222" xr:uid="{00000000-0005-0000-0000-0000A2B80000}"/>
    <cellStyle name="SAPBEXchaText 3 2 3" xfId="51531" xr:uid="{00000000-0005-0000-0000-0000A3B80000}"/>
    <cellStyle name="SAPBEXchaText 3 3" xfId="50591" xr:uid="{00000000-0005-0000-0000-0000A4B80000}"/>
    <cellStyle name="SAPBEXchaText 3 4" xfId="50981" xr:uid="{00000000-0005-0000-0000-0000A5B80000}"/>
    <cellStyle name="SAPBEXchaText 4" xfId="49501" xr:uid="{00000000-0005-0000-0000-0000A6B80000}"/>
    <cellStyle name="SAPBEXchaText 4 2" xfId="49829" xr:uid="{00000000-0005-0000-0000-0000A7B80000}"/>
    <cellStyle name="SAPBEXchaText 4 2 2" xfId="50176" xr:uid="{00000000-0005-0000-0000-0000A8B80000}"/>
    <cellStyle name="SAPBEXchaText 4 2 3" xfId="50658" xr:uid="{00000000-0005-0000-0000-0000A9B80000}"/>
    <cellStyle name="SAPBEXchaText 4 3" xfId="50544" xr:uid="{00000000-0005-0000-0000-0000AAB80000}"/>
    <cellStyle name="SAPBEXchaText 4 4" xfId="50899" xr:uid="{00000000-0005-0000-0000-0000ABB80000}"/>
    <cellStyle name="SAPBEXchaText 5" xfId="49652" xr:uid="{00000000-0005-0000-0000-0000ACB80000}"/>
    <cellStyle name="SAPBEXchaText 5 2" xfId="50420" xr:uid="{00000000-0005-0000-0000-0000ADB80000}"/>
    <cellStyle name="SAPBEXchaText 5 3" xfId="51471" xr:uid="{00000000-0005-0000-0000-0000AEB80000}"/>
    <cellStyle name="SAPBEXchaText 6" xfId="50029" xr:uid="{00000000-0005-0000-0000-0000AFB80000}"/>
    <cellStyle name="SAPBEXchaText 6 2" xfId="51074" xr:uid="{00000000-0005-0000-0000-0000B0B80000}"/>
    <cellStyle name="SAPBEXchaText 6 3" xfId="51587" xr:uid="{00000000-0005-0000-0000-0000B1B80000}"/>
    <cellStyle name="SAPBEXchaText 7" xfId="50742" xr:uid="{00000000-0005-0000-0000-0000B2B80000}"/>
    <cellStyle name="SAPBEXchaText 8" xfId="51667" xr:uid="{00000000-0005-0000-0000-0000B3B80000}"/>
    <cellStyle name="SAPBEXchaText 9" xfId="51683"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9" xr:uid="{00000000-0005-0000-0000-0000C3B80000}"/>
    <cellStyle name="SAPBEXexcBad7 2 2 3" xfId="50879" xr:uid="{00000000-0005-0000-0000-0000C4B80000}"/>
    <cellStyle name="SAPBEXexcBad7 2 2 4" xfId="49842" xr:uid="{00000000-0005-0000-0000-0000C5B80000}"/>
    <cellStyle name="SAPBEXexcBad7 2 3" xfId="45650" xr:uid="{00000000-0005-0000-0000-0000C6B80000}"/>
    <cellStyle name="SAPBEXexcBad7 2 3 2" xfId="50531" xr:uid="{00000000-0005-0000-0000-0000C7B80000}"/>
    <cellStyle name="SAPBEXexcBad7 2 4" xfId="51454" xr:uid="{00000000-0005-0000-0000-0000C8B80000}"/>
    <cellStyle name="SAPBEXexcBad7 2 5" xfId="49514"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80" xr:uid="{00000000-0005-0000-0000-0000D5B80000}"/>
    <cellStyle name="SAPBEXexcBad7 3 2 2" xfId="50223" xr:uid="{00000000-0005-0000-0000-0000D6B80000}"/>
    <cellStyle name="SAPBEXexcBad7 3 2 3" xfId="51273" xr:uid="{00000000-0005-0000-0000-0000D7B80000}"/>
    <cellStyle name="SAPBEXexcBad7 3 3" xfId="50592" xr:uid="{00000000-0005-0000-0000-0000D8B80000}"/>
    <cellStyle name="SAPBEXexcBad7 3 4" xfId="51653" xr:uid="{00000000-0005-0000-0000-0000D9B80000}"/>
    <cellStyle name="SAPBEXexcBad7 3 5" xfId="49452"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70" xr:uid="{00000000-0005-0000-0000-0000DEB80000}"/>
    <cellStyle name="SAPBEXexcBad7 4" xfId="45665" xr:uid="{00000000-0005-0000-0000-0000DFB80000}"/>
    <cellStyle name="SAPBEXexcBad7 4 2" xfId="49830" xr:uid="{00000000-0005-0000-0000-0000E0B80000}"/>
    <cellStyle name="SAPBEXexcBad7 4 2 2" xfId="50175" xr:uid="{00000000-0005-0000-0000-0000E1B80000}"/>
    <cellStyle name="SAPBEXexcBad7 4 2 3" xfId="50835" xr:uid="{00000000-0005-0000-0000-0000E2B80000}"/>
    <cellStyle name="SAPBEXexcBad7 4 3" xfId="50543" xr:uid="{00000000-0005-0000-0000-0000E3B80000}"/>
    <cellStyle name="SAPBEXexcBad7 4 4" xfId="50970" xr:uid="{00000000-0005-0000-0000-0000E4B80000}"/>
    <cellStyle name="SAPBEXexcBad7 4 5" xfId="49502" xr:uid="{00000000-0005-0000-0000-0000E5B80000}"/>
    <cellStyle name="SAPBEXexcBad7 5" xfId="45666" xr:uid="{00000000-0005-0000-0000-0000E6B80000}"/>
    <cellStyle name="SAPBEXexcBad7 5 2" xfId="50419" xr:uid="{00000000-0005-0000-0000-0000E7B80000}"/>
    <cellStyle name="SAPBEXexcBad7 5 3" xfId="50768" xr:uid="{00000000-0005-0000-0000-0000E8B80000}"/>
    <cellStyle name="SAPBEXexcBad7 5 4" xfId="49653" xr:uid="{00000000-0005-0000-0000-0000E9B80000}"/>
    <cellStyle name="SAPBEXexcBad7 6" xfId="45667" xr:uid="{00000000-0005-0000-0000-0000EAB80000}"/>
    <cellStyle name="SAPBEXexcBad7 6 2" xfId="51073" xr:uid="{00000000-0005-0000-0000-0000EBB80000}"/>
    <cellStyle name="SAPBEXexcBad7 6 3" xfId="51330" xr:uid="{00000000-0005-0000-0000-0000ECB80000}"/>
    <cellStyle name="SAPBEXexcBad7 6 4" xfId="50028" xr:uid="{00000000-0005-0000-0000-0000EDB80000}"/>
    <cellStyle name="SAPBEXexcBad7 7" xfId="45668" xr:uid="{00000000-0005-0000-0000-0000EEB80000}"/>
    <cellStyle name="SAPBEXexcBad7 7 2" xfId="50741" xr:uid="{00000000-0005-0000-0000-0000EFB80000}"/>
    <cellStyle name="SAPBEXexcBad7 8" xfId="45669" xr:uid="{00000000-0005-0000-0000-0000F0B80000}"/>
    <cellStyle name="SAPBEXexcBad7 8 2" xfId="50909" xr:uid="{00000000-0005-0000-0000-0000F1B80000}"/>
    <cellStyle name="SAPBEXexcBad7 9" xfId="45670" xr:uid="{00000000-0005-0000-0000-0000F2B80000}"/>
    <cellStyle name="SAPBEXexcBad7 9 2" xfId="50942"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8" xr:uid="{00000000-0005-0000-0000-000002B90000}"/>
    <cellStyle name="SAPBEXexcBad8 2 2 3" xfId="51279" xr:uid="{00000000-0005-0000-0000-000003B90000}"/>
    <cellStyle name="SAPBEXexcBad8 2 2 4" xfId="49843" xr:uid="{00000000-0005-0000-0000-000004B90000}"/>
    <cellStyle name="SAPBEXexcBad8 2 3" xfId="45684" xr:uid="{00000000-0005-0000-0000-000005B90000}"/>
    <cellStyle name="SAPBEXexcBad8 2 3 2" xfId="50530" xr:uid="{00000000-0005-0000-0000-000006B90000}"/>
    <cellStyle name="SAPBEXexcBad8 2 4" xfId="51358" xr:uid="{00000000-0005-0000-0000-000007B90000}"/>
    <cellStyle name="SAPBEXexcBad8 2 5" xfId="49515"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9" xr:uid="{00000000-0005-0000-0000-000014B90000}"/>
    <cellStyle name="SAPBEXexcBad8 3 2 2" xfId="50224" xr:uid="{00000000-0005-0000-0000-000015B90000}"/>
    <cellStyle name="SAPBEXexcBad8 3 2 3" xfId="50819" xr:uid="{00000000-0005-0000-0000-000016B90000}"/>
    <cellStyle name="SAPBEXexcBad8 3 3" xfId="50593" xr:uid="{00000000-0005-0000-0000-000017B90000}"/>
    <cellStyle name="SAPBEXexcBad8 3 4" xfId="51350" xr:uid="{00000000-0005-0000-0000-000018B90000}"/>
    <cellStyle name="SAPBEXexcBad8 3 5" xfId="49451"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71" xr:uid="{00000000-0005-0000-0000-00001DB90000}"/>
    <cellStyle name="SAPBEXexcBad8 4" xfId="45699" xr:uid="{00000000-0005-0000-0000-00001EB90000}"/>
    <cellStyle name="SAPBEXexcBad8 4 2" xfId="49831" xr:uid="{00000000-0005-0000-0000-00001FB90000}"/>
    <cellStyle name="SAPBEXexcBad8 4 2 2" xfId="50839" xr:uid="{00000000-0005-0000-0000-000020B90000}"/>
    <cellStyle name="SAPBEXexcBad8 4 2 3" xfId="51395" xr:uid="{00000000-0005-0000-0000-000021B90000}"/>
    <cellStyle name="SAPBEXexcBad8 4 3" xfId="50542" xr:uid="{00000000-0005-0000-0000-000022B90000}"/>
    <cellStyle name="SAPBEXexcBad8 4 4" xfId="51239" xr:uid="{00000000-0005-0000-0000-000023B90000}"/>
    <cellStyle name="SAPBEXexcBad8 4 5" xfId="49503" xr:uid="{00000000-0005-0000-0000-000024B90000}"/>
    <cellStyle name="SAPBEXexcBad8 5" xfId="45700" xr:uid="{00000000-0005-0000-0000-000025B90000}"/>
    <cellStyle name="SAPBEXexcBad8 5 2" xfId="50418" xr:uid="{00000000-0005-0000-0000-000026B90000}"/>
    <cellStyle name="SAPBEXexcBad8 5 3" xfId="50786" xr:uid="{00000000-0005-0000-0000-000027B90000}"/>
    <cellStyle name="SAPBEXexcBad8 5 4" xfId="49654" xr:uid="{00000000-0005-0000-0000-000028B90000}"/>
    <cellStyle name="SAPBEXexcBad8 6" xfId="45701" xr:uid="{00000000-0005-0000-0000-000029B90000}"/>
    <cellStyle name="SAPBEXexcBad8 6 2" xfId="51072" xr:uid="{00000000-0005-0000-0000-00002AB90000}"/>
    <cellStyle name="SAPBEXexcBad8 6 3" xfId="51557" xr:uid="{00000000-0005-0000-0000-00002BB90000}"/>
    <cellStyle name="SAPBEXexcBad8 6 4" xfId="50027" xr:uid="{00000000-0005-0000-0000-00002CB90000}"/>
    <cellStyle name="SAPBEXexcBad8 7" xfId="45702" xr:uid="{00000000-0005-0000-0000-00002DB90000}"/>
    <cellStyle name="SAPBEXexcBad8 7 2" xfId="50740" xr:uid="{00000000-0005-0000-0000-00002EB90000}"/>
    <cellStyle name="SAPBEXexcBad8 8" xfId="45703" xr:uid="{00000000-0005-0000-0000-00002FB90000}"/>
    <cellStyle name="SAPBEXexcBad8 8 2" xfId="51218" xr:uid="{00000000-0005-0000-0000-000030B90000}"/>
    <cellStyle name="SAPBEXexcBad8 9" xfId="45704" xr:uid="{00000000-0005-0000-0000-000031B90000}"/>
    <cellStyle name="SAPBEXexcBad8 9 2" xfId="50763"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7" xr:uid="{00000000-0005-0000-0000-000041B90000}"/>
    <cellStyle name="SAPBEXexcBad9 2 2 3" xfId="51537" xr:uid="{00000000-0005-0000-0000-000042B90000}"/>
    <cellStyle name="SAPBEXexcBad9 2 2 4" xfId="49844" xr:uid="{00000000-0005-0000-0000-000043B90000}"/>
    <cellStyle name="SAPBEXexcBad9 2 3" xfId="45718" xr:uid="{00000000-0005-0000-0000-000044B90000}"/>
    <cellStyle name="SAPBEXexcBad9 2 3 2" xfId="50529" xr:uid="{00000000-0005-0000-0000-000045B90000}"/>
    <cellStyle name="SAPBEXexcBad9 2 4" xfId="51646" xr:uid="{00000000-0005-0000-0000-000046B90000}"/>
    <cellStyle name="SAPBEXexcBad9 2 5" xfId="49516"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8" xr:uid="{00000000-0005-0000-0000-000053B90000}"/>
    <cellStyle name="SAPBEXexcBad9 3 2 2" xfId="50225" xr:uid="{00000000-0005-0000-0000-000054B90000}"/>
    <cellStyle name="SAPBEXexcBad9 3 2 3" xfId="51594" xr:uid="{00000000-0005-0000-0000-000055B90000}"/>
    <cellStyle name="SAPBEXexcBad9 3 3" xfId="50594" xr:uid="{00000000-0005-0000-0000-000056B90000}"/>
    <cellStyle name="SAPBEXexcBad9 3 4" xfId="51567" xr:uid="{00000000-0005-0000-0000-000057B90000}"/>
    <cellStyle name="SAPBEXexcBad9 3 5" xfId="49450"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72" xr:uid="{00000000-0005-0000-0000-00005CB90000}"/>
    <cellStyle name="SAPBEXexcBad9 4" xfId="45733" xr:uid="{00000000-0005-0000-0000-00005DB90000}"/>
    <cellStyle name="SAPBEXexcBad9 4 2" xfId="50417" xr:uid="{00000000-0005-0000-0000-00005EB90000}"/>
    <cellStyle name="SAPBEXexcBad9 4 3" xfId="50765" xr:uid="{00000000-0005-0000-0000-00005FB90000}"/>
    <cellStyle name="SAPBEXexcBad9 4 4" xfId="49655" xr:uid="{00000000-0005-0000-0000-000060B90000}"/>
    <cellStyle name="SAPBEXexcBad9 5" xfId="45734" xr:uid="{00000000-0005-0000-0000-000061B90000}"/>
    <cellStyle name="SAPBEXexcBad9 5 2" xfId="51071" xr:uid="{00000000-0005-0000-0000-000062B90000}"/>
    <cellStyle name="SAPBEXexcBad9 5 3" xfId="51299" xr:uid="{00000000-0005-0000-0000-000063B90000}"/>
    <cellStyle name="SAPBEXexcBad9 5 4" xfId="50026" xr:uid="{00000000-0005-0000-0000-000064B90000}"/>
    <cellStyle name="SAPBEXexcBad9 6" xfId="45735" xr:uid="{00000000-0005-0000-0000-000065B90000}"/>
    <cellStyle name="SAPBEXexcBad9 6 2" xfId="50739" xr:uid="{00000000-0005-0000-0000-000066B90000}"/>
    <cellStyle name="SAPBEXexcBad9 7" xfId="45736" xr:uid="{00000000-0005-0000-0000-000067B90000}"/>
    <cellStyle name="SAPBEXexcBad9 7 2" xfId="51475"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52" xr:uid="{00000000-0005-0000-0000-000079B90000}"/>
    <cellStyle name="SAPBEXexcCritical4 2 2 3" xfId="51311" xr:uid="{00000000-0005-0000-0000-00007AB90000}"/>
    <cellStyle name="SAPBEXexcCritical4 2 2 4" xfId="49845" xr:uid="{00000000-0005-0000-0000-00007BB90000}"/>
    <cellStyle name="SAPBEXexcCritical4 2 3" xfId="45752" xr:uid="{00000000-0005-0000-0000-00007CB90000}"/>
    <cellStyle name="SAPBEXexcCritical4 2 3 2" xfId="50528" xr:uid="{00000000-0005-0000-0000-00007DB90000}"/>
    <cellStyle name="SAPBEXexcCritical4 2 4" xfId="50949" xr:uid="{00000000-0005-0000-0000-00007EB90000}"/>
    <cellStyle name="SAPBEXexcCritical4 2 5" xfId="49517"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7" xr:uid="{00000000-0005-0000-0000-00008BB90000}"/>
    <cellStyle name="SAPBEXexcCritical4 3 2 2" xfId="50226" xr:uid="{00000000-0005-0000-0000-00008CB90000}"/>
    <cellStyle name="SAPBEXexcCritical4 3 2 3" xfId="51391" xr:uid="{00000000-0005-0000-0000-00008DB90000}"/>
    <cellStyle name="SAPBEXexcCritical4 3 3" xfId="50595" xr:uid="{00000000-0005-0000-0000-00008EB90000}"/>
    <cellStyle name="SAPBEXexcCritical4 3 4" xfId="51310" xr:uid="{00000000-0005-0000-0000-00008FB90000}"/>
    <cellStyle name="SAPBEXexcCritical4 3 5" xfId="49449"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3" xr:uid="{00000000-0005-0000-0000-000094B90000}"/>
    <cellStyle name="SAPBEXexcCritical4 4" xfId="45767" xr:uid="{00000000-0005-0000-0000-000095B90000}"/>
    <cellStyle name="SAPBEXexcCritical4 4 2" xfId="49925" xr:uid="{00000000-0005-0000-0000-000096B90000}"/>
    <cellStyle name="SAPBEXexcCritical4 4 2 2" xfId="50091" xr:uid="{00000000-0005-0000-0000-000097B90000}"/>
    <cellStyle name="SAPBEXexcCritical4 4 2 3" xfId="51110" xr:uid="{00000000-0005-0000-0000-000098B90000}"/>
    <cellStyle name="SAPBEXexcCritical4 4 3" xfId="50448" xr:uid="{00000000-0005-0000-0000-000099B90000}"/>
    <cellStyle name="SAPBEXexcCritical4 4 4" xfId="51243" xr:uid="{00000000-0005-0000-0000-00009AB90000}"/>
    <cellStyle name="SAPBEXexcCritical4 4 5" xfId="49597" xr:uid="{00000000-0005-0000-0000-00009BB90000}"/>
    <cellStyle name="SAPBEXexcCritical4 5" xfId="45768" xr:uid="{00000000-0005-0000-0000-00009CB90000}"/>
    <cellStyle name="SAPBEXexcCritical4 5 2" xfId="50416" xr:uid="{00000000-0005-0000-0000-00009DB90000}"/>
    <cellStyle name="SAPBEXexcCritical4 5 3" xfId="50783" xr:uid="{00000000-0005-0000-0000-00009EB90000}"/>
    <cellStyle name="SAPBEXexcCritical4 5 4" xfId="49656" xr:uid="{00000000-0005-0000-0000-00009FB90000}"/>
    <cellStyle name="SAPBEXexcCritical4 6" xfId="45769" xr:uid="{00000000-0005-0000-0000-0000A0B90000}"/>
    <cellStyle name="SAPBEXexcCritical4 6 2" xfId="51070" xr:uid="{00000000-0005-0000-0000-0000A1B90000}"/>
    <cellStyle name="SAPBEXexcCritical4 6 3" xfId="51128" xr:uid="{00000000-0005-0000-0000-0000A2B90000}"/>
    <cellStyle name="SAPBEXexcCritical4 6 4" xfId="50025" xr:uid="{00000000-0005-0000-0000-0000A3B90000}"/>
    <cellStyle name="SAPBEXexcCritical4 7" xfId="45770" xr:uid="{00000000-0005-0000-0000-0000A4B90000}"/>
    <cellStyle name="SAPBEXexcCritical4 7 2" xfId="50738" xr:uid="{00000000-0005-0000-0000-0000A5B90000}"/>
    <cellStyle name="SAPBEXexcCritical4 8" xfId="45771" xr:uid="{00000000-0005-0000-0000-0000A6B90000}"/>
    <cellStyle name="SAPBEXexcCritical4 8 2" xfId="51211" xr:uid="{00000000-0005-0000-0000-0000A7B90000}"/>
    <cellStyle name="SAPBEXexcCritical4 9" xfId="45772" xr:uid="{00000000-0005-0000-0000-0000A8B90000}"/>
    <cellStyle name="SAPBEXexcCritical4 9 2" xfId="51687"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8" xr:uid="{00000000-0005-0000-0000-0000B8B90000}"/>
    <cellStyle name="SAPBEXexcCritical5 2 2 3" xfId="51568" xr:uid="{00000000-0005-0000-0000-0000B9B90000}"/>
    <cellStyle name="SAPBEXexcCritical5 2 2 4" xfId="49846" xr:uid="{00000000-0005-0000-0000-0000BAB90000}"/>
    <cellStyle name="SAPBEXexcCritical5 2 3" xfId="45786" xr:uid="{00000000-0005-0000-0000-0000BBB90000}"/>
    <cellStyle name="SAPBEXexcCritical5 2 3 2" xfId="50527" xr:uid="{00000000-0005-0000-0000-0000BCB90000}"/>
    <cellStyle name="SAPBEXexcCritical5 2 4" xfId="50890" xr:uid="{00000000-0005-0000-0000-0000BDB90000}"/>
    <cellStyle name="SAPBEXexcCritical5 2 5" xfId="49518"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6" xr:uid="{00000000-0005-0000-0000-0000CAB90000}"/>
    <cellStyle name="SAPBEXexcCritical5 3 2 2" xfId="50227" xr:uid="{00000000-0005-0000-0000-0000CBB90000}"/>
    <cellStyle name="SAPBEXexcCritical5 3 2 3" xfId="51425" xr:uid="{00000000-0005-0000-0000-0000CCB90000}"/>
    <cellStyle name="SAPBEXexcCritical5 3 3" xfId="50596" xr:uid="{00000000-0005-0000-0000-0000CDB90000}"/>
    <cellStyle name="SAPBEXexcCritical5 3 4" xfId="51462" xr:uid="{00000000-0005-0000-0000-0000CEB90000}"/>
    <cellStyle name="SAPBEXexcCritical5 3 5" xfId="49448"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4" xr:uid="{00000000-0005-0000-0000-0000D3B90000}"/>
    <cellStyle name="SAPBEXexcCritical5 4" xfId="45801" xr:uid="{00000000-0005-0000-0000-0000D4B90000}"/>
    <cellStyle name="SAPBEXexcCritical5 4 2" xfId="49926" xr:uid="{00000000-0005-0000-0000-0000D5B90000}"/>
    <cellStyle name="SAPBEXexcCritical5 4 2 2" xfId="50829" xr:uid="{00000000-0005-0000-0000-0000D6B90000}"/>
    <cellStyle name="SAPBEXexcCritical5 4 2 3" xfId="51157" xr:uid="{00000000-0005-0000-0000-0000D7B90000}"/>
    <cellStyle name="SAPBEXexcCritical5 4 3" xfId="50447" xr:uid="{00000000-0005-0000-0000-0000D8B90000}"/>
    <cellStyle name="SAPBEXexcCritical5 4 4" xfId="51500" xr:uid="{00000000-0005-0000-0000-0000D9B90000}"/>
    <cellStyle name="SAPBEXexcCritical5 4 5" xfId="49598" xr:uid="{00000000-0005-0000-0000-0000DAB90000}"/>
    <cellStyle name="SAPBEXexcCritical5 5" xfId="45802" xr:uid="{00000000-0005-0000-0000-0000DBB90000}"/>
    <cellStyle name="SAPBEXexcCritical5 5 2" xfId="50415" xr:uid="{00000000-0005-0000-0000-0000DCB90000}"/>
    <cellStyle name="SAPBEXexcCritical5 5 3" xfId="50770" xr:uid="{00000000-0005-0000-0000-0000DDB90000}"/>
    <cellStyle name="SAPBEXexcCritical5 5 4" xfId="49657" xr:uid="{00000000-0005-0000-0000-0000DEB90000}"/>
    <cellStyle name="SAPBEXexcCritical5 6" xfId="45803" xr:uid="{00000000-0005-0000-0000-0000DFB90000}"/>
    <cellStyle name="SAPBEXexcCritical5 6 2" xfId="51069" xr:uid="{00000000-0005-0000-0000-0000E0B90000}"/>
    <cellStyle name="SAPBEXexcCritical5 6 3" xfId="51127" xr:uid="{00000000-0005-0000-0000-0000E1B90000}"/>
    <cellStyle name="SAPBEXexcCritical5 6 4" xfId="50024" xr:uid="{00000000-0005-0000-0000-0000E2B90000}"/>
    <cellStyle name="SAPBEXexcCritical5 7" xfId="45804" xr:uid="{00000000-0005-0000-0000-0000E3B90000}"/>
    <cellStyle name="SAPBEXexcCritical5 7 2" xfId="50737" xr:uid="{00000000-0005-0000-0000-0000E4B90000}"/>
    <cellStyle name="SAPBEXexcCritical5 8" xfId="45805" xr:uid="{00000000-0005-0000-0000-0000E5B90000}"/>
    <cellStyle name="SAPBEXexcCritical5 8 2" xfId="51469" xr:uid="{00000000-0005-0000-0000-0000E6B90000}"/>
    <cellStyle name="SAPBEXexcCritical5 9" xfId="45806" xr:uid="{00000000-0005-0000-0000-0000E7B90000}"/>
    <cellStyle name="SAPBEXexcCritical5 9 2" xfId="50794"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6" xr:uid="{00000000-0005-0000-0000-0000F7B90000}"/>
    <cellStyle name="SAPBEXexcCritical6 2 2 3" xfId="51398" xr:uid="{00000000-0005-0000-0000-0000F8B90000}"/>
    <cellStyle name="SAPBEXexcCritical6 2 2 4" xfId="49847" xr:uid="{00000000-0005-0000-0000-0000F9B90000}"/>
    <cellStyle name="SAPBEXexcCritical6 2 3" xfId="45820" xr:uid="{00000000-0005-0000-0000-0000FAB90000}"/>
    <cellStyle name="SAPBEXexcCritical6 2 3 2" xfId="50526" xr:uid="{00000000-0005-0000-0000-0000FBB90000}"/>
    <cellStyle name="SAPBEXexcCritical6 2 4" xfId="51242" xr:uid="{00000000-0005-0000-0000-0000FCB90000}"/>
    <cellStyle name="SAPBEXexcCritical6 2 5" xfId="49519"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5" xr:uid="{00000000-0005-0000-0000-000009BA0000}"/>
    <cellStyle name="SAPBEXexcCritical6 3 2 2" xfId="50228" xr:uid="{00000000-0005-0000-0000-00000ABA0000}"/>
    <cellStyle name="SAPBEXexcCritical6 3 2 3" xfId="51165" xr:uid="{00000000-0005-0000-0000-00000BBA0000}"/>
    <cellStyle name="SAPBEXexcCritical6 3 3" xfId="50597" xr:uid="{00000000-0005-0000-0000-00000CBA0000}"/>
    <cellStyle name="SAPBEXexcCritical6 3 4" xfId="51204" xr:uid="{00000000-0005-0000-0000-00000DBA0000}"/>
    <cellStyle name="SAPBEXexcCritical6 3 5" xfId="49447"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5" xr:uid="{00000000-0005-0000-0000-000012BA0000}"/>
    <cellStyle name="SAPBEXexcCritical6 4" xfId="45835" xr:uid="{00000000-0005-0000-0000-000013BA0000}"/>
    <cellStyle name="SAPBEXexcCritical6 4 2" xfId="49832" xr:uid="{00000000-0005-0000-0000-000014BA0000}"/>
    <cellStyle name="SAPBEXexcCritical6 4 2 2" xfId="50838" xr:uid="{00000000-0005-0000-0000-000015BA0000}"/>
    <cellStyle name="SAPBEXexcCritical6 4 2 3" xfId="50748" xr:uid="{00000000-0005-0000-0000-000016BA0000}"/>
    <cellStyle name="SAPBEXexcCritical6 4 3" xfId="50541" xr:uid="{00000000-0005-0000-0000-000017BA0000}"/>
    <cellStyle name="SAPBEXexcCritical6 4 4" xfId="51496" xr:uid="{00000000-0005-0000-0000-000018BA0000}"/>
    <cellStyle name="SAPBEXexcCritical6 4 5" xfId="49504" xr:uid="{00000000-0005-0000-0000-000019BA0000}"/>
    <cellStyle name="SAPBEXexcCritical6 5" xfId="45836" xr:uid="{00000000-0005-0000-0000-00001ABA0000}"/>
    <cellStyle name="SAPBEXexcCritical6 5 2" xfId="50414" xr:uid="{00000000-0005-0000-0000-00001BBA0000}"/>
    <cellStyle name="SAPBEXexcCritical6 5 3" xfId="50071" xr:uid="{00000000-0005-0000-0000-00001CBA0000}"/>
    <cellStyle name="SAPBEXexcCritical6 5 4" xfId="49658" xr:uid="{00000000-0005-0000-0000-00001DBA0000}"/>
    <cellStyle name="SAPBEXexcCritical6 6" xfId="45837" xr:uid="{00000000-0005-0000-0000-00001EBA0000}"/>
    <cellStyle name="SAPBEXexcCritical6 6 2" xfId="51068" xr:uid="{00000000-0005-0000-0000-00001FBA0000}"/>
    <cellStyle name="SAPBEXexcCritical6 6 3" xfId="51126" xr:uid="{00000000-0005-0000-0000-000020BA0000}"/>
    <cellStyle name="SAPBEXexcCritical6 6 4" xfId="50023" xr:uid="{00000000-0005-0000-0000-000021BA0000}"/>
    <cellStyle name="SAPBEXexcCritical6 7" xfId="45838" xr:uid="{00000000-0005-0000-0000-000022BA0000}"/>
    <cellStyle name="SAPBEXexcCritical6 7 2" xfId="50736" xr:uid="{00000000-0005-0000-0000-000023BA0000}"/>
    <cellStyle name="SAPBEXexcCritical6 8" xfId="45839" xr:uid="{00000000-0005-0000-0000-000024BA0000}"/>
    <cellStyle name="SAPBEXexcCritical6 8 2" xfId="51216" xr:uid="{00000000-0005-0000-0000-000025BA0000}"/>
    <cellStyle name="SAPBEXexcCritical6 9" xfId="45840" xr:uid="{00000000-0005-0000-0000-000026BA0000}"/>
    <cellStyle name="SAPBEXexcCritical6 9 2" xfId="50678"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5" xr:uid="{00000000-0005-0000-0000-000036BA0000}"/>
    <cellStyle name="SAPBEXexcGood1 2 2 3" xfId="51618" xr:uid="{00000000-0005-0000-0000-000037BA0000}"/>
    <cellStyle name="SAPBEXexcGood1 2 2 4" xfId="49848" xr:uid="{00000000-0005-0000-0000-000038BA0000}"/>
    <cellStyle name="SAPBEXexcGood1 2 3" xfId="45854" xr:uid="{00000000-0005-0000-0000-000039BA0000}"/>
    <cellStyle name="SAPBEXexcGood1 2 3 2" xfId="50525" xr:uid="{00000000-0005-0000-0000-00003ABA0000}"/>
    <cellStyle name="SAPBEXexcGood1 2 4" xfId="51499" xr:uid="{00000000-0005-0000-0000-00003BBA0000}"/>
    <cellStyle name="SAPBEXexcGood1 2 5" xfId="49520"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4" xr:uid="{00000000-0005-0000-0000-000048BA0000}"/>
    <cellStyle name="SAPBEXexcGood1 3 2 2" xfId="50229" xr:uid="{00000000-0005-0000-0000-000049BA0000}"/>
    <cellStyle name="SAPBEXexcGood1 3 2 3" xfId="51530" xr:uid="{00000000-0005-0000-0000-00004ABA0000}"/>
    <cellStyle name="SAPBEXexcGood1 3 3" xfId="50598" xr:uid="{00000000-0005-0000-0000-00004BBA0000}"/>
    <cellStyle name="SAPBEXexcGood1 3 4" xfId="51489" xr:uid="{00000000-0005-0000-0000-00004CBA0000}"/>
    <cellStyle name="SAPBEXexcGood1 3 5" xfId="49446"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6" xr:uid="{00000000-0005-0000-0000-000051BA0000}"/>
    <cellStyle name="SAPBEXexcGood1 4" xfId="45869" xr:uid="{00000000-0005-0000-0000-000052BA0000}"/>
    <cellStyle name="SAPBEXexcGood1 4 2" xfId="49929" xr:uid="{00000000-0005-0000-0000-000053BA0000}"/>
    <cellStyle name="SAPBEXexcGood1 4 2 2" xfId="50828" xr:uid="{00000000-0005-0000-0000-000054BA0000}"/>
    <cellStyle name="SAPBEXexcGood1 4 2 3" xfId="51151" xr:uid="{00000000-0005-0000-0000-000055BA0000}"/>
    <cellStyle name="SAPBEXexcGood1 4 3" xfId="50444" xr:uid="{00000000-0005-0000-0000-000056BA0000}"/>
    <cellStyle name="SAPBEXexcGood1 4 4" xfId="51361" xr:uid="{00000000-0005-0000-0000-000057BA0000}"/>
    <cellStyle name="SAPBEXexcGood1 4 5" xfId="49601" xr:uid="{00000000-0005-0000-0000-000058BA0000}"/>
    <cellStyle name="SAPBEXexcGood1 5" xfId="45870" xr:uid="{00000000-0005-0000-0000-000059BA0000}"/>
    <cellStyle name="SAPBEXexcGood1 5 2" xfId="50413" xr:uid="{00000000-0005-0000-0000-00005ABA0000}"/>
    <cellStyle name="SAPBEXexcGood1 5 3" xfId="50915" xr:uid="{00000000-0005-0000-0000-00005BBA0000}"/>
    <cellStyle name="SAPBEXexcGood1 5 4" xfId="49659" xr:uid="{00000000-0005-0000-0000-00005CBA0000}"/>
    <cellStyle name="SAPBEXexcGood1 6" xfId="45871" xr:uid="{00000000-0005-0000-0000-00005DBA0000}"/>
    <cellStyle name="SAPBEXexcGood1 6 2" xfId="51067" xr:uid="{00000000-0005-0000-0000-00005EBA0000}"/>
    <cellStyle name="SAPBEXexcGood1 6 3" xfId="51125" xr:uid="{00000000-0005-0000-0000-00005FBA0000}"/>
    <cellStyle name="SAPBEXexcGood1 6 4" xfId="50022" xr:uid="{00000000-0005-0000-0000-000060BA0000}"/>
    <cellStyle name="SAPBEXexcGood1 7" xfId="45872" xr:uid="{00000000-0005-0000-0000-000061BA0000}"/>
    <cellStyle name="SAPBEXexcGood1 7 2" xfId="50735" xr:uid="{00000000-0005-0000-0000-000062BA0000}"/>
    <cellStyle name="SAPBEXexcGood1 8" xfId="45873" xr:uid="{00000000-0005-0000-0000-000063BA0000}"/>
    <cellStyle name="SAPBEXexcGood1 8 2" xfId="51473" xr:uid="{00000000-0005-0000-0000-000064BA0000}"/>
    <cellStyle name="SAPBEXexcGood1 9" xfId="45874" xr:uid="{00000000-0005-0000-0000-000065BA0000}"/>
    <cellStyle name="SAPBEXexcGood1 9 2" xfId="51684"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4" xr:uid="{00000000-0005-0000-0000-000075BA0000}"/>
    <cellStyle name="SAPBEXexcGood2 2 2 3" xfId="50648" xr:uid="{00000000-0005-0000-0000-000076BA0000}"/>
    <cellStyle name="SAPBEXexcGood2 2 2 4" xfId="49849" xr:uid="{00000000-0005-0000-0000-000077BA0000}"/>
    <cellStyle name="SAPBEXexcGood2 2 3" xfId="45888" xr:uid="{00000000-0005-0000-0000-000078BA0000}"/>
    <cellStyle name="SAPBEXexcGood2 2 3 2" xfId="50524" xr:uid="{00000000-0005-0000-0000-000079BA0000}"/>
    <cellStyle name="SAPBEXexcGood2 2 4" xfId="51194" xr:uid="{00000000-0005-0000-0000-00007ABA0000}"/>
    <cellStyle name="SAPBEXexcGood2 2 5" xfId="49521"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3" xr:uid="{00000000-0005-0000-0000-000087BA0000}"/>
    <cellStyle name="SAPBEXexcGood2 3 2 2" xfId="50230" xr:uid="{00000000-0005-0000-0000-000088BA0000}"/>
    <cellStyle name="SAPBEXexcGood2 3 2 3" xfId="51272" xr:uid="{00000000-0005-0000-0000-000089BA0000}"/>
    <cellStyle name="SAPBEXexcGood2 3 3" xfId="50599" xr:uid="{00000000-0005-0000-0000-00008ABA0000}"/>
    <cellStyle name="SAPBEXexcGood2 3 4" xfId="51232" xr:uid="{00000000-0005-0000-0000-00008BBA0000}"/>
    <cellStyle name="SAPBEXexcGood2 3 5" xfId="49445"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7" xr:uid="{00000000-0005-0000-0000-000090BA0000}"/>
    <cellStyle name="SAPBEXexcGood2 4" xfId="45903" xr:uid="{00000000-0005-0000-0000-000091BA0000}"/>
    <cellStyle name="SAPBEXexcGood2 4 2" xfId="49833" xr:uid="{00000000-0005-0000-0000-000092BA0000}"/>
    <cellStyle name="SAPBEXexcGood2 4 2 2" xfId="50840" xr:uid="{00000000-0005-0000-0000-000093BA0000}"/>
    <cellStyle name="SAPBEXexcGood2 4 2 3" xfId="51661" xr:uid="{00000000-0005-0000-0000-000094BA0000}"/>
    <cellStyle name="SAPBEXexcGood2 4 3" xfId="50540" xr:uid="{00000000-0005-0000-0000-000095BA0000}"/>
    <cellStyle name="SAPBEXexcGood2 4 4" xfId="51197" xr:uid="{00000000-0005-0000-0000-000096BA0000}"/>
    <cellStyle name="SAPBEXexcGood2 4 5" xfId="49505" xr:uid="{00000000-0005-0000-0000-000097BA0000}"/>
    <cellStyle name="SAPBEXexcGood2 5" xfId="45904" xr:uid="{00000000-0005-0000-0000-000098BA0000}"/>
    <cellStyle name="SAPBEXexcGood2 5 2" xfId="50412" xr:uid="{00000000-0005-0000-0000-000099BA0000}"/>
    <cellStyle name="SAPBEXexcGood2 5 3" xfId="51258" xr:uid="{00000000-0005-0000-0000-00009ABA0000}"/>
    <cellStyle name="SAPBEXexcGood2 5 4" xfId="49660" xr:uid="{00000000-0005-0000-0000-00009BBA0000}"/>
    <cellStyle name="SAPBEXexcGood2 6" xfId="45905" xr:uid="{00000000-0005-0000-0000-00009CBA0000}"/>
    <cellStyle name="SAPBEXexcGood2 6 2" xfId="51066" xr:uid="{00000000-0005-0000-0000-00009DBA0000}"/>
    <cellStyle name="SAPBEXexcGood2 6 3" xfId="51605" xr:uid="{00000000-0005-0000-0000-00009EBA0000}"/>
    <cellStyle name="SAPBEXexcGood2 6 4" xfId="50021" xr:uid="{00000000-0005-0000-0000-00009FBA0000}"/>
    <cellStyle name="SAPBEXexcGood2 7" xfId="45906" xr:uid="{00000000-0005-0000-0000-0000A0BA0000}"/>
    <cellStyle name="SAPBEXexcGood2 7 2" xfId="50734" xr:uid="{00000000-0005-0000-0000-0000A1BA0000}"/>
    <cellStyle name="SAPBEXexcGood2 8" xfId="45907" xr:uid="{00000000-0005-0000-0000-0000A2BA0000}"/>
    <cellStyle name="SAPBEXexcGood2 8 2" xfId="51342" xr:uid="{00000000-0005-0000-0000-0000A3BA0000}"/>
    <cellStyle name="SAPBEXexcGood2 9" xfId="45908" xr:uid="{00000000-0005-0000-0000-0000A4BA0000}"/>
    <cellStyle name="SAPBEXexcGood2 9 2" xfId="50747"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3" xr:uid="{00000000-0005-0000-0000-0000B4BA0000}"/>
    <cellStyle name="SAPBEXexcGood3 2 2 3" xfId="51312" xr:uid="{00000000-0005-0000-0000-0000B5BA0000}"/>
    <cellStyle name="SAPBEXexcGood3 2 2 4" xfId="49850" xr:uid="{00000000-0005-0000-0000-0000B6BA0000}"/>
    <cellStyle name="SAPBEXexcGood3 2 3" xfId="45922" xr:uid="{00000000-0005-0000-0000-0000B7BA0000}"/>
    <cellStyle name="SAPBEXexcGood3 2 3 2" xfId="50523" xr:uid="{00000000-0005-0000-0000-0000B8BA0000}"/>
    <cellStyle name="SAPBEXexcGood3 2 4" xfId="51452" xr:uid="{00000000-0005-0000-0000-0000B9BA0000}"/>
    <cellStyle name="SAPBEXexcGood3 2 5" xfId="49522"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72" xr:uid="{00000000-0005-0000-0000-0000C6BA0000}"/>
    <cellStyle name="SAPBEXexcGood3 3 2 2" xfId="50231" xr:uid="{00000000-0005-0000-0000-0000C7BA0000}"/>
    <cellStyle name="SAPBEXexcGood3 3 2 3" xfId="50818" xr:uid="{00000000-0005-0000-0000-0000C8BA0000}"/>
    <cellStyle name="SAPBEXexcGood3 3 3" xfId="50600" xr:uid="{00000000-0005-0000-0000-0000C9BA0000}"/>
    <cellStyle name="SAPBEXexcGood3 3 4" xfId="50912" xr:uid="{00000000-0005-0000-0000-0000CABA0000}"/>
    <cellStyle name="SAPBEXexcGood3 3 5" xfId="49444"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8" xr:uid="{00000000-0005-0000-0000-0000CFBA0000}"/>
    <cellStyle name="SAPBEXexcGood3 4" xfId="45937" xr:uid="{00000000-0005-0000-0000-0000D0BA0000}"/>
    <cellStyle name="SAPBEXexcGood3 4 2" xfId="49834" xr:uid="{00000000-0005-0000-0000-0000D1BA0000}"/>
    <cellStyle name="SAPBEXexcGood3 4 2 2" xfId="50837" xr:uid="{00000000-0005-0000-0000-0000D2BA0000}"/>
    <cellStyle name="SAPBEXexcGood3 4 2 3" xfId="50662" xr:uid="{00000000-0005-0000-0000-0000D3BA0000}"/>
    <cellStyle name="SAPBEXexcGood3 4 3" xfId="50539" xr:uid="{00000000-0005-0000-0000-0000D4BA0000}"/>
    <cellStyle name="SAPBEXexcGood3 4 4" xfId="51455" xr:uid="{00000000-0005-0000-0000-0000D5BA0000}"/>
    <cellStyle name="SAPBEXexcGood3 4 5" xfId="49506" xr:uid="{00000000-0005-0000-0000-0000D6BA0000}"/>
    <cellStyle name="SAPBEXexcGood3 5" xfId="45938" xr:uid="{00000000-0005-0000-0000-0000D7BA0000}"/>
    <cellStyle name="SAPBEXexcGood3 5 2" xfId="50411" xr:uid="{00000000-0005-0000-0000-0000D8BA0000}"/>
    <cellStyle name="SAPBEXexcGood3 5 3" xfId="51515" xr:uid="{00000000-0005-0000-0000-0000D9BA0000}"/>
    <cellStyle name="SAPBEXexcGood3 5 4" xfId="49661" xr:uid="{00000000-0005-0000-0000-0000DABA0000}"/>
    <cellStyle name="SAPBEXexcGood3 6" xfId="45939" xr:uid="{00000000-0005-0000-0000-0000DBBA0000}"/>
    <cellStyle name="SAPBEXexcGood3 6 2" xfId="51065" xr:uid="{00000000-0005-0000-0000-0000DCBA0000}"/>
    <cellStyle name="SAPBEXexcGood3 6 3" xfId="51416" xr:uid="{00000000-0005-0000-0000-0000DDBA0000}"/>
    <cellStyle name="SAPBEXexcGood3 6 4" xfId="50020" xr:uid="{00000000-0005-0000-0000-0000DEBA0000}"/>
    <cellStyle name="SAPBEXexcGood3 7" xfId="45940" xr:uid="{00000000-0005-0000-0000-0000DFBA0000}"/>
    <cellStyle name="SAPBEXexcGood3 7 2" xfId="50733" xr:uid="{00000000-0005-0000-0000-0000E0BA0000}"/>
    <cellStyle name="SAPBEXexcGood3 8" xfId="45941" xr:uid="{00000000-0005-0000-0000-0000E1BA0000}"/>
    <cellStyle name="SAPBEXexcGood3 8 2" xfId="51660" xr:uid="{00000000-0005-0000-0000-0000E2BA0000}"/>
    <cellStyle name="SAPBEXexcGood3 9" xfId="45942" xr:uid="{00000000-0005-0000-0000-0000E3BA0000}"/>
    <cellStyle name="SAPBEXexcGood3 9 2" xfId="50924"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51" xr:uid="{00000000-0005-0000-0000-0000E8BA0000}"/>
    <cellStyle name="SAPBEXfilterDrill 2 2 2" xfId="50162" xr:uid="{00000000-0005-0000-0000-0000E9BA0000}"/>
    <cellStyle name="SAPBEXfilterDrill 2 2 3" xfId="51569" xr:uid="{00000000-0005-0000-0000-0000EABA0000}"/>
    <cellStyle name="SAPBEXfilterDrill 2 3" xfId="50522" xr:uid="{00000000-0005-0000-0000-0000EBBA0000}"/>
    <cellStyle name="SAPBEXfilterDrill 2 4" xfId="51360" xr:uid="{00000000-0005-0000-0000-0000ECBA0000}"/>
    <cellStyle name="SAPBEXfilterDrill 2 5" xfId="49523" xr:uid="{00000000-0005-0000-0000-0000EDBA0000}"/>
    <cellStyle name="SAPBEXfilterDrill 3" xfId="49443" xr:uid="{00000000-0005-0000-0000-0000EEBA0000}"/>
    <cellStyle name="SAPBEXfilterDrill 3 2" xfId="49771" xr:uid="{00000000-0005-0000-0000-0000EFBA0000}"/>
    <cellStyle name="SAPBEXfilterDrill 3 2 2" xfId="50232" xr:uid="{00000000-0005-0000-0000-0000F0BA0000}"/>
    <cellStyle name="SAPBEXfilterDrill 3 2 3" xfId="51621" xr:uid="{00000000-0005-0000-0000-0000F1BA0000}"/>
    <cellStyle name="SAPBEXfilterDrill 3 3" xfId="50601" xr:uid="{00000000-0005-0000-0000-0000F2BA0000}"/>
    <cellStyle name="SAPBEXfilterDrill 3 4" xfId="51654" xr:uid="{00000000-0005-0000-0000-0000F3BA0000}"/>
    <cellStyle name="SAPBEXfilterDrill 4" xfId="49662" xr:uid="{00000000-0005-0000-0000-0000F4BA0000}"/>
    <cellStyle name="SAPBEXfilterDrill 4 2" xfId="50410" xr:uid="{00000000-0005-0000-0000-0000F5BA0000}"/>
    <cellStyle name="SAPBEXfilterDrill 4 3" xfId="51178" xr:uid="{00000000-0005-0000-0000-0000F6BA0000}"/>
    <cellStyle name="SAPBEXfilterDrill 5" xfId="50019" xr:uid="{00000000-0005-0000-0000-0000F7BA0000}"/>
    <cellStyle name="SAPBEXfilterDrill 5 2" xfId="51064" xr:uid="{00000000-0005-0000-0000-0000F8BA0000}"/>
    <cellStyle name="SAPBEXfilterDrill 5 3" xfId="51593" xr:uid="{00000000-0005-0000-0000-0000F9BA0000}"/>
    <cellStyle name="SAPBEXfilterDrill 6" xfId="50732" xr:uid="{00000000-0005-0000-0000-0000FABA0000}"/>
    <cellStyle name="SAPBEXfilterDrill 7" xfId="51217" xr:uid="{00000000-0005-0000-0000-0000FBBA0000}"/>
    <cellStyle name="SAPBEXfilterDrill 8" xfId="49279"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52" xr:uid="{00000000-0005-0000-0000-000000BB0000}"/>
    <cellStyle name="SAPBEXfilterItem 2 2 2" xfId="50161" xr:uid="{00000000-0005-0000-0000-000001BB0000}"/>
    <cellStyle name="SAPBEXfilterItem 2 2 3" xfId="51399" xr:uid="{00000000-0005-0000-0000-000002BB0000}"/>
    <cellStyle name="SAPBEXfilterItem 2 3" xfId="50521" xr:uid="{00000000-0005-0000-0000-000003BB0000}"/>
    <cellStyle name="SAPBEXfilterItem 2 4" xfId="51644" xr:uid="{00000000-0005-0000-0000-000004BB0000}"/>
    <cellStyle name="SAPBEXfilterItem 2 5" xfId="49524" xr:uid="{00000000-0005-0000-0000-000005BB0000}"/>
    <cellStyle name="SAPBEXfilterItem 3" xfId="49442" xr:uid="{00000000-0005-0000-0000-000006BB0000}"/>
    <cellStyle name="SAPBEXfilterItem 3 2" xfId="49770" xr:uid="{00000000-0005-0000-0000-000007BB0000}"/>
    <cellStyle name="SAPBEXfilterItem 3 2 2" xfId="50233" xr:uid="{00000000-0005-0000-0000-000008BB0000}"/>
    <cellStyle name="SAPBEXfilterItem 3 2 3" xfId="51390" xr:uid="{00000000-0005-0000-0000-000009BB0000}"/>
    <cellStyle name="SAPBEXfilterItem 3 3" xfId="50602" xr:uid="{00000000-0005-0000-0000-00000ABB0000}"/>
    <cellStyle name="SAPBEXfilterItem 3 4" xfId="51349" xr:uid="{00000000-0005-0000-0000-00000BBB0000}"/>
    <cellStyle name="SAPBEXfilterItem 4" xfId="49663" xr:uid="{00000000-0005-0000-0000-00000CBB0000}"/>
    <cellStyle name="SAPBEXfilterItem 4 2" xfId="50409" xr:uid="{00000000-0005-0000-0000-00000DBB0000}"/>
    <cellStyle name="SAPBEXfilterItem 4 3" xfId="51437" xr:uid="{00000000-0005-0000-0000-00000EBB0000}"/>
    <cellStyle name="SAPBEXfilterItem 5" xfId="50018" xr:uid="{00000000-0005-0000-0000-00000FBB0000}"/>
    <cellStyle name="SAPBEXfilterItem 5 2" xfId="51063" xr:uid="{00000000-0005-0000-0000-000010BB0000}"/>
    <cellStyle name="SAPBEXfilterItem 5 3" xfId="51338" xr:uid="{00000000-0005-0000-0000-000011BB0000}"/>
    <cellStyle name="SAPBEXfilterItem 6" xfId="50731" xr:uid="{00000000-0005-0000-0000-000012BB0000}"/>
    <cellStyle name="SAPBEXfilterItem 7" xfId="51474" xr:uid="{00000000-0005-0000-0000-000013BB0000}"/>
    <cellStyle name="SAPBEXfilterItem 8" xfId="49280"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3" xr:uid="{00000000-0005-0000-0000-000018BB0000}"/>
    <cellStyle name="SAPBEXfilterText 2 2 2" xfId="50160" xr:uid="{00000000-0005-0000-0000-000019BB0000}"/>
    <cellStyle name="SAPBEXfilterText 2 2 3" xfId="51617" xr:uid="{00000000-0005-0000-0000-00001ABB0000}"/>
    <cellStyle name="SAPBEXfilterText 2 3" xfId="50520" xr:uid="{00000000-0005-0000-0000-00001BBB0000}"/>
    <cellStyle name="SAPBEXfilterText 2 4" xfId="51241" xr:uid="{00000000-0005-0000-0000-00001CBB0000}"/>
    <cellStyle name="SAPBEXfilterText 2 5" xfId="49525" xr:uid="{00000000-0005-0000-0000-00001DBB0000}"/>
    <cellStyle name="SAPBEXfilterText 3" xfId="49441" xr:uid="{00000000-0005-0000-0000-00001EBB0000}"/>
    <cellStyle name="SAPBEXfilterText 3 2" xfId="49769" xr:uid="{00000000-0005-0000-0000-00001FBB0000}"/>
    <cellStyle name="SAPBEXfilterText 3 2 2" xfId="50234" xr:uid="{00000000-0005-0000-0000-000020BB0000}"/>
    <cellStyle name="SAPBEXfilterText 3 2 3" xfId="51426" xr:uid="{00000000-0005-0000-0000-000021BB0000}"/>
    <cellStyle name="SAPBEXfilterText 3 3" xfId="50603" xr:uid="{00000000-0005-0000-0000-000022BB0000}"/>
    <cellStyle name="SAPBEXfilterText 3 4" xfId="51479" xr:uid="{00000000-0005-0000-0000-000023BB0000}"/>
    <cellStyle name="SAPBEXfilterText 4" xfId="49664" xr:uid="{00000000-0005-0000-0000-000024BB0000}"/>
    <cellStyle name="SAPBEXfilterText 4 2" xfId="50408" xr:uid="{00000000-0005-0000-0000-000025BB0000}"/>
    <cellStyle name="SAPBEXfilterText 4 3" xfId="51376" xr:uid="{00000000-0005-0000-0000-000026BB0000}"/>
    <cellStyle name="SAPBEXfilterText 5" xfId="50017" xr:uid="{00000000-0005-0000-0000-000027BB0000}"/>
    <cellStyle name="SAPBEXfilterText 5 2" xfId="51062" xr:uid="{00000000-0005-0000-0000-000028BB0000}"/>
    <cellStyle name="SAPBEXfilterText 5 3" xfId="51586" xr:uid="{00000000-0005-0000-0000-000029BB0000}"/>
    <cellStyle name="SAPBEXfilterText 6" xfId="50730" xr:uid="{00000000-0005-0000-0000-00002ABB0000}"/>
    <cellStyle name="SAPBEXfilterText 7" xfId="50982" xr:uid="{00000000-0005-0000-0000-00002BBB0000}"/>
    <cellStyle name="SAPBEXfilterText 8" xfId="49281"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9" xr:uid="{00000000-0005-0000-0000-00003BBB0000}"/>
    <cellStyle name="SAPBEXformats 2 2 3" xfId="50952" xr:uid="{00000000-0005-0000-0000-00003CBB0000}"/>
    <cellStyle name="SAPBEXformats 2 2 4" xfId="49854" xr:uid="{00000000-0005-0000-0000-00003DBB0000}"/>
    <cellStyle name="SAPBEXformats 2 3" xfId="45962" xr:uid="{00000000-0005-0000-0000-00003EBB0000}"/>
    <cellStyle name="SAPBEXformats 2 3 2" xfId="50519" xr:uid="{00000000-0005-0000-0000-00003FBB0000}"/>
    <cellStyle name="SAPBEXformats 2 4" xfId="51498" xr:uid="{00000000-0005-0000-0000-000040BB0000}"/>
    <cellStyle name="SAPBEXformats 2 5" xfId="49526"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8" xr:uid="{00000000-0005-0000-0000-00004DBB0000}"/>
    <cellStyle name="SAPBEXformats 3 2 2" xfId="50235" xr:uid="{00000000-0005-0000-0000-00004EBB0000}"/>
    <cellStyle name="SAPBEXformats 3 2 3" xfId="51166" xr:uid="{00000000-0005-0000-0000-00004FBB0000}"/>
    <cellStyle name="SAPBEXformats 3 3" xfId="50604" xr:uid="{00000000-0005-0000-0000-000050BB0000}"/>
    <cellStyle name="SAPBEXformats 3 4" xfId="51223" xr:uid="{00000000-0005-0000-0000-000051BB0000}"/>
    <cellStyle name="SAPBEXformats 3 5" xfId="49440"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82" xr:uid="{00000000-0005-0000-0000-000056BB0000}"/>
    <cellStyle name="SAPBEXformats 4" xfId="45977" xr:uid="{00000000-0005-0000-0000-000057BB0000}"/>
    <cellStyle name="SAPBEXformats 4 2" xfId="49835" xr:uid="{00000000-0005-0000-0000-000058BB0000}"/>
    <cellStyle name="SAPBEXformats 4 2 2" xfId="50850" xr:uid="{00000000-0005-0000-0000-000059BB0000}"/>
    <cellStyle name="SAPBEXformats 4 2 3" xfId="50779" xr:uid="{00000000-0005-0000-0000-00005ABB0000}"/>
    <cellStyle name="SAPBEXformats 4 3" xfId="50538" xr:uid="{00000000-0005-0000-0000-00005BBB0000}"/>
    <cellStyle name="SAPBEXformats 4 4" xfId="51357" xr:uid="{00000000-0005-0000-0000-00005CBB0000}"/>
    <cellStyle name="SAPBEXformats 4 5" xfId="49507" xr:uid="{00000000-0005-0000-0000-00005DBB0000}"/>
    <cellStyle name="SAPBEXformats 5" xfId="45978" xr:uid="{00000000-0005-0000-0000-00005EBB0000}"/>
    <cellStyle name="SAPBEXformats 5 2" xfId="50407" xr:uid="{00000000-0005-0000-0000-00005FBB0000}"/>
    <cellStyle name="SAPBEXformats 5 3" xfId="51631" xr:uid="{00000000-0005-0000-0000-000060BB0000}"/>
    <cellStyle name="SAPBEXformats 5 4" xfId="49665" xr:uid="{00000000-0005-0000-0000-000061BB0000}"/>
    <cellStyle name="SAPBEXformats 6" xfId="45979" xr:uid="{00000000-0005-0000-0000-000062BB0000}"/>
    <cellStyle name="SAPBEXformats 6 2" xfId="51061" xr:uid="{00000000-0005-0000-0000-000063BB0000}"/>
    <cellStyle name="SAPBEXformats 6 3" xfId="51329" xr:uid="{00000000-0005-0000-0000-000064BB0000}"/>
    <cellStyle name="SAPBEXformats 6 4" xfId="50016" xr:uid="{00000000-0005-0000-0000-000065BB0000}"/>
    <cellStyle name="SAPBEXformats 7" xfId="45980" xr:uid="{00000000-0005-0000-0000-000066BB0000}"/>
    <cellStyle name="SAPBEXformats 7 2" xfId="50729" xr:uid="{00000000-0005-0000-0000-000067BB0000}"/>
    <cellStyle name="SAPBEXformats 8" xfId="45981" xr:uid="{00000000-0005-0000-0000-000068BB0000}"/>
    <cellStyle name="SAPBEXformats 8 2" xfId="51219" xr:uid="{00000000-0005-0000-0000-000069BB0000}"/>
    <cellStyle name="SAPBEXformats 9" xfId="45982" xr:uid="{00000000-0005-0000-0000-00006ABB0000}"/>
    <cellStyle name="SAPBEXformats 9 2" xfId="50782"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7" xr:uid="{00000000-0005-0000-0000-00006FBB0000}"/>
    <cellStyle name="SAPBEXheaderItem 3 2" xfId="49855" xr:uid="{00000000-0005-0000-0000-000070BB0000}"/>
    <cellStyle name="SAPBEXheaderItem 3 2 2" xfId="50158" xr:uid="{00000000-0005-0000-0000-000071BB0000}"/>
    <cellStyle name="SAPBEXheaderItem 3 2 3" xfId="51281" xr:uid="{00000000-0005-0000-0000-000072BB0000}"/>
    <cellStyle name="SAPBEXheaderItem 3 3" xfId="50518" xr:uid="{00000000-0005-0000-0000-000073BB0000}"/>
    <cellStyle name="SAPBEXheaderItem 3 4" xfId="51195" xr:uid="{00000000-0005-0000-0000-000074BB0000}"/>
    <cellStyle name="SAPBEXheaderItem 4" xfId="49439" xr:uid="{00000000-0005-0000-0000-000075BB0000}"/>
    <cellStyle name="SAPBEXheaderItem 4 2" xfId="49767" xr:uid="{00000000-0005-0000-0000-000076BB0000}"/>
    <cellStyle name="SAPBEXheaderItem 4 2 2" xfId="50236" xr:uid="{00000000-0005-0000-0000-000077BB0000}"/>
    <cellStyle name="SAPBEXheaderItem 4 2 3" xfId="51529" xr:uid="{00000000-0005-0000-0000-000078BB0000}"/>
    <cellStyle name="SAPBEXheaderItem 4 3" xfId="50605" xr:uid="{00000000-0005-0000-0000-000079BB0000}"/>
    <cellStyle name="SAPBEXheaderItem 4 4" xfId="51463" xr:uid="{00000000-0005-0000-0000-00007ABB0000}"/>
    <cellStyle name="SAPBEXheaderItem 5" xfId="49666" xr:uid="{00000000-0005-0000-0000-00007BBB0000}"/>
    <cellStyle name="SAPBEXheaderItem 5 2" xfId="50406" xr:uid="{00000000-0005-0000-0000-00007CBB0000}"/>
    <cellStyle name="SAPBEXheaderItem 5 3" xfId="50977" xr:uid="{00000000-0005-0000-0000-00007DBB0000}"/>
    <cellStyle name="SAPBEXheaderItem 6" xfId="50015" xr:uid="{00000000-0005-0000-0000-00007EBB0000}"/>
    <cellStyle name="SAPBEXheaderItem 6 2" xfId="51060" xr:uid="{00000000-0005-0000-0000-00007FBB0000}"/>
    <cellStyle name="SAPBEXheaderItem 6 3" xfId="51556" xr:uid="{00000000-0005-0000-0000-000080BB0000}"/>
    <cellStyle name="SAPBEXheaderItem 7" xfId="50728" xr:uid="{00000000-0005-0000-0000-000081BB0000}"/>
    <cellStyle name="SAPBEXheaderItem 8" xfId="51476" xr:uid="{00000000-0005-0000-0000-000082BB0000}"/>
    <cellStyle name="SAPBEXheaderItem 9" xfId="49283"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8" xr:uid="{00000000-0005-0000-0000-000087BB0000}"/>
    <cellStyle name="SAPBEXheaderText 3 2" xfId="49856" xr:uid="{00000000-0005-0000-0000-000088BB0000}"/>
    <cellStyle name="SAPBEXheaderText 3 2 2" xfId="50070" xr:uid="{00000000-0005-0000-0000-000089BB0000}"/>
    <cellStyle name="SAPBEXheaderText 3 2 3" xfId="51539" xr:uid="{00000000-0005-0000-0000-00008ABB0000}"/>
    <cellStyle name="SAPBEXheaderText 3 3" xfId="50517" xr:uid="{00000000-0005-0000-0000-00008BBB0000}"/>
    <cellStyle name="SAPBEXheaderText 3 4" xfId="51453" xr:uid="{00000000-0005-0000-0000-00008CBB0000}"/>
    <cellStyle name="SAPBEXheaderText 4" xfId="49438" xr:uid="{00000000-0005-0000-0000-00008DBB0000}"/>
    <cellStyle name="SAPBEXheaderText 4 2" xfId="49766" xr:uid="{00000000-0005-0000-0000-00008EBB0000}"/>
    <cellStyle name="SAPBEXheaderText 4 2 2" xfId="50237" xr:uid="{00000000-0005-0000-0000-00008FBB0000}"/>
    <cellStyle name="SAPBEXheaderText 4 2 3" xfId="51271" xr:uid="{00000000-0005-0000-0000-000090BB0000}"/>
    <cellStyle name="SAPBEXheaderText 4 3" xfId="50606" xr:uid="{00000000-0005-0000-0000-000091BB0000}"/>
    <cellStyle name="SAPBEXheaderText 4 4" xfId="51205" xr:uid="{00000000-0005-0000-0000-000092BB0000}"/>
    <cellStyle name="SAPBEXheaderText 5" xfId="49667" xr:uid="{00000000-0005-0000-0000-000093BB0000}"/>
    <cellStyle name="SAPBEXheaderText 5 2" xfId="50405" xr:uid="{00000000-0005-0000-0000-000094BB0000}"/>
    <cellStyle name="SAPBEXheaderText 5 3" xfId="51259" xr:uid="{00000000-0005-0000-0000-000095BB0000}"/>
    <cellStyle name="SAPBEXheaderText 6" xfId="50014" xr:uid="{00000000-0005-0000-0000-000096BB0000}"/>
    <cellStyle name="SAPBEXheaderText 6 2" xfId="51059" xr:uid="{00000000-0005-0000-0000-000097BB0000}"/>
    <cellStyle name="SAPBEXheaderText 6 3" xfId="51298" xr:uid="{00000000-0005-0000-0000-000098BB0000}"/>
    <cellStyle name="SAPBEXheaderText 7" xfId="50727" xr:uid="{00000000-0005-0000-0000-000099BB0000}"/>
    <cellStyle name="SAPBEXheaderText 8" xfId="51343" xr:uid="{00000000-0005-0000-0000-00009ABB0000}"/>
    <cellStyle name="SAPBEXheaderText 9" xfId="49284"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4"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7" xr:uid="{00000000-0005-0000-0000-0000B6BB0000}"/>
    <cellStyle name="SAPBEXHLevel0 2 2 2 3" xfId="51570" xr:uid="{00000000-0005-0000-0000-0000B7BB0000}"/>
    <cellStyle name="SAPBEXHLevel0 2 2 2 4" xfId="49858" xr:uid="{00000000-0005-0000-0000-0000B8BB0000}"/>
    <cellStyle name="SAPBEXHLevel0 2 2 3" xfId="46011" xr:uid="{00000000-0005-0000-0000-0000B9BB0000}"/>
    <cellStyle name="SAPBEXHLevel0 2 2 3 2" xfId="50515" xr:uid="{00000000-0005-0000-0000-0000BABB0000}"/>
    <cellStyle name="SAPBEXHLevel0 2 2 4" xfId="51483" xr:uid="{00000000-0005-0000-0000-0000BBBB0000}"/>
    <cellStyle name="SAPBEXHLevel0 2 2 5" xfId="49530"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9" xr:uid="{00000000-0005-0000-0000-0000C9BB0000}"/>
    <cellStyle name="SAPBEXHLevel0 2 3 2 3" xfId="51622" xr:uid="{00000000-0005-0000-0000-0000CABB0000}"/>
    <cellStyle name="SAPBEXHLevel0 2 3 2 4" xfId="49764" xr:uid="{00000000-0005-0000-0000-0000CBBB0000}"/>
    <cellStyle name="SAPBEXHLevel0 2 3 3" xfId="50608" xr:uid="{00000000-0005-0000-0000-0000CCBB0000}"/>
    <cellStyle name="SAPBEXHLevel0 2 3 4" xfId="51231" xr:uid="{00000000-0005-0000-0000-0000CDBB0000}"/>
    <cellStyle name="SAPBEXHLevel0 2 3 5" xfId="49436"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6" xr:uid="{00000000-0005-0000-0000-0000D2BB0000}"/>
    <cellStyle name="SAPBEXHLevel0 2 4" xfId="46027" xr:uid="{00000000-0005-0000-0000-0000D3BB0000}"/>
    <cellStyle name="SAPBEXHLevel0 2 4 2" xfId="46028" xr:uid="{00000000-0005-0000-0000-0000D4BB0000}"/>
    <cellStyle name="SAPBEXHLevel0 2 4 2 2" xfId="50403" xr:uid="{00000000-0005-0000-0000-0000D5BB0000}"/>
    <cellStyle name="SAPBEXHLevel0 2 4 3" xfId="51305" xr:uid="{00000000-0005-0000-0000-0000D6BB0000}"/>
    <cellStyle name="SAPBEXHLevel0 2 4 4" xfId="49669" xr:uid="{00000000-0005-0000-0000-0000D7BB0000}"/>
    <cellStyle name="SAPBEXHLevel0 2 5" xfId="46029" xr:uid="{00000000-0005-0000-0000-0000D8BB0000}"/>
    <cellStyle name="SAPBEXHLevel0 2 5 2" xfId="46030" xr:uid="{00000000-0005-0000-0000-0000D9BB0000}"/>
    <cellStyle name="SAPBEXHLevel0 2 5 2 2" xfId="51057" xr:uid="{00000000-0005-0000-0000-0000DABB0000}"/>
    <cellStyle name="SAPBEXHLevel0 2 5 3" xfId="51123" xr:uid="{00000000-0005-0000-0000-0000DBBB0000}"/>
    <cellStyle name="SAPBEXHLevel0 2 5 4" xfId="50012" xr:uid="{00000000-0005-0000-0000-0000DCBB0000}"/>
    <cellStyle name="SAPBEXHLevel0 2 6" xfId="46031" xr:uid="{00000000-0005-0000-0000-0000DDBB0000}"/>
    <cellStyle name="SAPBEXHLevel0 2 6 2" xfId="46032" xr:uid="{00000000-0005-0000-0000-0000DEBB0000}"/>
    <cellStyle name="SAPBEXHLevel0 2 6 3" xfId="50725" xr:uid="{00000000-0005-0000-0000-0000DFBB0000}"/>
    <cellStyle name="SAPBEXHLevel0 2 7" xfId="46033" xr:uid="{00000000-0005-0000-0000-0000E0BB0000}"/>
    <cellStyle name="SAPBEXHLevel0 2 7 2" xfId="46034" xr:uid="{00000000-0005-0000-0000-0000E1BB0000}"/>
    <cellStyle name="SAPBEXHLevel0 2 7 3" xfId="51477"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72" xr:uid="{00000000-0005-0000-0000-0000F2BB0000}"/>
    <cellStyle name="SAPBEXHLevel0 3 2 3" xfId="51313" xr:uid="{00000000-0005-0000-0000-0000F3BB0000}"/>
    <cellStyle name="SAPBEXHLevel0 3 2 4" xfId="49857" xr:uid="{00000000-0005-0000-0000-0000F4BB0000}"/>
    <cellStyle name="SAPBEXHLevel0 3 3" xfId="46050" xr:uid="{00000000-0005-0000-0000-0000F5BB0000}"/>
    <cellStyle name="SAPBEXHLevel0 3 3 2" xfId="50516" xr:uid="{00000000-0005-0000-0000-0000F6BB0000}"/>
    <cellStyle name="SAPBEXHLevel0 3 4" xfId="51227" xr:uid="{00000000-0005-0000-0000-0000F7BB0000}"/>
    <cellStyle name="SAPBEXHLevel0 3 5" xfId="49529"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5" xr:uid="{00000000-0005-0000-0000-0000FDBB0000}"/>
    <cellStyle name="SAPBEXHLevel0 4" xfId="46055" xr:uid="{00000000-0005-0000-0000-0000FEBB0000}"/>
    <cellStyle name="SAPBEXHLevel0 4 2" xfId="46056" xr:uid="{00000000-0005-0000-0000-0000FFBB0000}"/>
    <cellStyle name="SAPBEXHLevel0 4 2 2" xfId="50238" xr:uid="{00000000-0005-0000-0000-000000BC0000}"/>
    <cellStyle name="SAPBEXHLevel0 4 2 3" xfId="50817" xr:uid="{00000000-0005-0000-0000-000001BC0000}"/>
    <cellStyle name="SAPBEXHLevel0 4 2 4" xfId="49765" xr:uid="{00000000-0005-0000-0000-000002BC0000}"/>
    <cellStyle name="SAPBEXHLevel0 4 3" xfId="50607" xr:uid="{00000000-0005-0000-0000-000003BC0000}"/>
    <cellStyle name="SAPBEXHLevel0 4 4" xfId="51488" xr:uid="{00000000-0005-0000-0000-000004BC0000}"/>
    <cellStyle name="SAPBEXHLevel0 4 5" xfId="49437" xr:uid="{00000000-0005-0000-0000-000005BC0000}"/>
    <cellStyle name="SAPBEXHLevel0 5" xfId="46057" xr:uid="{00000000-0005-0000-0000-000006BC0000}"/>
    <cellStyle name="SAPBEXHLevel0 5 2" xfId="46058" xr:uid="{00000000-0005-0000-0000-000007BC0000}"/>
    <cellStyle name="SAPBEXHLevel0 5 2 2" xfId="50836" xr:uid="{00000000-0005-0000-0000-000008BC0000}"/>
    <cellStyle name="SAPBEXHLevel0 5 2 3" xfId="50750" xr:uid="{00000000-0005-0000-0000-000009BC0000}"/>
    <cellStyle name="SAPBEXHLevel0 5 2 4" xfId="49836" xr:uid="{00000000-0005-0000-0000-00000ABC0000}"/>
    <cellStyle name="SAPBEXHLevel0 5 3" xfId="50537" xr:uid="{00000000-0005-0000-0000-00000BBC0000}"/>
    <cellStyle name="SAPBEXHLevel0 5 4" xfId="51647" xr:uid="{00000000-0005-0000-0000-00000CBC0000}"/>
    <cellStyle name="SAPBEXHLevel0 5 5" xfId="49508" xr:uid="{00000000-0005-0000-0000-00000DBC0000}"/>
    <cellStyle name="SAPBEXHLevel0 6" xfId="46059" xr:uid="{00000000-0005-0000-0000-00000EBC0000}"/>
    <cellStyle name="SAPBEXHLevel0 6 2" xfId="46060" xr:uid="{00000000-0005-0000-0000-00000FBC0000}"/>
    <cellStyle name="SAPBEXHLevel0 6 2 2" xfId="50404" xr:uid="{00000000-0005-0000-0000-000010BC0000}"/>
    <cellStyle name="SAPBEXHLevel0 6 3" xfId="51516" xr:uid="{00000000-0005-0000-0000-000011BC0000}"/>
    <cellStyle name="SAPBEXHLevel0 6 4" xfId="49668" xr:uid="{00000000-0005-0000-0000-000012BC0000}"/>
    <cellStyle name="SAPBEXHLevel0 7" xfId="46061" xr:uid="{00000000-0005-0000-0000-000013BC0000}"/>
    <cellStyle name="SAPBEXHLevel0 7 2" xfId="46062" xr:uid="{00000000-0005-0000-0000-000014BC0000}"/>
    <cellStyle name="SAPBEXHLevel0 7 2 2" xfId="51058" xr:uid="{00000000-0005-0000-0000-000015BC0000}"/>
    <cellStyle name="SAPBEXHLevel0 7 3" xfId="51124" xr:uid="{00000000-0005-0000-0000-000016BC0000}"/>
    <cellStyle name="SAPBEXHLevel0 7 4" xfId="50013" xr:uid="{00000000-0005-0000-0000-000017BC0000}"/>
    <cellStyle name="SAPBEXHLevel0 8" xfId="46063" xr:uid="{00000000-0005-0000-0000-000018BC0000}"/>
    <cellStyle name="SAPBEXHLevel0 8 2" xfId="46064" xr:uid="{00000000-0005-0000-0000-000019BC0000}"/>
    <cellStyle name="SAPBEXHLevel0 8 3" xfId="50726" xr:uid="{00000000-0005-0000-0000-00001ABC0000}"/>
    <cellStyle name="SAPBEXHLevel0 9" xfId="46065" xr:uid="{00000000-0005-0000-0000-00001BBC0000}"/>
    <cellStyle name="SAPBEXHLevel0 9 2" xfId="46066" xr:uid="{00000000-0005-0000-0000-00001CBC0000}"/>
    <cellStyle name="SAPBEXHLevel0 9 3" xfId="51220"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5" xr:uid="{00000000-0005-0000-0000-000037BC0000}"/>
    <cellStyle name="SAPBEXHLevel0X 2 2 2 3" xfId="51616" xr:uid="{00000000-0005-0000-0000-000038BC0000}"/>
    <cellStyle name="SAPBEXHLevel0X 2 2 2 4" xfId="49860" xr:uid="{00000000-0005-0000-0000-000039BC0000}"/>
    <cellStyle name="SAPBEXHLevel0X 2 2 3" xfId="46091" xr:uid="{00000000-0005-0000-0000-00003ABC0000}"/>
    <cellStyle name="SAPBEXHLevel0X 2 2 3 2" xfId="50513" xr:uid="{00000000-0005-0000-0000-00003BBC0000}"/>
    <cellStyle name="SAPBEXHLevel0X 2 2 4" xfId="51645" xr:uid="{00000000-0005-0000-0000-00003CBC0000}"/>
    <cellStyle name="SAPBEXHLevel0X 2 2 5" xfId="49532"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41" xr:uid="{00000000-0005-0000-0000-00004ABC0000}"/>
    <cellStyle name="SAPBEXHLevel0X 2 3 2 3" xfId="51427" xr:uid="{00000000-0005-0000-0000-00004BBC0000}"/>
    <cellStyle name="SAPBEXHLevel0X 2 3 2 4" xfId="49762" xr:uid="{00000000-0005-0000-0000-00004CBC0000}"/>
    <cellStyle name="SAPBEXHLevel0X 2 3 3" xfId="50610" xr:uid="{00000000-0005-0000-0000-00004DBC0000}"/>
    <cellStyle name="SAPBEXHLevel0X 2 3 4" xfId="51655" xr:uid="{00000000-0005-0000-0000-00004EBC0000}"/>
    <cellStyle name="SAPBEXHLevel0X 2 3 5" xfId="49434"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8" xr:uid="{00000000-0005-0000-0000-000053BC0000}"/>
    <cellStyle name="SAPBEXHLevel0X 2 4" xfId="46107" xr:uid="{00000000-0005-0000-0000-000054BC0000}"/>
    <cellStyle name="SAPBEXHLevel0X 2 4 2" xfId="46108" xr:uid="{00000000-0005-0000-0000-000055BC0000}"/>
    <cellStyle name="SAPBEXHLevel0X 2 4 2 2" xfId="50401" xr:uid="{00000000-0005-0000-0000-000056BC0000}"/>
    <cellStyle name="SAPBEXHLevel0X 2 4 3" xfId="51377" xr:uid="{00000000-0005-0000-0000-000057BC0000}"/>
    <cellStyle name="SAPBEXHLevel0X 2 4 4" xfId="49671" xr:uid="{00000000-0005-0000-0000-000058BC0000}"/>
    <cellStyle name="SAPBEXHLevel0X 2 5" xfId="46109" xr:uid="{00000000-0005-0000-0000-000059BC0000}"/>
    <cellStyle name="SAPBEXHLevel0X 2 5 2" xfId="46110" xr:uid="{00000000-0005-0000-0000-00005ABC0000}"/>
    <cellStyle name="SAPBEXHLevel0X 2 5 2 2" xfId="51055" xr:uid="{00000000-0005-0000-0000-00005BBC0000}"/>
    <cellStyle name="SAPBEXHLevel0X 2 5 3" xfId="51415" xr:uid="{00000000-0005-0000-0000-00005CBC0000}"/>
    <cellStyle name="SAPBEXHLevel0X 2 5 4" xfId="50010" xr:uid="{00000000-0005-0000-0000-00005DBC0000}"/>
    <cellStyle name="SAPBEXHLevel0X 2 6" xfId="46111" xr:uid="{00000000-0005-0000-0000-00005EBC0000}"/>
    <cellStyle name="SAPBEXHLevel0X 2 6 2" xfId="46112" xr:uid="{00000000-0005-0000-0000-00005FBC0000}"/>
    <cellStyle name="SAPBEXHLevel0X 2 6 3" xfId="50723" xr:uid="{00000000-0005-0000-0000-000060BC0000}"/>
    <cellStyle name="SAPBEXHLevel0X 2 7" xfId="46113" xr:uid="{00000000-0005-0000-0000-000061BC0000}"/>
    <cellStyle name="SAPBEXHLevel0X 2 7 2" xfId="46114" xr:uid="{00000000-0005-0000-0000-000062BC0000}"/>
    <cellStyle name="SAPBEXHLevel0X 2 7 3" xfId="51344"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3" xr:uid="{00000000-0005-0000-0000-000072BC0000}"/>
    <cellStyle name="SAPBEXHLevel0X 3 10 2" xfId="49761" xr:uid="{00000000-0005-0000-0000-000073BC0000}"/>
    <cellStyle name="SAPBEXHLevel0X 3 10 2 2" xfId="50242" xr:uid="{00000000-0005-0000-0000-000074BC0000}"/>
    <cellStyle name="SAPBEXHLevel0X 3 10 2 3" xfId="51167" xr:uid="{00000000-0005-0000-0000-000075BC0000}"/>
    <cellStyle name="SAPBEXHLevel0X 3 10 3" xfId="50611" xr:uid="{00000000-0005-0000-0000-000076BC0000}"/>
    <cellStyle name="SAPBEXHLevel0X 3 10 4" xfId="51348" xr:uid="{00000000-0005-0000-0000-000077BC0000}"/>
    <cellStyle name="SAPBEXHLevel0X 3 11" xfId="49672" xr:uid="{00000000-0005-0000-0000-000078BC0000}"/>
    <cellStyle name="SAPBEXHLevel0X 3 11 2" xfId="50400" xr:uid="{00000000-0005-0000-0000-000079BC0000}"/>
    <cellStyle name="SAPBEXHLevel0X 3 11 3" xfId="51630" xr:uid="{00000000-0005-0000-0000-00007ABC0000}"/>
    <cellStyle name="SAPBEXHLevel0X 3 12" xfId="50009" xr:uid="{00000000-0005-0000-0000-00007BBC0000}"/>
    <cellStyle name="SAPBEXHLevel0X 3 12 2" xfId="51054" xr:uid="{00000000-0005-0000-0000-00007CBC0000}"/>
    <cellStyle name="SAPBEXHLevel0X 3 12 3" xfId="51585" xr:uid="{00000000-0005-0000-0000-00007DBC0000}"/>
    <cellStyle name="SAPBEXHLevel0X 3 13" xfId="50722" xr:uid="{00000000-0005-0000-0000-00007EBC0000}"/>
    <cellStyle name="SAPBEXHLevel0X 3 14" xfId="51659" xr:uid="{00000000-0005-0000-0000-00007FBC0000}"/>
    <cellStyle name="SAPBEXHLevel0X 3 15" xfId="49289" xr:uid="{00000000-0005-0000-0000-000080BC0000}"/>
    <cellStyle name="SAPBEXHLevel0X 3 2" xfId="46129" xr:uid="{00000000-0005-0000-0000-000081BC0000}"/>
    <cellStyle name="SAPBEXHLevel0X 3 2 2" xfId="49534" xr:uid="{00000000-0005-0000-0000-000082BC0000}"/>
    <cellStyle name="SAPBEXHLevel0X 3 2 2 2" xfId="49862" xr:uid="{00000000-0005-0000-0000-000083BC0000}"/>
    <cellStyle name="SAPBEXHLevel0X 3 2 2 2 2" xfId="50153" xr:uid="{00000000-0005-0000-0000-000084BC0000}"/>
    <cellStyle name="SAPBEXHLevel0X 3 2 2 2 3" xfId="51282" xr:uid="{00000000-0005-0000-0000-000085BC0000}"/>
    <cellStyle name="SAPBEXHLevel0X 3 2 2 3" xfId="50511" xr:uid="{00000000-0005-0000-0000-000086BC0000}"/>
    <cellStyle name="SAPBEXHLevel0X 3 2 2 4" xfId="50979" xr:uid="{00000000-0005-0000-0000-000087BC0000}"/>
    <cellStyle name="SAPBEXHLevel0X 3 2 3" xfId="49432" xr:uid="{00000000-0005-0000-0000-000088BC0000}"/>
    <cellStyle name="SAPBEXHLevel0X 3 2 3 2" xfId="49760" xr:uid="{00000000-0005-0000-0000-000089BC0000}"/>
    <cellStyle name="SAPBEXHLevel0X 3 2 3 2 2" xfId="50243" xr:uid="{00000000-0005-0000-0000-00008ABC0000}"/>
    <cellStyle name="SAPBEXHLevel0X 3 2 3 2 3" xfId="51528" xr:uid="{00000000-0005-0000-0000-00008BBC0000}"/>
    <cellStyle name="SAPBEXHLevel0X 3 2 3 3" xfId="50612" xr:uid="{00000000-0005-0000-0000-00008CBC0000}"/>
    <cellStyle name="SAPBEXHLevel0X 3 2 3 4" xfId="51564" xr:uid="{00000000-0005-0000-0000-00008DBC0000}"/>
    <cellStyle name="SAPBEXHLevel0X 3 2 4" xfId="49673" xr:uid="{00000000-0005-0000-0000-00008EBC0000}"/>
    <cellStyle name="SAPBEXHLevel0X 3 2 4 2" xfId="50399" xr:uid="{00000000-0005-0000-0000-00008FBC0000}"/>
    <cellStyle name="SAPBEXHLevel0X 3 2 4 3" xfId="50812" xr:uid="{00000000-0005-0000-0000-000090BC0000}"/>
    <cellStyle name="SAPBEXHLevel0X 3 2 5" xfId="50008" xr:uid="{00000000-0005-0000-0000-000091BC0000}"/>
    <cellStyle name="SAPBEXHLevel0X 3 2 5 2" xfId="51053" xr:uid="{00000000-0005-0000-0000-000092BC0000}"/>
    <cellStyle name="SAPBEXHLevel0X 3 2 5 3" xfId="51328" xr:uid="{00000000-0005-0000-0000-000093BC0000}"/>
    <cellStyle name="SAPBEXHLevel0X 3 2 6" xfId="50721" xr:uid="{00000000-0005-0000-0000-000094BC0000}"/>
    <cellStyle name="SAPBEXHLevel0X 3 2 7" xfId="50657" xr:uid="{00000000-0005-0000-0000-000095BC0000}"/>
    <cellStyle name="SAPBEXHLevel0X 3 2 8" xfId="49290" xr:uid="{00000000-0005-0000-0000-000096BC0000}"/>
    <cellStyle name="SAPBEXHLevel0X 3 3" xfId="46130" xr:uid="{00000000-0005-0000-0000-000097BC0000}"/>
    <cellStyle name="SAPBEXHLevel0X 3 3 2" xfId="49535" xr:uid="{00000000-0005-0000-0000-000098BC0000}"/>
    <cellStyle name="SAPBEXHLevel0X 3 3 2 2" xfId="49863" xr:uid="{00000000-0005-0000-0000-000099BC0000}"/>
    <cellStyle name="SAPBEXHLevel0X 3 3 2 2 2" xfId="50152" xr:uid="{00000000-0005-0000-0000-00009ABC0000}"/>
    <cellStyle name="SAPBEXHLevel0X 3 3 2 2 3" xfId="51540" xr:uid="{00000000-0005-0000-0000-00009BBC0000}"/>
    <cellStyle name="SAPBEXHLevel0X 3 3 2 3" xfId="50510" xr:uid="{00000000-0005-0000-0000-00009CBC0000}"/>
    <cellStyle name="SAPBEXHLevel0X 3 3 2 4" xfId="51244" xr:uid="{00000000-0005-0000-0000-00009DBC0000}"/>
    <cellStyle name="SAPBEXHLevel0X 3 3 3" xfId="49431" xr:uid="{00000000-0005-0000-0000-00009EBC0000}"/>
    <cellStyle name="SAPBEXHLevel0X 3 3 3 2" xfId="49759" xr:uid="{00000000-0005-0000-0000-00009FBC0000}"/>
    <cellStyle name="SAPBEXHLevel0X 3 3 3 2 2" xfId="50244" xr:uid="{00000000-0005-0000-0000-0000A0BC0000}"/>
    <cellStyle name="SAPBEXHLevel0X 3 3 3 2 3" xfId="51270" xr:uid="{00000000-0005-0000-0000-0000A1BC0000}"/>
    <cellStyle name="SAPBEXHLevel0X 3 3 3 3" xfId="50613" xr:uid="{00000000-0005-0000-0000-0000A2BC0000}"/>
    <cellStyle name="SAPBEXHLevel0X 3 3 3 4" xfId="51307" xr:uid="{00000000-0005-0000-0000-0000A3BC0000}"/>
    <cellStyle name="SAPBEXHLevel0X 3 3 4" xfId="49674" xr:uid="{00000000-0005-0000-0000-0000A4BC0000}"/>
    <cellStyle name="SAPBEXHLevel0X 3 3 4 2" xfId="50398" xr:uid="{00000000-0005-0000-0000-0000A5BC0000}"/>
    <cellStyle name="SAPBEXHLevel0X 3 3 4 3" xfId="51260" xr:uid="{00000000-0005-0000-0000-0000A6BC0000}"/>
    <cellStyle name="SAPBEXHLevel0X 3 3 5" xfId="50007" xr:uid="{00000000-0005-0000-0000-0000A7BC0000}"/>
    <cellStyle name="SAPBEXHLevel0X 3 3 5 2" xfId="51052" xr:uid="{00000000-0005-0000-0000-0000A8BC0000}"/>
    <cellStyle name="SAPBEXHLevel0X 3 3 5 3" xfId="51555" xr:uid="{00000000-0005-0000-0000-0000A9BC0000}"/>
    <cellStyle name="SAPBEXHLevel0X 3 3 6" xfId="50720" xr:uid="{00000000-0005-0000-0000-0000AABC0000}"/>
    <cellStyle name="SAPBEXHLevel0X 3 3 7" xfId="50872" xr:uid="{00000000-0005-0000-0000-0000ABBC0000}"/>
    <cellStyle name="SAPBEXHLevel0X 3 3 8" xfId="49291" xr:uid="{00000000-0005-0000-0000-0000ACBC0000}"/>
    <cellStyle name="SAPBEXHLevel0X 3 4" xfId="49292" xr:uid="{00000000-0005-0000-0000-0000ADBC0000}"/>
    <cellStyle name="SAPBEXHLevel0X 3 4 2" xfId="49536" xr:uid="{00000000-0005-0000-0000-0000AEBC0000}"/>
    <cellStyle name="SAPBEXHLevel0X 3 4 2 2" xfId="49864" xr:uid="{00000000-0005-0000-0000-0000AFBC0000}"/>
    <cellStyle name="SAPBEXHLevel0X 3 4 2 2 2" xfId="50151" xr:uid="{00000000-0005-0000-0000-0000B0BC0000}"/>
    <cellStyle name="SAPBEXHLevel0X 3 4 2 2 3" xfId="51314" xr:uid="{00000000-0005-0000-0000-0000B1BC0000}"/>
    <cellStyle name="SAPBEXHLevel0X 3 4 2 3" xfId="50509" xr:uid="{00000000-0005-0000-0000-0000B2BC0000}"/>
    <cellStyle name="SAPBEXHLevel0X 3 4 2 4" xfId="51501" xr:uid="{00000000-0005-0000-0000-0000B3BC0000}"/>
    <cellStyle name="SAPBEXHLevel0X 3 4 3" xfId="49430" xr:uid="{00000000-0005-0000-0000-0000B4BC0000}"/>
    <cellStyle name="SAPBEXHLevel0X 3 4 3 2" xfId="49758" xr:uid="{00000000-0005-0000-0000-0000B5BC0000}"/>
    <cellStyle name="SAPBEXHLevel0X 3 4 3 2 2" xfId="50245" xr:uid="{00000000-0005-0000-0000-0000B6BC0000}"/>
    <cellStyle name="SAPBEXHLevel0X 3 4 3 2 3" xfId="50647" xr:uid="{00000000-0005-0000-0000-0000B7BC0000}"/>
    <cellStyle name="SAPBEXHLevel0X 3 4 3 3" xfId="50614" xr:uid="{00000000-0005-0000-0000-0000B8BC0000}"/>
    <cellStyle name="SAPBEXHLevel0X 3 4 3 4" xfId="51464" xr:uid="{00000000-0005-0000-0000-0000B9BC0000}"/>
    <cellStyle name="SAPBEXHLevel0X 3 4 4" xfId="49675" xr:uid="{00000000-0005-0000-0000-0000BABC0000}"/>
    <cellStyle name="SAPBEXHLevel0X 3 4 4 2" xfId="50062" xr:uid="{00000000-0005-0000-0000-0000BBBC0000}"/>
    <cellStyle name="SAPBEXHLevel0X 3 4 4 3" xfId="51517" xr:uid="{00000000-0005-0000-0000-0000BCBC0000}"/>
    <cellStyle name="SAPBEXHLevel0X 3 4 5" xfId="50006" xr:uid="{00000000-0005-0000-0000-0000BDBC0000}"/>
    <cellStyle name="SAPBEXHLevel0X 3 4 5 2" xfId="51051" xr:uid="{00000000-0005-0000-0000-0000BEBC0000}"/>
    <cellStyle name="SAPBEXHLevel0X 3 4 5 3" xfId="51297" xr:uid="{00000000-0005-0000-0000-0000BFBC0000}"/>
    <cellStyle name="SAPBEXHLevel0X 3 4 6" xfId="50719" xr:uid="{00000000-0005-0000-0000-0000C0BC0000}"/>
    <cellStyle name="SAPBEXHLevel0X 3 4 7" xfId="50946" xr:uid="{00000000-0005-0000-0000-0000C1BC0000}"/>
    <cellStyle name="SAPBEXHLevel0X 3 5" xfId="49293" xr:uid="{00000000-0005-0000-0000-0000C2BC0000}"/>
    <cellStyle name="SAPBEXHLevel0X 3 5 2" xfId="49537" xr:uid="{00000000-0005-0000-0000-0000C3BC0000}"/>
    <cellStyle name="SAPBEXHLevel0X 3 5 2 2" xfId="49865" xr:uid="{00000000-0005-0000-0000-0000C4BC0000}"/>
    <cellStyle name="SAPBEXHLevel0X 3 5 2 2 2" xfId="50150" xr:uid="{00000000-0005-0000-0000-0000C5BC0000}"/>
    <cellStyle name="SAPBEXHLevel0X 3 5 2 2 3" xfId="51571" xr:uid="{00000000-0005-0000-0000-0000C6BC0000}"/>
    <cellStyle name="SAPBEXHLevel0X 3 5 2 3" xfId="50508" xr:uid="{00000000-0005-0000-0000-0000C7BC0000}"/>
    <cellStyle name="SAPBEXHLevel0X 3 5 2 4" xfId="51192" xr:uid="{00000000-0005-0000-0000-0000C8BC0000}"/>
    <cellStyle name="SAPBEXHLevel0X 3 5 3" xfId="49429" xr:uid="{00000000-0005-0000-0000-0000C9BC0000}"/>
    <cellStyle name="SAPBEXHLevel0X 3 5 3 2" xfId="49757" xr:uid="{00000000-0005-0000-0000-0000CABC0000}"/>
    <cellStyle name="SAPBEXHLevel0X 3 5 3 2 2" xfId="50246" xr:uid="{00000000-0005-0000-0000-0000CBBC0000}"/>
    <cellStyle name="SAPBEXHLevel0X 3 5 3 2 3" xfId="51662" xr:uid="{00000000-0005-0000-0000-0000CCBC0000}"/>
    <cellStyle name="SAPBEXHLevel0X 3 5 3 3" xfId="50615" xr:uid="{00000000-0005-0000-0000-0000CDBC0000}"/>
    <cellStyle name="SAPBEXHLevel0X 3 5 3 4" xfId="51206" xr:uid="{00000000-0005-0000-0000-0000CEBC0000}"/>
    <cellStyle name="SAPBEXHLevel0X 3 5 4" xfId="49676" xr:uid="{00000000-0005-0000-0000-0000CFBC0000}"/>
    <cellStyle name="SAPBEXHLevel0X 3 5 4 2" xfId="50374" xr:uid="{00000000-0005-0000-0000-0000D0BC0000}"/>
    <cellStyle name="SAPBEXHLevel0X 3 5 4 3" xfId="51177" xr:uid="{00000000-0005-0000-0000-0000D1BC0000}"/>
    <cellStyle name="SAPBEXHLevel0X 3 5 5" xfId="49965" xr:uid="{00000000-0005-0000-0000-0000D2BC0000}"/>
    <cellStyle name="SAPBEXHLevel0X 3 5 5 2" xfId="51010" xr:uid="{00000000-0005-0000-0000-0000D3BC0000}"/>
    <cellStyle name="SAPBEXHLevel0X 3 5 5 3" xfId="51332" xr:uid="{00000000-0005-0000-0000-0000D4BC0000}"/>
    <cellStyle name="SAPBEXHLevel0X 3 5 6" xfId="50718" xr:uid="{00000000-0005-0000-0000-0000D5BC0000}"/>
    <cellStyle name="SAPBEXHLevel0X 3 5 7" xfId="50886" xr:uid="{00000000-0005-0000-0000-0000D6BC0000}"/>
    <cellStyle name="SAPBEXHLevel0X 3 6" xfId="49294" xr:uid="{00000000-0005-0000-0000-0000D7BC0000}"/>
    <cellStyle name="SAPBEXHLevel0X 3 6 2" xfId="49538" xr:uid="{00000000-0005-0000-0000-0000D8BC0000}"/>
    <cellStyle name="SAPBEXHLevel0X 3 6 2 2" xfId="49866" xr:uid="{00000000-0005-0000-0000-0000D9BC0000}"/>
    <cellStyle name="SAPBEXHLevel0X 3 6 2 2 2" xfId="50149" xr:uid="{00000000-0005-0000-0000-0000DABC0000}"/>
    <cellStyle name="SAPBEXHLevel0X 3 6 2 2 3" xfId="51401" xr:uid="{00000000-0005-0000-0000-0000DBBC0000}"/>
    <cellStyle name="SAPBEXHLevel0X 3 6 2 3" xfId="50507" xr:uid="{00000000-0005-0000-0000-0000DCBC0000}"/>
    <cellStyle name="SAPBEXHLevel0X 3 6 2 4" xfId="51450" xr:uid="{00000000-0005-0000-0000-0000DDBC0000}"/>
    <cellStyle name="SAPBEXHLevel0X 3 6 3" xfId="49428" xr:uid="{00000000-0005-0000-0000-0000DEBC0000}"/>
    <cellStyle name="SAPBEXHLevel0X 3 6 3 2" xfId="49756" xr:uid="{00000000-0005-0000-0000-0000DFBC0000}"/>
    <cellStyle name="SAPBEXHLevel0X 3 6 3 2 2" xfId="50247" xr:uid="{00000000-0005-0000-0000-0000E0BC0000}"/>
    <cellStyle name="SAPBEXHLevel0X 3 6 3 2 3" xfId="51388" xr:uid="{00000000-0005-0000-0000-0000E1BC0000}"/>
    <cellStyle name="SAPBEXHLevel0X 3 6 3 3" xfId="50616" xr:uid="{00000000-0005-0000-0000-0000E2BC0000}"/>
    <cellStyle name="SAPBEXHLevel0X 3 6 3 4" xfId="51487" xr:uid="{00000000-0005-0000-0000-0000E3BC0000}"/>
    <cellStyle name="SAPBEXHLevel0X 3 6 4" xfId="49677" xr:uid="{00000000-0005-0000-0000-0000E4BC0000}"/>
    <cellStyle name="SAPBEXHLevel0X 3 6 4 2" xfId="50348" xr:uid="{00000000-0005-0000-0000-0000E5BC0000}"/>
    <cellStyle name="SAPBEXHLevel0X 3 6 4 3" xfId="51436" xr:uid="{00000000-0005-0000-0000-0000E6BC0000}"/>
    <cellStyle name="SAPBEXHLevel0X 3 6 5" xfId="50005" xr:uid="{00000000-0005-0000-0000-0000E7BC0000}"/>
    <cellStyle name="SAPBEXHLevel0X 3 6 5 2" xfId="51050" xr:uid="{00000000-0005-0000-0000-0000E8BC0000}"/>
    <cellStyle name="SAPBEXHLevel0X 3 6 5 3" xfId="51122" xr:uid="{00000000-0005-0000-0000-0000E9BC0000}"/>
    <cellStyle name="SAPBEXHLevel0X 3 6 6" xfId="50717" xr:uid="{00000000-0005-0000-0000-0000EABC0000}"/>
    <cellStyle name="SAPBEXHLevel0X 3 6 7" xfId="50957" xr:uid="{00000000-0005-0000-0000-0000EBBC0000}"/>
    <cellStyle name="SAPBEXHLevel0X 3 7" xfId="49295" xr:uid="{00000000-0005-0000-0000-0000ECBC0000}"/>
    <cellStyle name="SAPBEXHLevel0X 3 7 2" xfId="49539" xr:uid="{00000000-0005-0000-0000-0000EDBC0000}"/>
    <cellStyle name="SAPBEXHLevel0X 3 7 2 2" xfId="49867" xr:uid="{00000000-0005-0000-0000-0000EEBC0000}"/>
    <cellStyle name="SAPBEXHLevel0X 3 7 2 2 2" xfId="50148" xr:uid="{00000000-0005-0000-0000-0000EFBC0000}"/>
    <cellStyle name="SAPBEXHLevel0X 3 7 2 2 3" xfId="51615" xr:uid="{00000000-0005-0000-0000-0000F0BC0000}"/>
    <cellStyle name="SAPBEXHLevel0X 3 7 2 3" xfId="50506" xr:uid="{00000000-0005-0000-0000-0000F1BC0000}"/>
    <cellStyle name="SAPBEXHLevel0X 3 7 2 4" xfId="51362" xr:uid="{00000000-0005-0000-0000-0000F2BC0000}"/>
    <cellStyle name="SAPBEXHLevel0X 3 7 3" xfId="49427" xr:uid="{00000000-0005-0000-0000-0000F3BC0000}"/>
    <cellStyle name="SAPBEXHLevel0X 3 7 3 2" xfId="49755" xr:uid="{00000000-0005-0000-0000-0000F4BC0000}"/>
    <cellStyle name="SAPBEXHLevel0X 3 7 3 2 2" xfId="50248" xr:uid="{00000000-0005-0000-0000-0000F5BC0000}"/>
    <cellStyle name="SAPBEXHLevel0X 3 7 3 2 3" xfId="51428" xr:uid="{00000000-0005-0000-0000-0000F6BC0000}"/>
    <cellStyle name="SAPBEXHLevel0X 3 7 3 3" xfId="50617" xr:uid="{00000000-0005-0000-0000-0000F7BC0000}"/>
    <cellStyle name="SAPBEXHLevel0X 3 7 3 4" xfId="51230" xr:uid="{00000000-0005-0000-0000-0000F8BC0000}"/>
    <cellStyle name="SAPBEXHLevel0X 3 7 4" xfId="49678" xr:uid="{00000000-0005-0000-0000-0000F9BC0000}"/>
    <cellStyle name="SAPBEXHLevel0X 3 7 4 2" xfId="50347" xr:uid="{00000000-0005-0000-0000-0000FABC0000}"/>
    <cellStyle name="SAPBEXHLevel0X 3 7 4 3" xfId="51378" xr:uid="{00000000-0005-0000-0000-0000FBBC0000}"/>
    <cellStyle name="SAPBEXHLevel0X 3 7 5" xfId="50004" xr:uid="{00000000-0005-0000-0000-0000FCBC0000}"/>
    <cellStyle name="SAPBEXHLevel0X 3 7 5 2" xfId="51049" xr:uid="{00000000-0005-0000-0000-0000FDBC0000}"/>
    <cellStyle name="SAPBEXHLevel0X 3 7 5 3" xfId="51607" xr:uid="{00000000-0005-0000-0000-0000FEBC0000}"/>
    <cellStyle name="SAPBEXHLevel0X 3 7 6" xfId="50716" xr:uid="{00000000-0005-0000-0000-0000FFBC0000}"/>
    <cellStyle name="SAPBEXHLevel0X 3 7 7" xfId="50910" xr:uid="{00000000-0005-0000-0000-000000BD0000}"/>
    <cellStyle name="SAPBEXHLevel0X 3 8" xfId="49296" xr:uid="{00000000-0005-0000-0000-000001BD0000}"/>
    <cellStyle name="SAPBEXHLevel0X 3 8 2" xfId="49540" xr:uid="{00000000-0005-0000-0000-000002BD0000}"/>
    <cellStyle name="SAPBEXHLevel0X 3 8 2 2" xfId="49868" xr:uid="{00000000-0005-0000-0000-000003BD0000}"/>
    <cellStyle name="SAPBEXHLevel0X 3 8 2 2 2" xfId="50147" xr:uid="{00000000-0005-0000-0000-000004BD0000}"/>
    <cellStyle name="SAPBEXHLevel0X 3 8 2 2 3" xfId="50964" xr:uid="{00000000-0005-0000-0000-000005BD0000}"/>
    <cellStyle name="SAPBEXHLevel0X 3 8 2 3" xfId="50505" xr:uid="{00000000-0005-0000-0000-000006BD0000}"/>
    <cellStyle name="SAPBEXHLevel0X 3 8 2 4" xfId="51642" xr:uid="{00000000-0005-0000-0000-000007BD0000}"/>
    <cellStyle name="SAPBEXHLevel0X 3 8 3" xfId="49426" xr:uid="{00000000-0005-0000-0000-000008BD0000}"/>
    <cellStyle name="SAPBEXHLevel0X 3 8 3 2" xfId="49754" xr:uid="{00000000-0005-0000-0000-000009BD0000}"/>
    <cellStyle name="SAPBEXHLevel0X 3 8 3 2 2" xfId="50249" xr:uid="{00000000-0005-0000-0000-00000ABD0000}"/>
    <cellStyle name="SAPBEXHLevel0X 3 8 3 2 3" xfId="51168" xr:uid="{00000000-0005-0000-0000-00000BBD0000}"/>
    <cellStyle name="SAPBEXHLevel0X 3 8 3 3" xfId="50618" xr:uid="{00000000-0005-0000-0000-00000CBD0000}"/>
    <cellStyle name="SAPBEXHLevel0X 3 8 3 4" xfId="50898" xr:uid="{00000000-0005-0000-0000-00000DBD0000}"/>
    <cellStyle name="SAPBEXHLevel0X 3 8 4" xfId="49679" xr:uid="{00000000-0005-0000-0000-00000EBD0000}"/>
    <cellStyle name="SAPBEXHLevel0X 3 8 4 2" xfId="50346" xr:uid="{00000000-0005-0000-0000-00000FBD0000}"/>
    <cellStyle name="SAPBEXHLevel0X 3 8 4 3" xfId="51629" xr:uid="{00000000-0005-0000-0000-000010BD0000}"/>
    <cellStyle name="SAPBEXHLevel0X 3 8 5" xfId="50050" xr:uid="{00000000-0005-0000-0000-000011BD0000}"/>
    <cellStyle name="SAPBEXHLevel0X 3 8 5 2" xfId="51094" xr:uid="{00000000-0005-0000-0000-000012BD0000}"/>
    <cellStyle name="SAPBEXHLevel0X 3 8 5 3" xfId="51588" xr:uid="{00000000-0005-0000-0000-000013BD0000}"/>
    <cellStyle name="SAPBEXHLevel0X 3 8 6" xfId="50715" xr:uid="{00000000-0005-0000-0000-000014BD0000}"/>
    <cellStyle name="SAPBEXHLevel0X 3 8 7" xfId="50973" xr:uid="{00000000-0005-0000-0000-000015BD0000}"/>
    <cellStyle name="SAPBEXHLevel0X 3 9" xfId="49533" xr:uid="{00000000-0005-0000-0000-000016BD0000}"/>
    <cellStyle name="SAPBEXHLevel0X 3 9 2" xfId="49861" xr:uid="{00000000-0005-0000-0000-000017BD0000}"/>
    <cellStyle name="SAPBEXHLevel0X 3 9 2 2" xfId="50154" xr:uid="{00000000-0005-0000-0000-000018BD0000}"/>
    <cellStyle name="SAPBEXHLevel0X 3 9 2 3" xfId="50893" xr:uid="{00000000-0005-0000-0000-000019BD0000}"/>
    <cellStyle name="SAPBEXHLevel0X 3 9 3" xfId="50512" xr:uid="{00000000-0005-0000-0000-00001ABD0000}"/>
    <cellStyle name="SAPBEXHLevel0X 3 9 4" xfId="50913"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7" xr:uid="{00000000-0005-0000-0000-000020BD0000}"/>
    <cellStyle name="SAPBEXHLevel0X 4" xfId="46135" xr:uid="{00000000-0005-0000-0000-000021BD0000}"/>
    <cellStyle name="SAPBEXHLevel0X 4 2" xfId="46136" xr:uid="{00000000-0005-0000-0000-000022BD0000}"/>
    <cellStyle name="SAPBEXHLevel0X 4 2 2" xfId="50156" xr:uid="{00000000-0005-0000-0000-000023BD0000}"/>
    <cellStyle name="SAPBEXHLevel0X 4 2 3" xfId="51400" xr:uid="{00000000-0005-0000-0000-000024BD0000}"/>
    <cellStyle name="SAPBEXHLevel0X 4 2 4" xfId="49859" xr:uid="{00000000-0005-0000-0000-000025BD0000}"/>
    <cellStyle name="SAPBEXHLevel0X 4 3" xfId="50514" xr:uid="{00000000-0005-0000-0000-000026BD0000}"/>
    <cellStyle name="SAPBEXHLevel0X 4 4" xfId="51359" xr:uid="{00000000-0005-0000-0000-000027BD0000}"/>
    <cellStyle name="SAPBEXHLevel0X 4 5" xfId="49531" xr:uid="{00000000-0005-0000-0000-000028BD0000}"/>
    <cellStyle name="SAPBEXHLevel0X 5" xfId="46137" xr:uid="{00000000-0005-0000-0000-000029BD0000}"/>
    <cellStyle name="SAPBEXHLevel0X 5 2" xfId="46138" xr:uid="{00000000-0005-0000-0000-00002ABD0000}"/>
    <cellStyle name="SAPBEXHLevel0X 5 2 2" xfId="50240" xr:uid="{00000000-0005-0000-0000-00002BBD0000}"/>
    <cellStyle name="SAPBEXHLevel0X 5 2 3" xfId="51389" xr:uid="{00000000-0005-0000-0000-00002CBD0000}"/>
    <cellStyle name="SAPBEXHLevel0X 5 2 4" xfId="49763" xr:uid="{00000000-0005-0000-0000-00002DBD0000}"/>
    <cellStyle name="SAPBEXHLevel0X 5 3" xfId="50609" xr:uid="{00000000-0005-0000-0000-00002EBD0000}"/>
    <cellStyle name="SAPBEXHLevel0X 5 4" xfId="50969" xr:uid="{00000000-0005-0000-0000-00002FBD0000}"/>
    <cellStyle name="SAPBEXHLevel0X 5 5" xfId="49435" xr:uid="{00000000-0005-0000-0000-000030BD0000}"/>
    <cellStyle name="SAPBEXHLevel0X 6" xfId="46139" xr:uid="{00000000-0005-0000-0000-000031BD0000}"/>
    <cellStyle name="SAPBEXHLevel0X 6 2" xfId="46140" xr:uid="{00000000-0005-0000-0000-000032BD0000}"/>
    <cellStyle name="SAPBEXHLevel0X 6 2 2" xfId="50402" xr:uid="{00000000-0005-0000-0000-000033BD0000}"/>
    <cellStyle name="SAPBEXHLevel0X 6 3" xfId="51562" xr:uid="{00000000-0005-0000-0000-000034BD0000}"/>
    <cellStyle name="SAPBEXHLevel0X 6 4" xfId="49670" xr:uid="{00000000-0005-0000-0000-000035BD0000}"/>
    <cellStyle name="SAPBEXHLevel0X 7" xfId="46141" xr:uid="{00000000-0005-0000-0000-000036BD0000}"/>
    <cellStyle name="SAPBEXHLevel0X 7 2" xfId="46142" xr:uid="{00000000-0005-0000-0000-000037BD0000}"/>
    <cellStyle name="SAPBEXHLevel0X 7 2 2" xfId="51056" xr:uid="{00000000-0005-0000-0000-000038BD0000}"/>
    <cellStyle name="SAPBEXHLevel0X 7 3" xfId="51606" xr:uid="{00000000-0005-0000-0000-000039BD0000}"/>
    <cellStyle name="SAPBEXHLevel0X 7 4" xfId="50011" xr:uid="{00000000-0005-0000-0000-00003ABD0000}"/>
    <cellStyle name="SAPBEXHLevel0X 8" xfId="46143" xr:uid="{00000000-0005-0000-0000-00003BBD0000}"/>
    <cellStyle name="SAPBEXHLevel0X 8 2" xfId="46144" xr:uid="{00000000-0005-0000-0000-00003CBD0000}"/>
    <cellStyle name="SAPBEXHLevel0X 8 3" xfId="50724" xr:uid="{00000000-0005-0000-0000-00003DBD0000}"/>
    <cellStyle name="SAPBEXHLevel0X 9" xfId="46145" xr:uid="{00000000-0005-0000-0000-00003EBD0000}"/>
    <cellStyle name="SAPBEXHLevel0X 9 2" xfId="46146" xr:uid="{00000000-0005-0000-0000-00003FBD0000}"/>
    <cellStyle name="SAPBEXHLevel0X 9 3" xfId="51468"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41"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5" xr:uid="{00000000-0005-0000-0000-00005BBD0000}"/>
    <cellStyle name="SAPBEXHLevel1 2 2 2 3" xfId="51541" xr:uid="{00000000-0005-0000-0000-00005CBD0000}"/>
    <cellStyle name="SAPBEXHLevel1 2 2 2 4" xfId="49870" xr:uid="{00000000-0005-0000-0000-00005DBD0000}"/>
    <cellStyle name="SAPBEXHLevel1 2 2 3" xfId="46171" xr:uid="{00000000-0005-0000-0000-00005EBD0000}"/>
    <cellStyle name="SAPBEXHLevel1 2 2 3 2" xfId="50503" xr:uid="{00000000-0005-0000-0000-00005FBD0000}"/>
    <cellStyle name="SAPBEXHLevel1 2 2 4" xfId="51191" xr:uid="{00000000-0005-0000-0000-000060BD0000}"/>
    <cellStyle name="SAPBEXHLevel1 2 2 5" xfId="49542"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51" xr:uid="{00000000-0005-0000-0000-00006EBD0000}"/>
    <cellStyle name="SAPBEXHLevel1 2 3 2 3" xfId="51269" xr:uid="{00000000-0005-0000-0000-00006FBD0000}"/>
    <cellStyle name="SAPBEXHLevel1 2 3 2 4" xfId="49752" xr:uid="{00000000-0005-0000-0000-000070BD0000}"/>
    <cellStyle name="SAPBEXHLevel1 2 3 3" xfId="50620" xr:uid="{00000000-0005-0000-0000-000071BD0000}"/>
    <cellStyle name="SAPBEXHLevel1 2 3 4" xfId="51347" xr:uid="{00000000-0005-0000-0000-000072BD0000}"/>
    <cellStyle name="SAPBEXHLevel1 2 3 5" xfId="49424"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8" xr:uid="{00000000-0005-0000-0000-000077BD0000}"/>
    <cellStyle name="SAPBEXHLevel1 2 4" xfId="46187" xr:uid="{00000000-0005-0000-0000-000078BD0000}"/>
    <cellStyle name="SAPBEXHLevel1 2 4 2" xfId="46188" xr:uid="{00000000-0005-0000-0000-000079BD0000}"/>
    <cellStyle name="SAPBEXHLevel1 2 4 2 2" xfId="50344" xr:uid="{00000000-0005-0000-0000-00007ABD0000}"/>
    <cellStyle name="SAPBEXHLevel1 2 4 3" xfId="51261" xr:uid="{00000000-0005-0000-0000-00007BBD0000}"/>
    <cellStyle name="SAPBEXHLevel1 2 4 4" xfId="49681" xr:uid="{00000000-0005-0000-0000-00007CBD0000}"/>
    <cellStyle name="SAPBEXHLevel1 2 5" xfId="46189" xr:uid="{00000000-0005-0000-0000-00007DBD0000}"/>
    <cellStyle name="SAPBEXHLevel1 2 5 2" xfId="46190" xr:uid="{00000000-0005-0000-0000-00007EBD0000}"/>
    <cellStyle name="SAPBEXHLevel1 2 5 2 2" xfId="51047" xr:uid="{00000000-0005-0000-0000-00007FBD0000}"/>
    <cellStyle name="SAPBEXHLevel1 2 5 3" xfId="51584" xr:uid="{00000000-0005-0000-0000-000080BD0000}"/>
    <cellStyle name="SAPBEXHLevel1 2 5 4" xfId="50002" xr:uid="{00000000-0005-0000-0000-000081BD0000}"/>
    <cellStyle name="SAPBEXHLevel1 2 6" xfId="46191" xr:uid="{00000000-0005-0000-0000-000082BD0000}"/>
    <cellStyle name="SAPBEXHLevel1 2 6 2" xfId="46192" xr:uid="{00000000-0005-0000-0000-000083BD0000}"/>
    <cellStyle name="SAPBEXHLevel1 2 6 3" xfId="50713" xr:uid="{00000000-0005-0000-0000-000084BD0000}"/>
    <cellStyle name="SAPBEXHLevel1 2 7" xfId="46193" xr:uid="{00000000-0005-0000-0000-000085BD0000}"/>
    <cellStyle name="SAPBEXHLevel1 2 7 2" xfId="46194" xr:uid="{00000000-0005-0000-0000-000086BD0000}"/>
    <cellStyle name="SAPBEXHLevel1 2 7 3" xfId="51143"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6" xr:uid="{00000000-0005-0000-0000-000097BD0000}"/>
    <cellStyle name="SAPBEXHLevel1 3 2 3" xfId="51283" xr:uid="{00000000-0005-0000-0000-000098BD0000}"/>
    <cellStyle name="SAPBEXHLevel1 3 2 4" xfId="49869" xr:uid="{00000000-0005-0000-0000-000099BD0000}"/>
    <cellStyle name="SAPBEXHLevel1 3 3" xfId="46210" xr:uid="{00000000-0005-0000-0000-00009ABD0000}"/>
    <cellStyle name="SAPBEXHLevel1 3 3 2" xfId="50504" xr:uid="{00000000-0005-0000-0000-00009BBD0000}"/>
    <cellStyle name="SAPBEXHLevel1 3 4" xfId="50810" xr:uid="{00000000-0005-0000-0000-00009CBD0000}"/>
    <cellStyle name="SAPBEXHLevel1 3 5" xfId="49541"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7" xr:uid="{00000000-0005-0000-0000-0000A2BD0000}"/>
    <cellStyle name="SAPBEXHLevel1 4" xfId="46215" xr:uid="{00000000-0005-0000-0000-0000A3BD0000}"/>
    <cellStyle name="SAPBEXHLevel1 4 2" xfId="46216" xr:uid="{00000000-0005-0000-0000-0000A4BD0000}"/>
    <cellStyle name="SAPBEXHLevel1 4 2 2" xfId="50250" xr:uid="{00000000-0005-0000-0000-0000A5BD0000}"/>
    <cellStyle name="SAPBEXHLevel1 4 2 3" xfId="51527" xr:uid="{00000000-0005-0000-0000-0000A6BD0000}"/>
    <cellStyle name="SAPBEXHLevel1 4 2 4" xfId="49753" xr:uid="{00000000-0005-0000-0000-0000A7BD0000}"/>
    <cellStyle name="SAPBEXHLevel1 4 3" xfId="50619" xr:uid="{00000000-0005-0000-0000-0000A8BD0000}"/>
    <cellStyle name="SAPBEXHLevel1 4 4" xfId="51656" xr:uid="{00000000-0005-0000-0000-0000A9BD0000}"/>
    <cellStyle name="SAPBEXHLevel1 4 5" xfId="49425" xr:uid="{00000000-0005-0000-0000-0000AABD0000}"/>
    <cellStyle name="SAPBEXHLevel1 5" xfId="46217" xr:uid="{00000000-0005-0000-0000-0000ABBD0000}"/>
    <cellStyle name="SAPBEXHLevel1 5 2" xfId="46218" xr:uid="{00000000-0005-0000-0000-0000ACBD0000}"/>
    <cellStyle name="SAPBEXHLevel1 5 2 2" xfId="50090" xr:uid="{00000000-0005-0000-0000-0000ADBD0000}"/>
    <cellStyle name="SAPBEXHLevel1 5 2 3" xfId="51111" xr:uid="{00000000-0005-0000-0000-0000AEBD0000}"/>
    <cellStyle name="SAPBEXHLevel1 5 2 4" xfId="49927" xr:uid="{00000000-0005-0000-0000-0000AFBD0000}"/>
    <cellStyle name="SAPBEXHLevel1 5 3" xfId="50446" xr:uid="{00000000-0005-0000-0000-0000B0BD0000}"/>
    <cellStyle name="SAPBEXHLevel1 5 4" xfId="51193" xr:uid="{00000000-0005-0000-0000-0000B1BD0000}"/>
    <cellStyle name="SAPBEXHLevel1 5 5" xfId="49599" xr:uid="{00000000-0005-0000-0000-0000B2BD0000}"/>
    <cellStyle name="SAPBEXHLevel1 6" xfId="46219" xr:uid="{00000000-0005-0000-0000-0000B3BD0000}"/>
    <cellStyle name="SAPBEXHLevel1 6 2" xfId="46220" xr:uid="{00000000-0005-0000-0000-0000B4BD0000}"/>
    <cellStyle name="SAPBEXHLevel1 6 2 2" xfId="50345" xr:uid="{00000000-0005-0000-0000-0000B5BD0000}"/>
    <cellStyle name="SAPBEXHLevel1 6 3" xfId="50813" xr:uid="{00000000-0005-0000-0000-0000B6BD0000}"/>
    <cellStyle name="SAPBEXHLevel1 6 4" xfId="49680" xr:uid="{00000000-0005-0000-0000-0000B7BD0000}"/>
    <cellStyle name="SAPBEXHLevel1 7" xfId="46221" xr:uid="{00000000-0005-0000-0000-0000B8BD0000}"/>
    <cellStyle name="SAPBEXHLevel1 7 2" xfId="46222" xr:uid="{00000000-0005-0000-0000-0000B9BD0000}"/>
    <cellStyle name="SAPBEXHLevel1 7 2 2" xfId="51048" xr:uid="{00000000-0005-0000-0000-0000BABD0000}"/>
    <cellStyle name="SAPBEXHLevel1 7 3" xfId="51414" xr:uid="{00000000-0005-0000-0000-0000BBBD0000}"/>
    <cellStyle name="SAPBEXHLevel1 7 4" xfId="50003" xr:uid="{00000000-0005-0000-0000-0000BCBD0000}"/>
    <cellStyle name="SAPBEXHLevel1 8" xfId="46223" xr:uid="{00000000-0005-0000-0000-0000BDBD0000}"/>
    <cellStyle name="SAPBEXHLevel1 8 2" xfId="46224" xr:uid="{00000000-0005-0000-0000-0000BEBD0000}"/>
    <cellStyle name="SAPBEXHLevel1 8 3" xfId="50714" xr:uid="{00000000-0005-0000-0000-0000BFBD0000}"/>
    <cellStyle name="SAPBEXHLevel1 9" xfId="46225" xr:uid="{00000000-0005-0000-0000-0000C0BD0000}"/>
    <cellStyle name="SAPBEXHLevel1 9 2" xfId="46226" xr:uid="{00000000-0005-0000-0000-0000C1BD0000}"/>
    <cellStyle name="SAPBEXHLevel1 9 3" xfId="50944"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3" xr:uid="{00000000-0005-0000-0000-0000DCBD0000}"/>
    <cellStyle name="SAPBEXHLevel1X 2 2 2 3" xfId="51572" xr:uid="{00000000-0005-0000-0000-0000DDBD0000}"/>
    <cellStyle name="SAPBEXHLevel1X 2 2 2 4" xfId="49872" xr:uid="{00000000-0005-0000-0000-0000DEBD0000}"/>
    <cellStyle name="SAPBEXHLevel1X 2 2 3" xfId="46251" xr:uid="{00000000-0005-0000-0000-0000DFBD0000}"/>
    <cellStyle name="SAPBEXHLevel1X 2 2 3 2" xfId="50501" xr:uid="{00000000-0005-0000-0000-0000E0BD0000}"/>
    <cellStyle name="SAPBEXHLevel1X 2 2 4" xfId="51363" xr:uid="{00000000-0005-0000-0000-0000E1BD0000}"/>
    <cellStyle name="SAPBEXHLevel1X 2 2 5" xfId="49544"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3" xr:uid="{00000000-0005-0000-0000-0000EFBD0000}"/>
    <cellStyle name="SAPBEXHLevel1X 2 3 2 3" xfId="51623" xr:uid="{00000000-0005-0000-0000-0000F0BD0000}"/>
    <cellStyle name="SAPBEXHLevel1X 2 3 2 4" xfId="49750" xr:uid="{00000000-0005-0000-0000-0000F1BD0000}"/>
    <cellStyle name="SAPBEXHLevel1X 2 3 3" xfId="50622" xr:uid="{00000000-0005-0000-0000-0000F2BD0000}"/>
    <cellStyle name="SAPBEXHLevel1X 2 3 4" xfId="51306" xr:uid="{00000000-0005-0000-0000-0000F3BD0000}"/>
    <cellStyle name="SAPBEXHLevel1X 2 3 5" xfId="49422"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300" xr:uid="{00000000-0005-0000-0000-0000F8BD0000}"/>
    <cellStyle name="SAPBEXHLevel1X 2 4" xfId="46267" xr:uid="{00000000-0005-0000-0000-0000F9BD0000}"/>
    <cellStyle name="SAPBEXHLevel1X 2 4 2" xfId="46268" xr:uid="{00000000-0005-0000-0000-0000FABD0000}"/>
    <cellStyle name="SAPBEXHLevel1X 2 4 2 2" xfId="50336" xr:uid="{00000000-0005-0000-0000-0000FBBD0000}"/>
    <cellStyle name="SAPBEXHLevel1X 2 4 3" xfId="51176" xr:uid="{00000000-0005-0000-0000-0000FCBD0000}"/>
    <cellStyle name="SAPBEXHLevel1X 2 4 4" xfId="49683" xr:uid="{00000000-0005-0000-0000-0000FDBD0000}"/>
    <cellStyle name="SAPBEXHLevel1X 2 5" xfId="46269" xr:uid="{00000000-0005-0000-0000-0000FEBD0000}"/>
    <cellStyle name="SAPBEXHLevel1X 2 5 2" xfId="46270" xr:uid="{00000000-0005-0000-0000-0000FFBD0000}"/>
    <cellStyle name="SAPBEXHLevel1X 2 5 2 2" xfId="51093" xr:uid="{00000000-0005-0000-0000-000000BE0000}"/>
    <cellStyle name="SAPBEXHLevel1X 2 5 3" xfId="50905" xr:uid="{00000000-0005-0000-0000-000001BE0000}"/>
    <cellStyle name="SAPBEXHLevel1X 2 5 4" xfId="50049" xr:uid="{00000000-0005-0000-0000-000002BE0000}"/>
    <cellStyle name="SAPBEXHLevel1X 2 6" xfId="46271" xr:uid="{00000000-0005-0000-0000-000003BE0000}"/>
    <cellStyle name="SAPBEXHLevel1X 2 6 2" xfId="46272" xr:uid="{00000000-0005-0000-0000-000004BE0000}"/>
    <cellStyle name="SAPBEXHLevel1X 2 6 3" xfId="50711" xr:uid="{00000000-0005-0000-0000-000005BE0000}"/>
    <cellStyle name="SAPBEXHLevel1X 2 7" xfId="46273" xr:uid="{00000000-0005-0000-0000-000006BE0000}"/>
    <cellStyle name="SAPBEXHLevel1X 2 7 2" xfId="46274" xr:uid="{00000000-0005-0000-0000-000007BE0000}"/>
    <cellStyle name="SAPBEXHLevel1X 2 7 3" xfId="50853"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21" xr:uid="{00000000-0005-0000-0000-000017BE0000}"/>
    <cellStyle name="SAPBEXHLevel1X 3 10 2" xfId="49749" xr:uid="{00000000-0005-0000-0000-000018BE0000}"/>
    <cellStyle name="SAPBEXHLevel1X 3 10 2 2" xfId="50254" xr:uid="{00000000-0005-0000-0000-000019BE0000}"/>
    <cellStyle name="SAPBEXHLevel1X 3 10 2 3" xfId="51387" xr:uid="{00000000-0005-0000-0000-00001ABE0000}"/>
    <cellStyle name="SAPBEXHLevel1X 3 10 3" xfId="50623" xr:uid="{00000000-0005-0000-0000-00001BBE0000}"/>
    <cellStyle name="SAPBEXHLevel1X 3 10 4" xfId="51465" xr:uid="{00000000-0005-0000-0000-00001CBE0000}"/>
    <cellStyle name="SAPBEXHLevel1X 3 11" xfId="49684" xr:uid="{00000000-0005-0000-0000-00001DBE0000}"/>
    <cellStyle name="SAPBEXHLevel1X 3 11 2" xfId="50335" xr:uid="{00000000-0005-0000-0000-00001EBE0000}"/>
    <cellStyle name="SAPBEXHLevel1X 3 11 3" xfId="51435" xr:uid="{00000000-0005-0000-0000-00001FBE0000}"/>
    <cellStyle name="SAPBEXHLevel1X 3 12" xfId="50000" xr:uid="{00000000-0005-0000-0000-000020BE0000}"/>
    <cellStyle name="SAPBEXHLevel1X 3 12 2" xfId="51045" xr:uid="{00000000-0005-0000-0000-000021BE0000}"/>
    <cellStyle name="SAPBEXHLevel1X 3 12 3" xfId="51554" xr:uid="{00000000-0005-0000-0000-000022BE0000}"/>
    <cellStyle name="SAPBEXHLevel1X 3 13" xfId="50710" xr:uid="{00000000-0005-0000-0000-000023BE0000}"/>
    <cellStyle name="SAPBEXHLevel1X 3 14" xfId="51144" xr:uid="{00000000-0005-0000-0000-000024BE0000}"/>
    <cellStyle name="SAPBEXHLevel1X 3 15" xfId="49301" xr:uid="{00000000-0005-0000-0000-000025BE0000}"/>
    <cellStyle name="SAPBEXHLevel1X 3 2" xfId="46289" xr:uid="{00000000-0005-0000-0000-000026BE0000}"/>
    <cellStyle name="SAPBEXHLevel1X 3 2 2" xfId="49546" xr:uid="{00000000-0005-0000-0000-000027BE0000}"/>
    <cellStyle name="SAPBEXHLevel1X 3 2 2 2" xfId="49874" xr:uid="{00000000-0005-0000-0000-000028BE0000}"/>
    <cellStyle name="SAPBEXHLevel1X 3 2 2 2 2" xfId="50141" xr:uid="{00000000-0005-0000-0000-000029BE0000}"/>
    <cellStyle name="SAPBEXHLevel1X 3 2 2 2 3" xfId="51614" xr:uid="{00000000-0005-0000-0000-00002ABE0000}"/>
    <cellStyle name="SAPBEXHLevel1X 3 2 2 3" xfId="50499" xr:uid="{00000000-0005-0000-0000-00002BBE0000}"/>
    <cellStyle name="SAPBEXHLevel1X 3 2 2 4" xfId="50876" xr:uid="{00000000-0005-0000-0000-00002CBE0000}"/>
    <cellStyle name="SAPBEXHLevel1X 3 2 3" xfId="49420" xr:uid="{00000000-0005-0000-0000-00002DBE0000}"/>
    <cellStyle name="SAPBEXHLevel1X 3 2 3 2" xfId="49748" xr:uid="{00000000-0005-0000-0000-00002EBE0000}"/>
    <cellStyle name="SAPBEXHLevel1X 3 2 3 2 2" xfId="50255" xr:uid="{00000000-0005-0000-0000-00002FBE0000}"/>
    <cellStyle name="SAPBEXHLevel1X 3 2 3 2 3" xfId="51429" xr:uid="{00000000-0005-0000-0000-000030BE0000}"/>
    <cellStyle name="SAPBEXHLevel1X 3 2 3 3" xfId="50624" xr:uid="{00000000-0005-0000-0000-000031BE0000}"/>
    <cellStyle name="SAPBEXHLevel1X 3 2 3 4" xfId="51207" xr:uid="{00000000-0005-0000-0000-000032BE0000}"/>
    <cellStyle name="SAPBEXHLevel1X 3 2 4" xfId="49685" xr:uid="{00000000-0005-0000-0000-000033BE0000}"/>
    <cellStyle name="SAPBEXHLevel1X 3 2 4 2" xfId="50329" xr:uid="{00000000-0005-0000-0000-000034BE0000}"/>
    <cellStyle name="SAPBEXHLevel1X 3 2 4 3" xfId="51379" xr:uid="{00000000-0005-0000-0000-000035BE0000}"/>
    <cellStyle name="SAPBEXHLevel1X 3 2 5" xfId="49999" xr:uid="{00000000-0005-0000-0000-000036BE0000}"/>
    <cellStyle name="SAPBEXHLevel1X 3 2 5 2" xfId="51044" xr:uid="{00000000-0005-0000-0000-000037BE0000}"/>
    <cellStyle name="SAPBEXHLevel1X 3 2 5 3" xfId="51296" xr:uid="{00000000-0005-0000-0000-000038BE0000}"/>
    <cellStyle name="SAPBEXHLevel1X 3 2 6" xfId="50709" xr:uid="{00000000-0005-0000-0000-000039BE0000}"/>
    <cellStyle name="SAPBEXHLevel1X 3 2 7" xfId="50919" xr:uid="{00000000-0005-0000-0000-00003ABE0000}"/>
    <cellStyle name="SAPBEXHLevel1X 3 2 8" xfId="49302" xr:uid="{00000000-0005-0000-0000-00003BBE0000}"/>
    <cellStyle name="SAPBEXHLevel1X 3 3" xfId="46290" xr:uid="{00000000-0005-0000-0000-00003CBE0000}"/>
    <cellStyle name="SAPBEXHLevel1X 3 3 2" xfId="49547" xr:uid="{00000000-0005-0000-0000-00003DBE0000}"/>
    <cellStyle name="SAPBEXHLevel1X 3 3 2 2" xfId="49875" xr:uid="{00000000-0005-0000-0000-00003EBE0000}"/>
    <cellStyle name="SAPBEXHLevel1X 3 3 2 2 2" xfId="50140" xr:uid="{00000000-0005-0000-0000-00003FBE0000}"/>
    <cellStyle name="SAPBEXHLevel1X 3 3 2 2 3" xfId="50649" xr:uid="{00000000-0005-0000-0000-000040BE0000}"/>
    <cellStyle name="SAPBEXHLevel1X 3 3 2 3" xfId="50498" xr:uid="{00000000-0005-0000-0000-000041BE0000}"/>
    <cellStyle name="SAPBEXHLevel1X 3 3 2 4" xfId="51246" xr:uid="{00000000-0005-0000-0000-000042BE0000}"/>
    <cellStyle name="SAPBEXHLevel1X 3 3 3" xfId="49594" xr:uid="{00000000-0005-0000-0000-000043BE0000}"/>
    <cellStyle name="SAPBEXHLevel1X 3 3 3 2" xfId="49922" xr:uid="{00000000-0005-0000-0000-000044BE0000}"/>
    <cellStyle name="SAPBEXHLevel1X 3 3 3 2 2" xfId="50093" xr:uid="{00000000-0005-0000-0000-000045BE0000}"/>
    <cellStyle name="SAPBEXHLevel1X 3 3 3 2 3" xfId="51109" xr:uid="{00000000-0005-0000-0000-000046BE0000}"/>
    <cellStyle name="SAPBEXHLevel1X 3 3 3 3" xfId="50451" xr:uid="{00000000-0005-0000-0000-000047BE0000}"/>
    <cellStyle name="SAPBEXHLevel1X 3 3 3 4" xfId="51665" xr:uid="{00000000-0005-0000-0000-000048BE0000}"/>
    <cellStyle name="SAPBEXHLevel1X 3 3 4" xfId="49686" xr:uid="{00000000-0005-0000-0000-000049BE0000}"/>
    <cellStyle name="SAPBEXHLevel1X 3 3 4 2" xfId="50328" xr:uid="{00000000-0005-0000-0000-00004ABE0000}"/>
    <cellStyle name="SAPBEXHLevel1X 3 3 4 3" xfId="51628" xr:uid="{00000000-0005-0000-0000-00004BBE0000}"/>
    <cellStyle name="SAPBEXHLevel1X 3 3 5" xfId="49998" xr:uid="{00000000-0005-0000-0000-00004CBE0000}"/>
    <cellStyle name="SAPBEXHLevel1X 3 3 5 2" xfId="51043" xr:uid="{00000000-0005-0000-0000-00004DBE0000}"/>
    <cellStyle name="SAPBEXHLevel1X 3 3 5 3" xfId="51121" xr:uid="{00000000-0005-0000-0000-00004EBE0000}"/>
    <cellStyle name="SAPBEXHLevel1X 3 3 6" xfId="50708" xr:uid="{00000000-0005-0000-0000-00004FBE0000}"/>
    <cellStyle name="SAPBEXHLevel1X 3 3 7" xfId="50665" xr:uid="{00000000-0005-0000-0000-000050BE0000}"/>
    <cellStyle name="SAPBEXHLevel1X 3 3 8" xfId="49303" xr:uid="{00000000-0005-0000-0000-000051BE0000}"/>
    <cellStyle name="SAPBEXHLevel1X 3 4" xfId="49304" xr:uid="{00000000-0005-0000-0000-000052BE0000}"/>
    <cellStyle name="SAPBEXHLevel1X 3 4 2" xfId="49548" xr:uid="{00000000-0005-0000-0000-000053BE0000}"/>
    <cellStyle name="SAPBEXHLevel1X 3 4 2 2" xfId="49876" xr:uid="{00000000-0005-0000-0000-000054BE0000}"/>
    <cellStyle name="SAPBEXHLevel1X 3 4 2 2 2" xfId="50139" xr:uid="{00000000-0005-0000-0000-000055BE0000}"/>
    <cellStyle name="SAPBEXHLevel1X 3 4 2 2 3" xfId="51284" xr:uid="{00000000-0005-0000-0000-000056BE0000}"/>
    <cellStyle name="SAPBEXHLevel1X 3 4 2 3" xfId="50497" xr:uid="{00000000-0005-0000-0000-000057BE0000}"/>
    <cellStyle name="SAPBEXHLevel1X 3 4 2 4" xfId="51503" xr:uid="{00000000-0005-0000-0000-000058BE0000}"/>
    <cellStyle name="SAPBEXHLevel1X 3 4 3" xfId="49419" xr:uid="{00000000-0005-0000-0000-000059BE0000}"/>
    <cellStyle name="SAPBEXHLevel1X 3 4 3 2" xfId="49747" xr:uid="{00000000-0005-0000-0000-00005ABE0000}"/>
    <cellStyle name="SAPBEXHLevel1X 3 4 3 2 2" xfId="50256" xr:uid="{00000000-0005-0000-0000-00005BBE0000}"/>
    <cellStyle name="SAPBEXHLevel1X 3 4 3 2 3" xfId="51169" xr:uid="{00000000-0005-0000-0000-00005CBE0000}"/>
    <cellStyle name="SAPBEXHLevel1X 3 4 3 3" xfId="50625" xr:uid="{00000000-0005-0000-0000-00005DBE0000}"/>
    <cellStyle name="SAPBEXHLevel1X 3 4 3 4" xfId="51486" xr:uid="{00000000-0005-0000-0000-00005EBE0000}"/>
    <cellStyle name="SAPBEXHLevel1X 3 4 4" xfId="49687" xr:uid="{00000000-0005-0000-0000-00005FBE0000}"/>
    <cellStyle name="SAPBEXHLevel1X 3 4 4 2" xfId="50327" xr:uid="{00000000-0005-0000-0000-000060BE0000}"/>
    <cellStyle name="SAPBEXHLevel1X 3 4 4 3" xfId="50814" xr:uid="{00000000-0005-0000-0000-000061BE0000}"/>
    <cellStyle name="SAPBEXHLevel1X 3 4 5" xfId="49997" xr:uid="{00000000-0005-0000-0000-000062BE0000}"/>
    <cellStyle name="SAPBEXHLevel1X 3 4 5 2" xfId="51042" xr:uid="{00000000-0005-0000-0000-000063BE0000}"/>
    <cellStyle name="SAPBEXHLevel1X 3 4 5 3" xfId="51608" xr:uid="{00000000-0005-0000-0000-000064BE0000}"/>
    <cellStyle name="SAPBEXHLevel1X 3 4 6" xfId="50707" xr:uid="{00000000-0005-0000-0000-000065BE0000}"/>
    <cellStyle name="SAPBEXHLevel1X 3 4 7" xfId="50906" xr:uid="{00000000-0005-0000-0000-000066BE0000}"/>
    <cellStyle name="SAPBEXHLevel1X 3 5" xfId="49305" xr:uid="{00000000-0005-0000-0000-000067BE0000}"/>
    <cellStyle name="SAPBEXHLevel1X 3 5 2" xfId="49549" xr:uid="{00000000-0005-0000-0000-000068BE0000}"/>
    <cellStyle name="SAPBEXHLevel1X 3 5 2 2" xfId="49877" xr:uid="{00000000-0005-0000-0000-000069BE0000}"/>
    <cellStyle name="SAPBEXHLevel1X 3 5 2 2 2" xfId="50138" xr:uid="{00000000-0005-0000-0000-00006ABE0000}"/>
    <cellStyle name="SAPBEXHLevel1X 3 5 2 2 3" xfId="51542" xr:uid="{00000000-0005-0000-0000-00006BBE0000}"/>
    <cellStyle name="SAPBEXHLevel1X 3 5 2 3" xfId="50496" xr:uid="{00000000-0005-0000-0000-00006CBE0000}"/>
    <cellStyle name="SAPBEXHLevel1X 3 5 2 4" xfId="51190" xr:uid="{00000000-0005-0000-0000-00006DBE0000}"/>
    <cellStyle name="SAPBEXHLevel1X 3 5 3" xfId="49418" xr:uid="{00000000-0005-0000-0000-00006EBE0000}"/>
    <cellStyle name="SAPBEXHLevel1X 3 5 3 2" xfId="49746" xr:uid="{00000000-0005-0000-0000-00006FBE0000}"/>
    <cellStyle name="SAPBEXHLevel1X 3 5 3 2 2" xfId="50257" xr:uid="{00000000-0005-0000-0000-000070BE0000}"/>
    <cellStyle name="SAPBEXHLevel1X 3 5 3 2 3" xfId="50976" xr:uid="{00000000-0005-0000-0000-000071BE0000}"/>
    <cellStyle name="SAPBEXHLevel1X 3 5 3 3" xfId="50626" xr:uid="{00000000-0005-0000-0000-000072BE0000}"/>
    <cellStyle name="SAPBEXHLevel1X 3 5 3 4" xfId="51229" xr:uid="{00000000-0005-0000-0000-000073BE0000}"/>
    <cellStyle name="SAPBEXHLevel1X 3 5 4" xfId="49688" xr:uid="{00000000-0005-0000-0000-000074BE0000}"/>
    <cellStyle name="SAPBEXHLevel1X 3 5 4 2" xfId="50326" xr:uid="{00000000-0005-0000-0000-000075BE0000}"/>
    <cellStyle name="SAPBEXHLevel1X 3 5 4 3" xfId="51262" xr:uid="{00000000-0005-0000-0000-000076BE0000}"/>
    <cellStyle name="SAPBEXHLevel1X 3 5 5" xfId="49996" xr:uid="{00000000-0005-0000-0000-000077BE0000}"/>
    <cellStyle name="SAPBEXHLevel1X 3 5 5 2" xfId="51041" xr:uid="{00000000-0005-0000-0000-000078BE0000}"/>
    <cellStyle name="SAPBEXHLevel1X 3 5 5 3" xfId="51413" xr:uid="{00000000-0005-0000-0000-000079BE0000}"/>
    <cellStyle name="SAPBEXHLevel1X 3 5 6" xfId="50706" xr:uid="{00000000-0005-0000-0000-00007ABE0000}"/>
    <cellStyle name="SAPBEXHLevel1X 3 5 7" xfId="50992" xr:uid="{00000000-0005-0000-0000-00007BBE0000}"/>
    <cellStyle name="SAPBEXHLevel1X 3 6" xfId="49306" xr:uid="{00000000-0005-0000-0000-00007CBE0000}"/>
    <cellStyle name="SAPBEXHLevel1X 3 6 2" xfId="49550" xr:uid="{00000000-0005-0000-0000-00007DBE0000}"/>
    <cellStyle name="SAPBEXHLevel1X 3 6 2 2" xfId="49878" xr:uid="{00000000-0005-0000-0000-00007EBE0000}"/>
    <cellStyle name="SAPBEXHLevel1X 3 6 2 2 2" xfId="50137" xr:uid="{00000000-0005-0000-0000-00007FBE0000}"/>
    <cellStyle name="SAPBEXHLevel1X 3 6 2 2 3" xfId="51316" xr:uid="{00000000-0005-0000-0000-000080BE0000}"/>
    <cellStyle name="SAPBEXHLevel1X 3 6 2 3" xfId="50495" xr:uid="{00000000-0005-0000-0000-000081BE0000}"/>
    <cellStyle name="SAPBEXHLevel1X 3 6 2 4" xfId="51448" xr:uid="{00000000-0005-0000-0000-000082BE0000}"/>
    <cellStyle name="SAPBEXHLevel1X 3 6 3" xfId="49593" xr:uid="{00000000-0005-0000-0000-000083BE0000}"/>
    <cellStyle name="SAPBEXHLevel1X 3 6 3 2" xfId="49921" xr:uid="{00000000-0005-0000-0000-000084BE0000}"/>
    <cellStyle name="SAPBEXHLevel1X 3 6 3 2 2" xfId="50094" xr:uid="{00000000-0005-0000-0000-000085BE0000}"/>
    <cellStyle name="SAPBEXHLevel1X 3 6 3 2 3" xfId="51155" xr:uid="{00000000-0005-0000-0000-000086BE0000}"/>
    <cellStyle name="SAPBEXHLevel1X 3 6 3 3" xfId="50452" xr:uid="{00000000-0005-0000-0000-000087BE0000}"/>
    <cellStyle name="SAPBEXHLevel1X 3 6 3 4" xfId="51370" xr:uid="{00000000-0005-0000-0000-000088BE0000}"/>
    <cellStyle name="SAPBEXHLevel1X 3 6 4" xfId="49689" xr:uid="{00000000-0005-0000-0000-000089BE0000}"/>
    <cellStyle name="SAPBEXHLevel1X 3 6 4 2" xfId="50325" xr:uid="{00000000-0005-0000-0000-00008ABE0000}"/>
    <cellStyle name="SAPBEXHLevel1X 3 6 4 3" xfId="51519" xr:uid="{00000000-0005-0000-0000-00008BBE0000}"/>
    <cellStyle name="SAPBEXHLevel1X 3 6 5" xfId="49995" xr:uid="{00000000-0005-0000-0000-00008CBE0000}"/>
    <cellStyle name="SAPBEXHLevel1X 3 6 5 2" xfId="51040" xr:uid="{00000000-0005-0000-0000-00008DBE0000}"/>
    <cellStyle name="SAPBEXHLevel1X 3 6 5 3" xfId="51592" xr:uid="{00000000-0005-0000-0000-00008EBE0000}"/>
    <cellStyle name="SAPBEXHLevel1X 3 6 6" xfId="50705" xr:uid="{00000000-0005-0000-0000-00008FBE0000}"/>
    <cellStyle name="SAPBEXHLevel1X 3 6 7" xfId="50796" xr:uid="{00000000-0005-0000-0000-000090BE0000}"/>
    <cellStyle name="SAPBEXHLevel1X 3 7" xfId="49307" xr:uid="{00000000-0005-0000-0000-000091BE0000}"/>
    <cellStyle name="SAPBEXHLevel1X 3 7 2" xfId="49551" xr:uid="{00000000-0005-0000-0000-000092BE0000}"/>
    <cellStyle name="SAPBEXHLevel1X 3 7 2 2" xfId="49879" xr:uid="{00000000-0005-0000-0000-000093BE0000}"/>
    <cellStyle name="SAPBEXHLevel1X 3 7 2 2 2" xfId="50136" xr:uid="{00000000-0005-0000-0000-000094BE0000}"/>
    <cellStyle name="SAPBEXHLevel1X 3 7 2 2 3" xfId="51573" xr:uid="{00000000-0005-0000-0000-000095BE0000}"/>
    <cellStyle name="SAPBEXHLevel1X 3 7 2 3" xfId="50494" xr:uid="{00000000-0005-0000-0000-000096BE0000}"/>
    <cellStyle name="SAPBEXHLevel1X 3 7 2 4" xfId="51364" xr:uid="{00000000-0005-0000-0000-000097BE0000}"/>
    <cellStyle name="SAPBEXHLevel1X 3 7 3" xfId="49417" xr:uid="{00000000-0005-0000-0000-000098BE0000}"/>
    <cellStyle name="SAPBEXHLevel1X 3 7 3 2" xfId="49745" xr:uid="{00000000-0005-0000-0000-000099BE0000}"/>
    <cellStyle name="SAPBEXHLevel1X 3 7 3 2 2" xfId="50258" xr:uid="{00000000-0005-0000-0000-00009ABE0000}"/>
    <cellStyle name="SAPBEXHLevel1X 3 7 3 2 3" xfId="51597" xr:uid="{00000000-0005-0000-0000-00009BBE0000}"/>
    <cellStyle name="SAPBEXHLevel1X 3 7 3 3" xfId="50627" xr:uid="{00000000-0005-0000-0000-00009CBE0000}"/>
    <cellStyle name="SAPBEXHLevel1X 3 7 3 4" xfId="50960" xr:uid="{00000000-0005-0000-0000-00009DBE0000}"/>
    <cellStyle name="SAPBEXHLevel1X 3 7 4" xfId="49690" xr:uid="{00000000-0005-0000-0000-00009EBE0000}"/>
    <cellStyle name="SAPBEXHLevel1X 3 7 4 2" xfId="50324" xr:uid="{00000000-0005-0000-0000-00009FBE0000}"/>
    <cellStyle name="SAPBEXHLevel1X 3 7 4 3" xfId="50651" xr:uid="{00000000-0005-0000-0000-0000A0BE0000}"/>
    <cellStyle name="SAPBEXHLevel1X 3 7 5" xfId="49968" xr:uid="{00000000-0005-0000-0000-0000A1BE0000}"/>
    <cellStyle name="SAPBEXHLevel1X 3 7 5 2" xfId="51013" xr:uid="{00000000-0005-0000-0000-0000A2BE0000}"/>
    <cellStyle name="SAPBEXHLevel1X 3 7 5 3" xfId="51580" xr:uid="{00000000-0005-0000-0000-0000A3BE0000}"/>
    <cellStyle name="SAPBEXHLevel1X 3 7 6" xfId="50704" xr:uid="{00000000-0005-0000-0000-0000A4BE0000}"/>
    <cellStyle name="SAPBEXHLevel1X 3 7 7" xfId="50797" xr:uid="{00000000-0005-0000-0000-0000A5BE0000}"/>
    <cellStyle name="SAPBEXHLevel1X 3 8" xfId="49308" xr:uid="{00000000-0005-0000-0000-0000A6BE0000}"/>
    <cellStyle name="SAPBEXHLevel1X 3 8 2" xfId="49552" xr:uid="{00000000-0005-0000-0000-0000A7BE0000}"/>
    <cellStyle name="SAPBEXHLevel1X 3 8 2 2" xfId="49880" xr:uid="{00000000-0005-0000-0000-0000A8BE0000}"/>
    <cellStyle name="SAPBEXHLevel1X 3 8 2 2 2" xfId="50135" xr:uid="{00000000-0005-0000-0000-0000A9BE0000}"/>
    <cellStyle name="SAPBEXHLevel1X 3 8 2 2 3" xfId="51403" xr:uid="{00000000-0005-0000-0000-0000AABE0000}"/>
    <cellStyle name="SAPBEXHLevel1X 3 8 2 3" xfId="50493" xr:uid="{00000000-0005-0000-0000-0000ABBE0000}"/>
    <cellStyle name="SAPBEXHLevel1X 3 8 2 4" xfId="51640" xr:uid="{00000000-0005-0000-0000-0000ACBE0000}"/>
    <cellStyle name="SAPBEXHLevel1X 3 8 3" xfId="49416" xr:uid="{00000000-0005-0000-0000-0000ADBE0000}"/>
    <cellStyle name="SAPBEXHLevel1X 3 8 3 2" xfId="49744" xr:uid="{00000000-0005-0000-0000-0000AEBE0000}"/>
    <cellStyle name="SAPBEXHLevel1X 3 8 3 2 2" xfId="50259" xr:uid="{00000000-0005-0000-0000-0000AFBE0000}"/>
    <cellStyle name="SAPBEXHLevel1X 3 8 3 2 3" xfId="51386" xr:uid="{00000000-0005-0000-0000-0000B0BE0000}"/>
    <cellStyle name="SAPBEXHLevel1X 3 8 3 3" xfId="50628" xr:uid="{00000000-0005-0000-0000-0000B1BE0000}"/>
    <cellStyle name="SAPBEXHLevel1X 3 8 3 4" xfId="51657" xr:uid="{00000000-0005-0000-0000-0000B2BE0000}"/>
    <cellStyle name="SAPBEXHLevel1X 3 8 4" xfId="49691" xr:uid="{00000000-0005-0000-0000-0000B3BE0000}"/>
    <cellStyle name="SAPBEXHLevel1X 3 8 4 2" xfId="50323" xr:uid="{00000000-0005-0000-0000-0000B4BE0000}"/>
    <cellStyle name="SAPBEXHLevel1X 3 8 4 3" xfId="51304" xr:uid="{00000000-0005-0000-0000-0000B5BE0000}"/>
    <cellStyle name="SAPBEXHLevel1X 3 8 5" xfId="49994" xr:uid="{00000000-0005-0000-0000-0000B6BE0000}"/>
    <cellStyle name="SAPBEXHLevel1X 3 8 5 2" xfId="51039" xr:uid="{00000000-0005-0000-0000-0000B7BE0000}"/>
    <cellStyle name="SAPBEXHLevel1X 3 8 5 3" xfId="51337" xr:uid="{00000000-0005-0000-0000-0000B8BE0000}"/>
    <cellStyle name="SAPBEXHLevel1X 3 8 6" xfId="50703" xr:uid="{00000000-0005-0000-0000-0000B9BE0000}"/>
    <cellStyle name="SAPBEXHLevel1X 3 8 7" xfId="50798" xr:uid="{00000000-0005-0000-0000-0000BABE0000}"/>
    <cellStyle name="SAPBEXHLevel1X 3 9" xfId="49545" xr:uid="{00000000-0005-0000-0000-0000BBBE0000}"/>
    <cellStyle name="SAPBEXHLevel1X 3 9 2" xfId="49873" xr:uid="{00000000-0005-0000-0000-0000BCBE0000}"/>
    <cellStyle name="SAPBEXHLevel1X 3 9 2 2" xfId="50142" xr:uid="{00000000-0005-0000-0000-0000BDBE0000}"/>
    <cellStyle name="SAPBEXHLevel1X 3 9 2 3" xfId="51402" xr:uid="{00000000-0005-0000-0000-0000BEBE0000}"/>
    <cellStyle name="SAPBEXHLevel1X 3 9 3" xfId="50500" xr:uid="{00000000-0005-0000-0000-0000BFBE0000}"/>
    <cellStyle name="SAPBEXHLevel1X 3 9 4" xfId="51641"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9" xr:uid="{00000000-0005-0000-0000-0000C5BE0000}"/>
    <cellStyle name="SAPBEXHLevel1X 4" xfId="46295" xr:uid="{00000000-0005-0000-0000-0000C6BE0000}"/>
    <cellStyle name="SAPBEXHLevel1X 4 2" xfId="46296" xr:uid="{00000000-0005-0000-0000-0000C7BE0000}"/>
    <cellStyle name="SAPBEXHLevel1X 4 2 2" xfId="50144" xr:uid="{00000000-0005-0000-0000-0000C8BE0000}"/>
    <cellStyle name="SAPBEXHLevel1X 4 2 3" xfId="51315" xr:uid="{00000000-0005-0000-0000-0000C9BE0000}"/>
    <cellStyle name="SAPBEXHLevel1X 4 2 4" xfId="49871" xr:uid="{00000000-0005-0000-0000-0000CABE0000}"/>
    <cellStyle name="SAPBEXHLevel1X 4 3" xfId="50502" xr:uid="{00000000-0005-0000-0000-0000CBBE0000}"/>
    <cellStyle name="SAPBEXHLevel1X 4 4" xfId="51449" xr:uid="{00000000-0005-0000-0000-0000CCBE0000}"/>
    <cellStyle name="SAPBEXHLevel1X 4 5" xfId="49543" xr:uid="{00000000-0005-0000-0000-0000CDBE0000}"/>
    <cellStyle name="SAPBEXHLevel1X 5" xfId="46297" xr:uid="{00000000-0005-0000-0000-0000CEBE0000}"/>
    <cellStyle name="SAPBEXHLevel1X 5 2" xfId="46298" xr:uid="{00000000-0005-0000-0000-0000CFBE0000}"/>
    <cellStyle name="SAPBEXHLevel1X 5 2 2" xfId="50252" xr:uid="{00000000-0005-0000-0000-0000D0BE0000}"/>
    <cellStyle name="SAPBEXHLevel1X 5 2 3" xfId="50816" xr:uid="{00000000-0005-0000-0000-0000D1BE0000}"/>
    <cellStyle name="SAPBEXHLevel1X 5 2 4" xfId="49751" xr:uid="{00000000-0005-0000-0000-0000D2BE0000}"/>
    <cellStyle name="SAPBEXHLevel1X 5 3" xfId="50621" xr:uid="{00000000-0005-0000-0000-0000D3BE0000}"/>
    <cellStyle name="SAPBEXHLevel1X 5 4" xfId="51563" xr:uid="{00000000-0005-0000-0000-0000D4BE0000}"/>
    <cellStyle name="SAPBEXHLevel1X 5 5" xfId="49423" xr:uid="{00000000-0005-0000-0000-0000D5BE0000}"/>
    <cellStyle name="SAPBEXHLevel1X 6" xfId="46299" xr:uid="{00000000-0005-0000-0000-0000D6BE0000}"/>
    <cellStyle name="SAPBEXHLevel1X 6 2" xfId="46300" xr:uid="{00000000-0005-0000-0000-0000D7BE0000}"/>
    <cellStyle name="SAPBEXHLevel1X 6 2 2" xfId="50337" xr:uid="{00000000-0005-0000-0000-0000D8BE0000}"/>
    <cellStyle name="SAPBEXHLevel1X 6 3" xfId="51518" xr:uid="{00000000-0005-0000-0000-0000D9BE0000}"/>
    <cellStyle name="SAPBEXHLevel1X 6 4" xfId="49682" xr:uid="{00000000-0005-0000-0000-0000DABE0000}"/>
    <cellStyle name="SAPBEXHLevel1X 7" xfId="46301" xr:uid="{00000000-0005-0000-0000-0000DBBE0000}"/>
    <cellStyle name="SAPBEXHLevel1X 7 2" xfId="46302" xr:uid="{00000000-0005-0000-0000-0000DCBE0000}"/>
    <cellStyle name="SAPBEXHLevel1X 7 2 2" xfId="51046" xr:uid="{00000000-0005-0000-0000-0000DDBE0000}"/>
    <cellStyle name="SAPBEXHLevel1X 7 3" xfId="51327" xr:uid="{00000000-0005-0000-0000-0000DEBE0000}"/>
    <cellStyle name="SAPBEXHLevel1X 7 4" xfId="50001" xr:uid="{00000000-0005-0000-0000-0000DFBE0000}"/>
    <cellStyle name="SAPBEXHLevel1X 8" xfId="46303" xr:uid="{00000000-0005-0000-0000-0000E0BE0000}"/>
    <cellStyle name="SAPBEXHLevel1X 8 2" xfId="46304" xr:uid="{00000000-0005-0000-0000-0000E1BE0000}"/>
    <cellStyle name="SAPBEXHLevel1X 8 3" xfId="50712" xr:uid="{00000000-0005-0000-0000-0000E2BE0000}"/>
    <cellStyle name="SAPBEXHLevel1X 9" xfId="46305" xr:uid="{00000000-0005-0000-0000-0000E3BE0000}"/>
    <cellStyle name="SAPBEXHLevel1X 9 2" xfId="46306" xr:uid="{00000000-0005-0000-0000-0000E4BE0000}"/>
    <cellStyle name="SAPBEXHLevel1X 9 3" xfId="50943"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8"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3" xr:uid="{00000000-0005-0000-0000-000000BF0000}"/>
    <cellStyle name="SAPBEXHLevel2 2 2 2 3" xfId="50917" xr:uid="{00000000-0005-0000-0000-000001BF0000}"/>
    <cellStyle name="SAPBEXHLevel2 2 2 2 4" xfId="49882" xr:uid="{00000000-0005-0000-0000-000002BF0000}"/>
    <cellStyle name="SAPBEXHLevel2 2 2 3" xfId="46331" xr:uid="{00000000-0005-0000-0000-000003BF0000}"/>
    <cellStyle name="SAPBEXHLevel2 2 2 3 2" xfId="50491" xr:uid="{00000000-0005-0000-0000-000004BF0000}"/>
    <cellStyle name="SAPBEXHLevel2 2 2 4" xfId="51247" xr:uid="{00000000-0005-0000-0000-000005BF0000}"/>
    <cellStyle name="SAPBEXHLevel2 2 2 5" xfId="49554"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61" xr:uid="{00000000-0005-0000-0000-000013BF0000}"/>
    <cellStyle name="SAPBEXHLevel2 2 3 2 3" xfId="51170" xr:uid="{00000000-0005-0000-0000-000014BF0000}"/>
    <cellStyle name="SAPBEXHLevel2 2 3 2 4" xfId="49742" xr:uid="{00000000-0005-0000-0000-000015BF0000}"/>
    <cellStyle name="SAPBEXHLevel2 2 3 3" xfId="50630" xr:uid="{00000000-0005-0000-0000-000016BF0000}"/>
    <cellStyle name="SAPBEXHLevel2 2 3 4" xfId="51466" xr:uid="{00000000-0005-0000-0000-000017BF0000}"/>
    <cellStyle name="SAPBEXHLevel2 2 3 5" xfId="49414"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10" xr:uid="{00000000-0005-0000-0000-00001CBF0000}"/>
    <cellStyle name="SAPBEXHLevel2 2 4" xfId="46347" xr:uid="{00000000-0005-0000-0000-00001DBF0000}"/>
    <cellStyle name="SAPBEXHLevel2 2 4 2" xfId="46348" xr:uid="{00000000-0005-0000-0000-00001EBF0000}"/>
    <cellStyle name="SAPBEXHLevel2 2 4 2 2" xfId="50320" xr:uid="{00000000-0005-0000-0000-00001FBF0000}"/>
    <cellStyle name="SAPBEXHLevel2 2 4 3" xfId="51380" xr:uid="{00000000-0005-0000-0000-000020BF0000}"/>
    <cellStyle name="SAPBEXHLevel2 2 4 4" xfId="49693" xr:uid="{00000000-0005-0000-0000-000021BF0000}"/>
    <cellStyle name="SAPBEXHLevel2 2 5" xfId="46349" xr:uid="{00000000-0005-0000-0000-000022BF0000}"/>
    <cellStyle name="SAPBEXHLevel2 2 5 2" xfId="46350" xr:uid="{00000000-0005-0000-0000-000023BF0000}"/>
    <cellStyle name="SAPBEXHLevel2 2 5 2 2" xfId="51038" xr:uid="{00000000-0005-0000-0000-000024BF0000}"/>
    <cellStyle name="SAPBEXHLevel2 2 5 3" xfId="51583" xr:uid="{00000000-0005-0000-0000-000025BF0000}"/>
    <cellStyle name="SAPBEXHLevel2 2 5 4" xfId="49993" xr:uid="{00000000-0005-0000-0000-000026BF0000}"/>
    <cellStyle name="SAPBEXHLevel2 2 6" xfId="46351" xr:uid="{00000000-0005-0000-0000-000027BF0000}"/>
    <cellStyle name="SAPBEXHLevel2 2 6 2" xfId="46352" xr:uid="{00000000-0005-0000-0000-000028BF0000}"/>
    <cellStyle name="SAPBEXHLevel2 2 6 3" xfId="50701" xr:uid="{00000000-0005-0000-0000-000029BF0000}"/>
    <cellStyle name="SAPBEXHLevel2 2 7" xfId="46353" xr:uid="{00000000-0005-0000-0000-00002ABF0000}"/>
    <cellStyle name="SAPBEXHLevel2 2 7 2" xfId="46354" xr:uid="{00000000-0005-0000-0000-00002BBF0000}"/>
    <cellStyle name="SAPBEXHLevel2 2 7 3" xfId="50799"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4" xr:uid="{00000000-0005-0000-0000-00003CBF0000}"/>
    <cellStyle name="SAPBEXHLevel2 3 2 3" xfId="51613" xr:uid="{00000000-0005-0000-0000-00003DBF0000}"/>
    <cellStyle name="SAPBEXHLevel2 3 2 4" xfId="49881" xr:uid="{00000000-0005-0000-0000-00003EBF0000}"/>
    <cellStyle name="SAPBEXHLevel2 3 3" xfId="46370" xr:uid="{00000000-0005-0000-0000-00003FBF0000}"/>
    <cellStyle name="SAPBEXHLevel2 3 3 2" xfId="50492" xr:uid="{00000000-0005-0000-0000-000040BF0000}"/>
    <cellStyle name="SAPBEXHLevel2 3 4" xfId="50950" xr:uid="{00000000-0005-0000-0000-000041BF0000}"/>
    <cellStyle name="SAPBEXHLevel2 3 5" xfId="49553"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9" xr:uid="{00000000-0005-0000-0000-000047BF0000}"/>
    <cellStyle name="SAPBEXHLevel2 4" xfId="46375" xr:uid="{00000000-0005-0000-0000-000048BF0000}"/>
    <cellStyle name="SAPBEXHLevel2 4 2" xfId="46376" xr:uid="{00000000-0005-0000-0000-000049BF0000}"/>
    <cellStyle name="SAPBEXHLevel2 4 2 2" xfId="50260" xr:uid="{00000000-0005-0000-0000-00004ABF0000}"/>
    <cellStyle name="SAPBEXHLevel2 4 2 3" xfId="51430" xr:uid="{00000000-0005-0000-0000-00004BBF0000}"/>
    <cellStyle name="SAPBEXHLevel2 4 2 4" xfId="49743" xr:uid="{00000000-0005-0000-0000-00004CBF0000}"/>
    <cellStyle name="SAPBEXHLevel2 4 3" xfId="50629" xr:uid="{00000000-0005-0000-0000-00004DBF0000}"/>
    <cellStyle name="SAPBEXHLevel2 4 4" xfId="51346" xr:uid="{00000000-0005-0000-0000-00004EBF0000}"/>
    <cellStyle name="SAPBEXHLevel2 4 5" xfId="49415" xr:uid="{00000000-0005-0000-0000-00004FBF0000}"/>
    <cellStyle name="SAPBEXHLevel2 5" xfId="46377" xr:uid="{00000000-0005-0000-0000-000050BF0000}"/>
    <cellStyle name="SAPBEXHLevel2 5 2" xfId="46378" xr:uid="{00000000-0005-0000-0000-000051BF0000}"/>
    <cellStyle name="SAPBEXHLevel2 5 2 2" xfId="50110" xr:uid="{00000000-0005-0000-0000-000052BF0000}"/>
    <cellStyle name="SAPBEXHLevel2 5 2 3" xfId="51278" xr:uid="{00000000-0005-0000-0000-000053BF0000}"/>
    <cellStyle name="SAPBEXHLevel2 5 2 4" xfId="49905" xr:uid="{00000000-0005-0000-0000-000054BF0000}"/>
    <cellStyle name="SAPBEXHLevel2 5 3" xfId="50468" xr:uid="{00000000-0005-0000-0000-000055BF0000}"/>
    <cellStyle name="SAPBEXHLevel2 5 4" xfId="51186" xr:uid="{00000000-0005-0000-0000-000056BF0000}"/>
    <cellStyle name="SAPBEXHLevel2 5 5" xfId="49577" xr:uid="{00000000-0005-0000-0000-000057BF0000}"/>
    <cellStyle name="SAPBEXHLevel2 6" xfId="46379" xr:uid="{00000000-0005-0000-0000-000058BF0000}"/>
    <cellStyle name="SAPBEXHLevel2 6 2" xfId="46380" xr:uid="{00000000-0005-0000-0000-000059BF0000}"/>
    <cellStyle name="SAPBEXHLevel2 6 2 2" xfId="50321" xr:uid="{00000000-0005-0000-0000-00005ABF0000}"/>
    <cellStyle name="SAPBEXHLevel2 6 3" xfId="51561" xr:uid="{00000000-0005-0000-0000-00005BBF0000}"/>
    <cellStyle name="SAPBEXHLevel2 6 4" xfId="49692" xr:uid="{00000000-0005-0000-0000-00005CBF0000}"/>
    <cellStyle name="SAPBEXHLevel2 7" xfId="46381" xr:uid="{00000000-0005-0000-0000-00005DBF0000}"/>
    <cellStyle name="SAPBEXHLevel2 7 2" xfId="46382" xr:uid="{00000000-0005-0000-0000-00005EBF0000}"/>
    <cellStyle name="SAPBEXHLevel2 7 2 2" xfId="51009" xr:uid="{00000000-0005-0000-0000-00005FBF0000}"/>
    <cellStyle name="SAPBEXHLevel2 7 3" xfId="51419" xr:uid="{00000000-0005-0000-0000-000060BF0000}"/>
    <cellStyle name="SAPBEXHLevel2 7 4" xfId="49964" xr:uid="{00000000-0005-0000-0000-000061BF0000}"/>
    <cellStyle name="SAPBEXHLevel2 8" xfId="46383" xr:uid="{00000000-0005-0000-0000-000062BF0000}"/>
    <cellStyle name="SAPBEXHLevel2 8 2" xfId="46384" xr:uid="{00000000-0005-0000-0000-000063BF0000}"/>
    <cellStyle name="SAPBEXHLevel2 8 3" xfId="50702" xr:uid="{00000000-0005-0000-0000-000064BF0000}"/>
    <cellStyle name="SAPBEXHLevel2 9" xfId="46385" xr:uid="{00000000-0005-0000-0000-000065BF0000}"/>
    <cellStyle name="SAPBEXHLevel2 9 2" xfId="46386" xr:uid="{00000000-0005-0000-0000-000066BF0000}"/>
    <cellStyle name="SAPBEXHLevel2 9 3" xfId="50843"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31" xr:uid="{00000000-0005-0000-0000-000081BF0000}"/>
    <cellStyle name="SAPBEXHLevel2X 2 2 2 3" xfId="51543" xr:uid="{00000000-0005-0000-0000-000082BF0000}"/>
    <cellStyle name="SAPBEXHLevel2X 2 2 2 4" xfId="49884" xr:uid="{00000000-0005-0000-0000-000083BF0000}"/>
    <cellStyle name="SAPBEXHLevel2X 2 2 3" xfId="46411" xr:uid="{00000000-0005-0000-0000-000084BF0000}"/>
    <cellStyle name="SAPBEXHLevel2X 2 2 3 2" xfId="50489" xr:uid="{00000000-0005-0000-0000-000085BF0000}"/>
    <cellStyle name="SAPBEXHLevel2X 2 2 4" xfId="51189" xr:uid="{00000000-0005-0000-0000-000086BF0000}"/>
    <cellStyle name="SAPBEXHLevel2X 2 2 5" xfId="49556"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3" xr:uid="{00000000-0005-0000-0000-000094BF0000}"/>
    <cellStyle name="SAPBEXHLevel2X 2 3 2 3" xfId="51267" xr:uid="{00000000-0005-0000-0000-000095BF0000}"/>
    <cellStyle name="SAPBEXHLevel2X 2 3 2 4" xfId="49740" xr:uid="{00000000-0005-0000-0000-000096BF0000}"/>
    <cellStyle name="SAPBEXHLevel2X 2 3 3" xfId="50632" xr:uid="{00000000-0005-0000-0000-000097BF0000}"/>
    <cellStyle name="SAPBEXHLevel2X 2 3 4" xfId="51485" xr:uid="{00000000-0005-0000-0000-000098BF0000}"/>
    <cellStyle name="SAPBEXHLevel2X 2 3 5" xfId="49412"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12" xr:uid="{00000000-0005-0000-0000-00009DBF0000}"/>
    <cellStyle name="SAPBEXHLevel2X 2 4" xfId="46427" xr:uid="{00000000-0005-0000-0000-00009EBF0000}"/>
    <cellStyle name="SAPBEXHLevel2X 2 4 2" xfId="46428" xr:uid="{00000000-0005-0000-0000-00009FBF0000}"/>
    <cellStyle name="SAPBEXHLevel2X 2 4 2 2" xfId="50318" xr:uid="{00000000-0005-0000-0000-0000A0BF0000}"/>
    <cellStyle name="SAPBEXHLevel2X 2 4 3" xfId="50815" xr:uid="{00000000-0005-0000-0000-0000A1BF0000}"/>
    <cellStyle name="SAPBEXHLevel2X 2 4 4" xfId="49695" xr:uid="{00000000-0005-0000-0000-0000A2BF0000}"/>
    <cellStyle name="SAPBEXHLevel2X 2 5" xfId="46429" xr:uid="{00000000-0005-0000-0000-0000A3BF0000}"/>
    <cellStyle name="SAPBEXHLevel2X 2 5 2" xfId="46430" xr:uid="{00000000-0005-0000-0000-0000A4BF0000}"/>
    <cellStyle name="SAPBEXHLevel2X 2 5 2 2" xfId="51008" xr:uid="{00000000-0005-0000-0000-0000A5BF0000}"/>
    <cellStyle name="SAPBEXHLevel2X 2 5 3" xfId="51292" xr:uid="{00000000-0005-0000-0000-0000A6BF0000}"/>
    <cellStyle name="SAPBEXHLevel2X 2 5 4" xfId="49963" xr:uid="{00000000-0005-0000-0000-0000A7BF0000}"/>
    <cellStyle name="SAPBEXHLevel2X 2 6" xfId="46431" xr:uid="{00000000-0005-0000-0000-0000A8BF0000}"/>
    <cellStyle name="SAPBEXHLevel2X 2 6 2" xfId="46432" xr:uid="{00000000-0005-0000-0000-0000A9BF0000}"/>
    <cellStyle name="SAPBEXHLevel2X 2 6 3" xfId="50699" xr:uid="{00000000-0005-0000-0000-0000AABF0000}"/>
    <cellStyle name="SAPBEXHLevel2X 2 7" xfId="46433" xr:uid="{00000000-0005-0000-0000-0000ABBF0000}"/>
    <cellStyle name="SAPBEXHLevel2X 2 7 2" xfId="46434" xr:uid="{00000000-0005-0000-0000-0000ACBF0000}"/>
    <cellStyle name="SAPBEXHLevel2X 2 7 3" xfId="50844"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11" xr:uid="{00000000-0005-0000-0000-0000BCBF0000}"/>
    <cellStyle name="SAPBEXHLevel2X 3 10 2" xfId="49739" xr:uid="{00000000-0005-0000-0000-0000BDBF0000}"/>
    <cellStyle name="SAPBEXHLevel2X 3 10 2 2" xfId="50264" xr:uid="{00000000-0005-0000-0000-0000BEBF0000}"/>
    <cellStyle name="SAPBEXHLevel2X 3 10 2 3" xfId="50646" xr:uid="{00000000-0005-0000-0000-0000BFBF0000}"/>
    <cellStyle name="SAPBEXHLevel2X 3 10 3" xfId="50633" xr:uid="{00000000-0005-0000-0000-0000C0BF0000}"/>
    <cellStyle name="SAPBEXHLevel2X 3 10 4" xfId="51228" xr:uid="{00000000-0005-0000-0000-0000C1BF0000}"/>
    <cellStyle name="SAPBEXHLevel2X 3 11" xfId="49696" xr:uid="{00000000-0005-0000-0000-0000C2BF0000}"/>
    <cellStyle name="SAPBEXHLevel2X 3 11 2" xfId="50317" xr:uid="{00000000-0005-0000-0000-0000C3BF0000}"/>
    <cellStyle name="SAPBEXHLevel2X 3 11 3" xfId="51137" xr:uid="{00000000-0005-0000-0000-0000C4BF0000}"/>
    <cellStyle name="SAPBEXHLevel2X 3 12" xfId="49991" xr:uid="{00000000-0005-0000-0000-0000C5BF0000}"/>
    <cellStyle name="SAPBEXHLevel2X 3 12 2" xfId="51036" xr:uid="{00000000-0005-0000-0000-0000C6BF0000}"/>
    <cellStyle name="SAPBEXHLevel2X 3 12 3" xfId="51553" xr:uid="{00000000-0005-0000-0000-0000C7BF0000}"/>
    <cellStyle name="SAPBEXHLevel2X 3 13" xfId="50698" xr:uid="{00000000-0005-0000-0000-0000C8BF0000}"/>
    <cellStyle name="SAPBEXHLevel2X 3 14" xfId="50659" xr:uid="{00000000-0005-0000-0000-0000C9BF0000}"/>
    <cellStyle name="SAPBEXHLevel2X 3 15" xfId="49313" xr:uid="{00000000-0005-0000-0000-0000CABF0000}"/>
    <cellStyle name="SAPBEXHLevel2X 3 2" xfId="46449" xr:uid="{00000000-0005-0000-0000-0000CBBF0000}"/>
    <cellStyle name="SAPBEXHLevel2X 3 2 2" xfId="49558" xr:uid="{00000000-0005-0000-0000-0000CCBF0000}"/>
    <cellStyle name="SAPBEXHLevel2X 3 2 2 2" xfId="49886" xr:uid="{00000000-0005-0000-0000-0000CDBF0000}"/>
    <cellStyle name="SAPBEXHLevel2X 3 2 2 2 2" xfId="50129" xr:uid="{00000000-0005-0000-0000-0000CEBF0000}"/>
    <cellStyle name="SAPBEXHLevel2X 3 2 2 2 3" xfId="51574" xr:uid="{00000000-0005-0000-0000-0000CFBF0000}"/>
    <cellStyle name="SAPBEXHLevel2X 3 2 2 3" xfId="50487" xr:uid="{00000000-0005-0000-0000-0000D0BF0000}"/>
    <cellStyle name="SAPBEXHLevel2X 3 2 2 4" xfId="51365" xr:uid="{00000000-0005-0000-0000-0000D1BF0000}"/>
    <cellStyle name="SAPBEXHLevel2X 3 2 3" xfId="49410" xr:uid="{00000000-0005-0000-0000-0000D2BF0000}"/>
    <cellStyle name="SAPBEXHLevel2X 3 2 3 2" xfId="49738" xr:uid="{00000000-0005-0000-0000-0000D3BF0000}"/>
    <cellStyle name="SAPBEXHLevel2X 3 2 3 2 2" xfId="50265" xr:uid="{00000000-0005-0000-0000-0000D4BF0000}"/>
    <cellStyle name="SAPBEXHLevel2X 3 2 3 2 3" xfId="50916" xr:uid="{00000000-0005-0000-0000-0000D5BF0000}"/>
    <cellStyle name="SAPBEXHLevel2X 3 2 3 3" xfId="50634" xr:uid="{00000000-0005-0000-0000-0000D6BF0000}"/>
    <cellStyle name="SAPBEXHLevel2X 3 2 3 4" xfId="50888" xr:uid="{00000000-0005-0000-0000-0000D7BF0000}"/>
    <cellStyle name="SAPBEXHLevel2X 3 2 4" xfId="49697" xr:uid="{00000000-0005-0000-0000-0000D8BF0000}"/>
    <cellStyle name="SAPBEXHLevel2X 3 2 4 2" xfId="50316" xr:uid="{00000000-0005-0000-0000-0000D9BF0000}"/>
    <cellStyle name="SAPBEXHLevel2X 3 2 4 3" xfId="51263" xr:uid="{00000000-0005-0000-0000-0000DABF0000}"/>
    <cellStyle name="SAPBEXHLevel2X 3 2 5" xfId="50047" xr:uid="{00000000-0005-0000-0000-0000DBBF0000}"/>
    <cellStyle name="SAPBEXHLevel2X 3 2 5 2" xfId="51091" xr:uid="{00000000-0005-0000-0000-0000DCBF0000}"/>
    <cellStyle name="SAPBEXHLevel2X 3 2 5 3" xfId="51558" xr:uid="{00000000-0005-0000-0000-0000DDBF0000}"/>
    <cellStyle name="SAPBEXHLevel2X 3 2 6" xfId="50697" xr:uid="{00000000-0005-0000-0000-0000DEBF0000}"/>
    <cellStyle name="SAPBEXHLevel2X 3 2 7" xfId="50801" xr:uid="{00000000-0005-0000-0000-0000DFBF0000}"/>
    <cellStyle name="SAPBEXHLevel2X 3 2 8" xfId="49314" xr:uid="{00000000-0005-0000-0000-0000E0BF0000}"/>
    <cellStyle name="SAPBEXHLevel2X 3 3" xfId="46450" xr:uid="{00000000-0005-0000-0000-0000E1BF0000}"/>
    <cellStyle name="SAPBEXHLevel2X 3 3 2" xfId="49559" xr:uid="{00000000-0005-0000-0000-0000E2BF0000}"/>
    <cellStyle name="SAPBEXHLevel2X 3 3 2 2" xfId="49887" xr:uid="{00000000-0005-0000-0000-0000E3BF0000}"/>
    <cellStyle name="SAPBEXHLevel2X 3 3 2 2 2" xfId="50128" xr:uid="{00000000-0005-0000-0000-0000E4BF0000}"/>
    <cellStyle name="SAPBEXHLevel2X 3 3 2 2 3" xfId="51404" xr:uid="{00000000-0005-0000-0000-0000E5BF0000}"/>
    <cellStyle name="SAPBEXHLevel2X 3 3 2 3" xfId="50486" xr:uid="{00000000-0005-0000-0000-0000E6BF0000}"/>
    <cellStyle name="SAPBEXHLevel2X 3 3 2 4" xfId="51639" xr:uid="{00000000-0005-0000-0000-0000E7BF0000}"/>
    <cellStyle name="SAPBEXHLevel2X 3 3 3" xfId="49409" xr:uid="{00000000-0005-0000-0000-0000E8BF0000}"/>
    <cellStyle name="SAPBEXHLevel2X 3 3 3 2" xfId="49737" xr:uid="{00000000-0005-0000-0000-0000E9BF0000}"/>
    <cellStyle name="SAPBEXHLevel2X 3 3 3 2 2" xfId="50266" xr:uid="{00000000-0005-0000-0000-0000EABF0000}"/>
    <cellStyle name="SAPBEXHLevel2X 3 3 3 2 3" xfId="51598" xr:uid="{00000000-0005-0000-0000-0000EBBF0000}"/>
    <cellStyle name="SAPBEXHLevel2X 3 3 3 3" xfId="50635" xr:uid="{00000000-0005-0000-0000-0000ECBF0000}"/>
    <cellStyle name="SAPBEXHLevel2X 3 3 3 4" xfId="51658" xr:uid="{00000000-0005-0000-0000-0000EDBF0000}"/>
    <cellStyle name="SAPBEXHLevel2X 3 3 4" xfId="49698" xr:uid="{00000000-0005-0000-0000-0000EEBF0000}"/>
    <cellStyle name="SAPBEXHLevel2X 3 3 4 2" xfId="50315" xr:uid="{00000000-0005-0000-0000-0000EFBF0000}"/>
    <cellStyle name="SAPBEXHLevel2X 3 3 4 3" xfId="51520" xr:uid="{00000000-0005-0000-0000-0000F0BF0000}"/>
    <cellStyle name="SAPBEXHLevel2X 3 3 5" xfId="49990" xr:uid="{00000000-0005-0000-0000-0000F1BF0000}"/>
    <cellStyle name="SAPBEXHLevel2X 3 3 5 2" xfId="51035" xr:uid="{00000000-0005-0000-0000-0000F2BF0000}"/>
    <cellStyle name="SAPBEXHLevel2X 3 3 5 3" xfId="51295" xr:uid="{00000000-0005-0000-0000-0000F3BF0000}"/>
    <cellStyle name="SAPBEXHLevel2X 3 3 6" xfId="50696" xr:uid="{00000000-0005-0000-0000-0000F4BF0000}"/>
    <cellStyle name="SAPBEXHLevel2X 3 3 7" xfId="50965" xr:uid="{00000000-0005-0000-0000-0000F5BF0000}"/>
    <cellStyle name="SAPBEXHLevel2X 3 3 8" xfId="49315" xr:uid="{00000000-0005-0000-0000-0000F6BF0000}"/>
    <cellStyle name="SAPBEXHLevel2X 3 4" xfId="49316" xr:uid="{00000000-0005-0000-0000-0000F7BF0000}"/>
    <cellStyle name="SAPBEXHLevel2X 3 4 2" xfId="49560" xr:uid="{00000000-0005-0000-0000-0000F8BF0000}"/>
    <cellStyle name="SAPBEXHLevel2X 3 4 2 2" xfId="49888" xr:uid="{00000000-0005-0000-0000-0000F9BF0000}"/>
    <cellStyle name="SAPBEXHLevel2X 3 4 2 2 2" xfId="50127" xr:uid="{00000000-0005-0000-0000-0000FABF0000}"/>
    <cellStyle name="SAPBEXHLevel2X 3 4 2 2 3" xfId="51663" xr:uid="{00000000-0005-0000-0000-0000FBBF0000}"/>
    <cellStyle name="SAPBEXHLevel2X 3 4 2 3" xfId="50485" xr:uid="{00000000-0005-0000-0000-0000FCBF0000}"/>
    <cellStyle name="SAPBEXHLevel2X 3 4 2 4" xfId="50891" xr:uid="{00000000-0005-0000-0000-0000FDBF0000}"/>
    <cellStyle name="SAPBEXHLevel2X 3 4 3" xfId="49408" xr:uid="{00000000-0005-0000-0000-0000FEBF0000}"/>
    <cellStyle name="SAPBEXHLevel2X 3 4 3 2" xfId="49736" xr:uid="{00000000-0005-0000-0000-0000FFBF0000}"/>
    <cellStyle name="SAPBEXHLevel2X 3 4 3 2 2" xfId="50267" xr:uid="{00000000-0005-0000-0000-000000C00000}"/>
    <cellStyle name="SAPBEXHLevel2X 3 4 3 2 3" xfId="51383" xr:uid="{00000000-0005-0000-0000-000001C00000}"/>
    <cellStyle name="SAPBEXHLevel2X 3 4 3 3" xfId="50636" xr:uid="{00000000-0005-0000-0000-000002C00000}"/>
    <cellStyle name="SAPBEXHLevel2X 3 4 3 4" xfId="51345" xr:uid="{00000000-0005-0000-0000-000003C00000}"/>
    <cellStyle name="SAPBEXHLevel2X 3 4 4" xfId="49699" xr:uid="{00000000-0005-0000-0000-000004C00000}"/>
    <cellStyle name="SAPBEXHLevel2X 3 4 4 2" xfId="50314" xr:uid="{00000000-0005-0000-0000-000005C00000}"/>
    <cellStyle name="SAPBEXHLevel2X 3 4 4 3" xfId="51175" xr:uid="{00000000-0005-0000-0000-000006C00000}"/>
    <cellStyle name="SAPBEXHLevel2X 3 4 5" xfId="49989" xr:uid="{00000000-0005-0000-0000-000007C00000}"/>
    <cellStyle name="SAPBEXHLevel2X 3 4 5 2" xfId="51034" xr:uid="{00000000-0005-0000-0000-000008C00000}"/>
    <cellStyle name="SAPBEXHLevel2X 3 4 5 3" xfId="51120" xr:uid="{00000000-0005-0000-0000-000009C00000}"/>
    <cellStyle name="SAPBEXHLevel2X 3 4 6" xfId="50695" xr:uid="{00000000-0005-0000-0000-00000AC00000}"/>
    <cellStyle name="SAPBEXHLevel2X 3 4 7" xfId="50845" xr:uid="{00000000-0005-0000-0000-00000BC00000}"/>
    <cellStyle name="SAPBEXHLevel2X 3 5" xfId="49317" xr:uid="{00000000-0005-0000-0000-00000CC00000}"/>
    <cellStyle name="SAPBEXHLevel2X 3 5 2" xfId="49561" xr:uid="{00000000-0005-0000-0000-00000DC00000}"/>
    <cellStyle name="SAPBEXHLevel2X 3 5 2 2" xfId="49889" xr:uid="{00000000-0005-0000-0000-00000EC00000}"/>
    <cellStyle name="SAPBEXHLevel2X 3 5 2 2 2" xfId="50126" xr:uid="{00000000-0005-0000-0000-00000FC00000}"/>
    <cellStyle name="SAPBEXHLevel2X 3 5 2 2 3" xfId="50975" xr:uid="{00000000-0005-0000-0000-000010C00000}"/>
    <cellStyle name="SAPBEXHLevel2X 3 5 2 3" xfId="50484" xr:uid="{00000000-0005-0000-0000-000011C00000}"/>
    <cellStyle name="SAPBEXHLevel2X 3 5 2 4" xfId="51248" xr:uid="{00000000-0005-0000-0000-000012C00000}"/>
    <cellStyle name="SAPBEXHLevel2X 3 5 3" xfId="49407" xr:uid="{00000000-0005-0000-0000-000013C00000}"/>
    <cellStyle name="SAPBEXHLevel2X 3 5 3 2" xfId="49735" xr:uid="{00000000-0005-0000-0000-000014C00000}"/>
    <cellStyle name="SAPBEXHLevel2X 3 5 3 2 2" xfId="50268" xr:uid="{00000000-0005-0000-0000-000015C00000}"/>
    <cellStyle name="SAPBEXHLevel2X 3 5 3 2 3" xfId="51546" xr:uid="{00000000-0005-0000-0000-000016C00000}"/>
    <cellStyle name="SAPBEXHLevel2X 3 5 3 3" xfId="50637" xr:uid="{00000000-0005-0000-0000-000017C00000}"/>
    <cellStyle name="SAPBEXHLevel2X 3 5 3 4" xfId="51478" xr:uid="{00000000-0005-0000-0000-000018C00000}"/>
    <cellStyle name="SAPBEXHLevel2X 3 5 4" xfId="49700" xr:uid="{00000000-0005-0000-0000-000019C00000}"/>
    <cellStyle name="SAPBEXHLevel2X 3 5 4 2" xfId="50313" xr:uid="{00000000-0005-0000-0000-00001AC00000}"/>
    <cellStyle name="SAPBEXHLevel2X 3 5 4 3" xfId="50868" xr:uid="{00000000-0005-0000-0000-00001BC00000}"/>
    <cellStyle name="SAPBEXHLevel2X 3 5 5" xfId="49960" xr:uid="{00000000-0005-0000-0000-00001CC00000}"/>
    <cellStyle name="SAPBEXHLevel2X 3 5 5 2" xfId="51005" xr:uid="{00000000-0005-0000-0000-00001DC00000}"/>
    <cellStyle name="SAPBEXHLevel2X 3 5 5 3" xfId="51409" xr:uid="{00000000-0005-0000-0000-00001EC00000}"/>
    <cellStyle name="SAPBEXHLevel2X 3 5 6" xfId="50694" xr:uid="{00000000-0005-0000-0000-00001FC00000}"/>
    <cellStyle name="SAPBEXHLevel2X 3 5 7" xfId="50802" xr:uid="{00000000-0005-0000-0000-000020C00000}"/>
    <cellStyle name="SAPBEXHLevel2X 3 6" xfId="49318" xr:uid="{00000000-0005-0000-0000-000021C00000}"/>
    <cellStyle name="SAPBEXHLevel2X 3 6 2" xfId="49562" xr:uid="{00000000-0005-0000-0000-000022C00000}"/>
    <cellStyle name="SAPBEXHLevel2X 3 6 2 2" xfId="49890" xr:uid="{00000000-0005-0000-0000-000023C00000}"/>
    <cellStyle name="SAPBEXHLevel2X 3 6 2 2 2" xfId="50125" xr:uid="{00000000-0005-0000-0000-000024C00000}"/>
    <cellStyle name="SAPBEXHLevel2X 3 6 2 2 3" xfId="51286" xr:uid="{00000000-0005-0000-0000-000025C00000}"/>
    <cellStyle name="SAPBEXHLevel2X 3 6 2 3" xfId="50483" xr:uid="{00000000-0005-0000-0000-000026C00000}"/>
    <cellStyle name="SAPBEXHLevel2X 3 6 2 4" xfId="51505" xr:uid="{00000000-0005-0000-0000-000027C00000}"/>
    <cellStyle name="SAPBEXHLevel2X 3 6 3" xfId="49406" xr:uid="{00000000-0005-0000-0000-000028C00000}"/>
    <cellStyle name="SAPBEXHLevel2X 3 6 3 2" xfId="49734" xr:uid="{00000000-0005-0000-0000-000029C00000}"/>
    <cellStyle name="SAPBEXHLevel2X 3 6 3 2 2" xfId="50269" xr:uid="{00000000-0005-0000-0000-00002AC00000}"/>
    <cellStyle name="SAPBEXHLevel2X 3 6 3 2 3" xfId="51288" xr:uid="{00000000-0005-0000-0000-00002BC00000}"/>
    <cellStyle name="SAPBEXHLevel2X 3 6 3 3" xfId="50638" xr:uid="{00000000-0005-0000-0000-00002CC00000}"/>
    <cellStyle name="SAPBEXHLevel2X 3 6 3 4" xfId="51222" xr:uid="{00000000-0005-0000-0000-00002DC00000}"/>
    <cellStyle name="SAPBEXHLevel2X 3 6 4" xfId="49701" xr:uid="{00000000-0005-0000-0000-00002EC00000}"/>
    <cellStyle name="SAPBEXHLevel2X 3 6 4 2" xfId="50312" xr:uid="{00000000-0005-0000-0000-00002FC00000}"/>
    <cellStyle name="SAPBEXHLevel2X 3 6 4 3" xfId="51434" xr:uid="{00000000-0005-0000-0000-000030C00000}"/>
    <cellStyle name="SAPBEXHLevel2X 3 6 5" xfId="49988" xr:uid="{00000000-0005-0000-0000-000031C00000}"/>
    <cellStyle name="SAPBEXHLevel2X 3 6 5 2" xfId="51033" xr:uid="{00000000-0005-0000-0000-000032C00000}"/>
    <cellStyle name="SAPBEXHLevel2X 3 6 5 3" xfId="51609" xr:uid="{00000000-0005-0000-0000-000033C00000}"/>
    <cellStyle name="SAPBEXHLevel2X 3 6 6" xfId="50693" xr:uid="{00000000-0005-0000-0000-000034C00000}"/>
    <cellStyle name="SAPBEXHLevel2X 3 6 7" xfId="50846" xr:uid="{00000000-0005-0000-0000-000035C00000}"/>
    <cellStyle name="SAPBEXHLevel2X 3 7" xfId="49319" xr:uid="{00000000-0005-0000-0000-000036C00000}"/>
    <cellStyle name="SAPBEXHLevel2X 3 7 2" xfId="49563" xr:uid="{00000000-0005-0000-0000-000037C00000}"/>
    <cellStyle name="SAPBEXHLevel2X 3 7 2 2" xfId="49891" xr:uid="{00000000-0005-0000-0000-000038C00000}"/>
    <cellStyle name="SAPBEXHLevel2X 3 7 2 2 2" xfId="50124" xr:uid="{00000000-0005-0000-0000-000039C00000}"/>
    <cellStyle name="SAPBEXHLevel2X 3 7 2 2 3" xfId="51544" xr:uid="{00000000-0005-0000-0000-00003AC00000}"/>
    <cellStyle name="SAPBEXHLevel2X 3 7 2 3" xfId="50482" xr:uid="{00000000-0005-0000-0000-00003BC00000}"/>
    <cellStyle name="SAPBEXHLevel2X 3 7 2 4" xfId="51188" xr:uid="{00000000-0005-0000-0000-00003CC00000}"/>
    <cellStyle name="SAPBEXHLevel2X 3 7 3" xfId="49592" xr:uid="{00000000-0005-0000-0000-00003DC00000}"/>
    <cellStyle name="SAPBEXHLevel2X 3 7 3 2" xfId="49920" xr:uid="{00000000-0005-0000-0000-00003EC00000}"/>
    <cellStyle name="SAPBEXHLevel2X 3 7 3 2 2" xfId="50095" xr:uid="{00000000-0005-0000-0000-00003FC00000}"/>
    <cellStyle name="SAPBEXHLevel2X 3 7 3 2 3" xfId="51108" xr:uid="{00000000-0005-0000-0000-000040C00000}"/>
    <cellStyle name="SAPBEXHLevel2X 3 7 3 3" xfId="50453" xr:uid="{00000000-0005-0000-0000-000041C00000}"/>
    <cellStyle name="SAPBEXHLevel2X 3 7 3 4" xfId="51442" xr:uid="{00000000-0005-0000-0000-000042C00000}"/>
    <cellStyle name="SAPBEXHLevel2X 3 7 4" xfId="49702" xr:uid="{00000000-0005-0000-0000-000043C00000}"/>
    <cellStyle name="SAPBEXHLevel2X 3 7 4 2" xfId="50285" xr:uid="{00000000-0005-0000-0000-000044C00000}"/>
    <cellStyle name="SAPBEXHLevel2X 3 7 4 3" xfId="51381" xr:uid="{00000000-0005-0000-0000-000045C00000}"/>
    <cellStyle name="SAPBEXHLevel2X 3 7 5" xfId="49987" xr:uid="{00000000-0005-0000-0000-000046C00000}"/>
    <cellStyle name="SAPBEXHLevel2X 3 7 5 2" xfId="51032" xr:uid="{00000000-0005-0000-0000-000047C00000}"/>
    <cellStyle name="SAPBEXHLevel2X 3 7 5 3" xfId="51412" xr:uid="{00000000-0005-0000-0000-000048C00000}"/>
    <cellStyle name="SAPBEXHLevel2X 3 7 6" xfId="50692" xr:uid="{00000000-0005-0000-0000-000049C00000}"/>
    <cellStyle name="SAPBEXHLevel2X 3 7 7" xfId="50803" xr:uid="{00000000-0005-0000-0000-00004AC00000}"/>
    <cellStyle name="SAPBEXHLevel2X 3 8" xfId="49320" xr:uid="{00000000-0005-0000-0000-00004BC00000}"/>
    <cellStyle name="SAPBEXHLevel2X 3 8 2" xfId="49564" xr:uid="{00000000-0005-0000-0000-00004CC00000}"/>
    <cellStyle name="SAPBEXHLevel2X 3 8 2 2" xfId="49892" xr:uid="{00000000-0005-0000-0000-00004DC00000}"/>
    <cellStyle name="SAPBEXHLevel2X 3 8 2 2 2" xfId="50123" xr:uid="{00000000-0005-0000-0000-00004EC00000}"/>
    <cellStyle name="SAPBEXHLevel2X 3 8 2 2 3" xfId="51318" xr:uid="{00000000-0005-0000-0000-00004FC00000}"/>
    <cellStyle name="SAPBEXHLevel2X 3 8 2 3" xfId="50481" xr:uid="{00000000-0005-0000-0000-000050C00000}"/>
    <cellStyle name="SAPBEXHLevel2X 3 8 2 4" xfId="51446" xr:uid="{00000000-0005-0000-0000-000051C00000}"/>
    <cellStyle name="SAPBEXHLevel2X 3 8 3" xfId="49405" xr:uid="{00000000-0005-0000-0000-000052C00000}"/>
    <cellStyle name="SAPBEXHLevel2X 3 8 3 2" xfId="49733" xr:uid="{00000000-0005-0000-0000-000053C00000}"/>
    <cellStyle name="SAPBEXHLevel2X 3 8 3 2 2" xfId="50270" xr:uid="{00000000-0005-0000-0000-000054C00000}"/>
    <cellStyle name="SAPBEXHLevel2X 3 8 3 2 3" xfId="51432" xr:uid="{00000000-0005-0000-0000-000055C00000}"/>
    <cellStyle name="SAPBEXHLevel2X 3 8 3 3" xfId="50639" xr:uid="{00000000-0005-0000-0000-000056C00000}"/>
    <cellStyle name="SAPBEXHLevel2X 3 8 3 4" xfId="51467" xr:uid="{00000000-0005-0000-0000-000057C00000}"/>
    <cellStyle name="SAPBEXHLevel2X 3 8 4" xfId="49703" xr:uid="{00000000-0005-0000-0000-000058C00000}"/>
    <cellStyle name="SAPBEXHLevel2X 3 8 4 2" xfId="50284" xr:uid="{00000000-0005-0000-0000-000059C00000}"/>
    <cellStyle name="SAPBEXHLevel2X 3 8 4 3" xfId="51601" xr:uid="{00000000-0005-0000-0000-00005AC00000}"/>
    <cellStyle name="SAPBEXHLevel2X 3 8 5" xfId="50055" xr:uid="{00000000-0005-0000-0000-00005BC00000}"/>
    <cellStyle name="SAPBEXHLevel2X 3 8 5 2" xfId="51099" xr:uid="{00000000-0005-0000-0000-00005CC00000}"/>
    <cellStyle name="SAPBEXHLevel2X 3 8 5 3" xfId="51301" xr:uid="{00000000-0005-0000-0000-00005DC00000}"/>
    <cellStyle name="SAPBEXHLevel2X 3 8 6" xfId="50691" xr:uid="{00000000-0005-0000-0000-00005EC00000}"/>
    <cellStyle name="SAPBEXHLevel2X 3 8 7" xfId="50847" xr:uid="{00000000-0005-0000-0000-00005FC00000}"/>
    <cellStyle name="SAPBEXHLevel2X 3 9" xfId="49557" xr:uid="{00000000-0005-0000-0000-000060C00000}"/>
    <cellStyle name="SAPBEXHLevel2X 3 9 2" xfId="49885" xr:uid="{00000000-0005-0000-0000-000061C00000}"/>
    <cellStyle name="SAPBEXHLevel2X 3 9 2 2" xfId="50130" xr:uid="{00000000-0005-0000-0000-000062C00000}"/>
    <cellStyle name="SAPBEXHLevel2X 3 9 2 3" xfId="51317" xr:uid="{00000000-0005-0000-0000-000063C00000}"/>
    <cellStyle name="SAPBEXHLevel2X 3 9 3" xfId="50488" xr:uid="{00000000-0005-0000-0000-000064C00000}"/>
    <cellStyle name="SAPBEXHLevel2X 3 9 4" xfId="51447"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11" xr:uid="{00000000-0005-0000-0000-00006AC00000}"/>
    <cellStyle name="SAPBEXHLevel2X 4" xfId="46455" xr:uid="{00000000-0005-0000-0000-00006BC00000}"/>
    <cellStyle name="SAPBEXHLevel2X 4 2" xfId="46456" xr:uid="{00000000-0005-0000-0000-00006CC00000}"/>
    <cellStyle name="SAPBEXHLevel2X 4 2 2" xfId="50132" xr:uid="{00000000-0005-0000-0000-00006DC00000}"/>
    <cellStyle name="SAPBEXHLevel2X 4 2 3" xfId="51285" xr:uid="{00000000-0005-0000-0000-00006EC00000}"/>
    <cellStyle name="SAPBEXHLevel2X 4 2 4" xfId="49883" xr:uid="{00000000-0005-0000-0000-00006FC00000}"/>
    <cellStyle name="SAPBEXHLevel2X 4 3" xfId="50490" xr:uid="{00000000-0005-0000-0000-000070C00000}"/>
    <cellStyle name="SAPBEXHLevel2X 4 4" xfId="51504" xr:uid="{00000000-0005-0000-0000-000071C00000}"/>
    <cellStyle name="SAPBEXHLevel2X 4 5" xfId="49555" xr:uid="{00000000-0005-0000-0000-000072C00000}"/>
    <cellStyle name="SAPBEXHLevel2X 5" xfId="46457" xr:uid="{00000000-0005-0000-0000-000073C00000}"/>
    <cellStyle name="SAPBEXHLevel2X 5 2" xfId="46458" xr:uid="{00000000-0005-0000-0000-000074C00000}"/>
    <cellStyle name="SAPBEXHLevel2X 5 2 2" xfId="50262" xr:uid="{00000000-0005-0000-0000-000075C00000}"/>
    <cellStyle name="SAPBEXHLevel2X 5 2 3" xfId="51525" xr:uid="{00000000-0005-0000-0000-000076C00000}"/>
    <cellStyle name="SAPBEXHLevel2X 5 2 4" xfId="49741" xr:uid="{00000000-0005-0000-0000-000077C00000}"/>
    <cellStyle name="SAPBEXHLevel2X 5 3" xfId="50631" xr:uid="{00000000-0005-0000-0000-000078C00000}"/>
    <cellStyle name="SAPBEXHLevel2X 5 4" xfId="51208" xr:uid="{00000000-0005-0000-0000-000079C00000}"/>
    <cellStyle name="SAPBEXHLevel2X 5 5" xfId="49413" xr:uid="{00000000-0005-0000-0000-00007AC00000}"/>
    <cellStyle name="SAPBEXHLevel2X 6" xfId="46459" xr:uid="{00000000-0005-0000-0000-00007BC00000}"/>
    <cellStyle name="SAPBEXHLevel2X 6 2" xfId="46460" xr:uid="{00000000-0005-0000-0000-00007CC00000}"/>
    <cellStyle name="SAPBEXHLevel2X 6 2 2" xfId="50319" xr:uid="{00000000-0005-0000-0000-00007DC00000}"/>
    <cellStyle name="SAPBEXHLevel2X 6 3" xfId="51627" xr:uid="{00000000-0005-0000-0000-00007EC00000}"/>
    <cellStyle name="SAPBEXHLevel2X 6 4" xfId="49694" xr:uid="{00000000-0005-0000-0000-00007FC00000}"/>
    <cellStyle name="SAPBEXHLevel2X 7" xfId="46461" xr:uid="{00000000-0005-0000-0000-000080C00000}"/>
    <cellStyle name="SAPBEXHLevel2X 7 2" xfId="46462" xr:uid="{00000000-0005-0000-0000-000081C00000}"/>
    <cellStyle name="SAPBEXHLevel2X 7 2 2" xfId="51037" xr:uid="{00000000-0005-0000-0000-000082C00000}"/>
    <cellStyle name="SAPBEXHLevel2X 7 3" xfId="51326" xr:uid="{00000000-0005-0000-0000-000083C00000}"/>
    <cellStyle name="SAPBEXHLevel2X 7 4" xfId="49992" xr:uid="{00000000-0005-0000-0000-000084C00000}"/>
    <cellStyle name="SAPBEXHLevel2X 8" xfId="46463" xr:uid="{00000000-0005-0000-0000-000085C00000}"/>
    <cellStyle name="SAPBEXHLevel2X 8 2" xfId="46464" xr:uid="{00000000-0005-0000-0000-000086C00000}"/>
    <cellStyle name="SAPBEXHLevel2X 8 3" xfId="50700" xr:uid="{00000000-0005-0000-0000-000087C00000}"/>
    <cellStyle name="SAPBEXHLevel2X 9" xfId="46465" xr:uid="{00000000-0005-0000-0000-000088C00000}"/>
    <cellStyle name="SAPBEXHLevel2X 9 2" xfId="46466" xr:uid="{00000000-0005-0000-0000-000089C00000}"/>
    <cellStyle name="SAPBEXHLevel2X 9 3" xfId="50800"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40"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21" xr:uid="{00000000-0005-0000-0000-0000A5C00000}"/>
    <cellStyle name="SAPBEXHLevel3 2 2 2 3" xfId="51405" xr:uid="{00000000-0005-0000-0000-0000A6C00000}"/>
    <cellStyle name="SAPBEXHLevel3 2 2 2 4" xfId="49894" xr:uid="{00000000-0005-0000-0000-0000A7C00000}"/>
    <cellStyle name="SAPBEXHLevel3 2 2 3" xfId="46491" xr:uid="{00000000-0005-0000-0000-0000A8C00000}"/>
    <cellStyle name="SAPBEXHLevel3 2 2 3 2" xfId="50479" xr:uid="{00000000-0005-0000-0000-0000A9C00000}"/>
    <cellStyle name="SAPBEXHLevel3 2 2 4" xfId="51638" xr:uid="{00000000-0005-0000-0000-0000AAC00000}"/>
    <cellStyle name="SAPBEXHLevel3 2 2 5" xfId="49566"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6" xr:uid="{00000000-0005-0000-0000-0000B8C00000}"/>
    <cellStyle name="SAPBEXHLevel3 2 3 2 3" xfId="51154" xr:uid="{00000000-0005-0000-0000-0000B9C00000}"/>
    <cellStyle name="SAPBEXHLevel3 2 3 2 4" xfId="49919" xr:uid="{00000000-0005-0000-0000-0000BAC00000}"/>
    <cellStyle name="SAPBEXHLevel3 2 3 3" xfId="50454" xr:uid="{00000000-0005-0000-0000-0000BBC00000}"/>
    <cellStyle name="SAPBEXHLevel3 2 3 4" xfId="51184" xr:uid="{00000000-0005-0000-0000-0000BCC00000}"/>
    <cellStyle name="SAPBEXHLevel3 2 3 5" xfId="49591"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22" xr:uid="{00000000-0005-0000-0000-0000C1C00000}"/>
    <cellStyle name="SAPBEXHLevel3 2 4" xfId="46507" xr:uid="{00000000-0005-0000-0000-0000C2C00000}"/>
    <cellStyle name="SAPBEXHLevel3 2 4 2" xfId="46508" xr:uid="{00000000-0005-0000-0000-0000C3C00000}"/>
    <cellStyle name="SAPBEXHLevel3 2 4 2 2" xfId="50282" xr:uid="{00000000-0005-0000-0000-0000C4C00000}"/>
    <cellStyle name="SAPBEXHLevel3 2 4 3" xfId="50938" xr:uid="{00000000-0005-0000-0000-0000C5C00000}"/>
    <cellStyle name="SAPBEXHLevel3 2 4 4" xfId="49705" xr:uid="{00000000-0005-0000-0000-0000C6C00000}"/>
    <cellStyle name="SAPBEXHLevel3 2 5" xfId="46509" xr:uid="{00000000-0005-0000-0000-0000C7C00000}"/>
    <cellStyle name="SAPBEXHLevel3 2 5 2" xfId="46510" xr:uid="{00000000-0005-0000-0000-0000C8C00000}"/>
    <cellStyle name="SAPBEXHLevel3 2 5 2 2" xfId="51098" xr:uid="{00000000-0005-0000-0000-0000C9C00000}"/>
    <cellStyle name="SAPBEXHLevel3 2 5 3" xfId="51134" xr:uid="{00000000-0005-0000-0000-0000CAC00000}"/>
    <cellStyle name="SAPBEXHLevel3 2 5 4" xfId="50054" xr:uid="{00000000-0005-0000-0000-0000CBC00000}"/>
    <cellStyle name="SAPBEXHLevel3 2 6" xfId="46511" xr:uid="{00000000-0005-0000-0000-0000CCC00000}"/>
    <cellStyle name="SAPBEXHLevel3 2 6 2" xfId="46512" xr:uid="{00000000-0005-0000-0000-0000CDC00000}"/>
    <cellStyle name="SAPBEXHLevel3 2 6 3" xfId="50689" xr:uid="{00000000-0005-0000-0000-0000CEC00000}"/>
    <cellStyle name="SAPBEXHLevel3 2 7" xfId="46513" xr:uid="{00000000-0005-0000-0000-0000CFC00000}"/>
    <cellStyle name="SAPBEXHLevel3 2 7 2" xfId="46514" xr:uid="{00000000-0005-0000-0000-0000D0C00000}"/>
    <cellStyle name="SAPBEXHLevel3 2 7 3" xfId="50842"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22" xr:uid="{00000000-0005-0000-0000-0000E1C00000}"/>
    <cellStyle name="SAPBEXHLevel3 3 2 3" xfId="51575" xr:uid="{00000000-0005-0000-0000-0000E2C00000}"/>
    <cellStyle name="SAPBEXHLevel3 3 2 4" xfId="49893" xr:uid="{00000000-0005-0000-0000-0000E3C00000}"/>
    <cellStyle name="SAPBEXHLevel3 3 3" xfId="46530" xr:uid="{00000000-0005-0000-0000-0000E4C00000}"/>
    <cellStyle name="SAPBEXHLevel3 3 3 2" xfId="50480" xr:uid="{00000000-0005-0000-0000-0000E5C00000}"/>
    <cellStyle name="SAPBEXHLevel3 3 4" xfId="51366" xr:uid="{00000000-0005-0000-0000-0000E6C00000}"/>
    <cellStyle name="SAPBEXHLevel3 3 5" xfId="49565"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21" xr:uid="{00000000-0005-0000-0000-0000ECC00000}"/>
    <cellStyle name="SAPBEXHLevel3 4" xfId="46535" xr:uid="{00000000-0005-0000-0000-0000EDC00000}"/>
    <cellStyle name="SAPBEXHLevel3 4 2" xfId="46536" xr:uid="{00000000-0005-0000-0000-0000EEC00000}"/>
    <cellStyle name="SAPBEXHLevel3 4 2 2" xfId="50271" xr:uid="{00000000-0005-0000-0000-0000EFC00000}"/>
    <cellStyle name="SAPBEXHLevel3 4 2 3" xfId="51173" xr:uid="{00000000-0005-0000-0000-0000F0C00000}"/>
    <cellStyle name="SAPBEXHLevel3 4 2 4" xfId="49732" xr:uid="{00000000-0005-0000-0000-0000F1C00000}"/>
    <cellStyle name="SAPBEXHLevel3 4 3" xfId="50640" xr:uid="{00000000-0005-0000-0000-0000F2C00000}"/>
    <cellStyle name="SAPBEXHLevel3 4 4" xfId="51209" xr:uid="{00000000-0005-0000-0000-0000F3C00000}"/>
    <cellStyle name="SAPBEXHLevel3 4 5" xfId="49404" xr:uid="{00000000-0005-0000-0000-0000F4C00000}"/>
    <cellStyle name="SAPBEXHLevel3 5" xfId="46537" xr:uid="{00000000-0005-0000-0000-0000F5C00000}"/>
    <cellStyle name="SAPBEXHLevel3 5 2" xfId="46538" xr:uid="{00000000-0005-0000-0000-0000F6C00000}"/>
    <cellStyle name="SAPBEXHLevel3 5 2 2" xfId="50997" xr:uid="{00000000-0005-0000-0000-0000F7C00000}"/>
    <cellStyle name="SAPBEXHLevel3 5 2 3" xfId="51115" xr:uid="{00000000-0005-0000-0000-0000F8C00000}"/>
    <cellStyle name="SAPBEXHLevel3 5 2 4" xfId="49952" xr:uid="{00000000-0005-0000-0000-0000F9C00000}"/>
    <cellStyle name="SAPBEXHLevel3 5 3" xfId="50058" xr:uid="{00000000-0005-0000-0000-0000FAC00000}"/>
    <cellStyle name="SAPBEXHLevel3 5 4" xfId="51136" xr:uid="{00000000-0005-0000-0000-0000FBC00000}"/>
    <cellStyle name="SAPBEXHLevel3 5 5" xfId="49624" xr:uid="{00000000-0005-0000-0000-0000FCC00000}"/>
    <cellStyle name="SAPBEXHLevel3 6" xfId="46539" xr:uid="{00000000-0005-0000-0000-0000FDC00000}"/>
    <cellStyle name="SAPBEXHLevel3 6 2" xfId="46540" xr:uid="{00000000-0005-0000-0000-0000FEC00000}"/>
    <cellStyle name="SAPBEXHLevel3 6 2 2" xfId="50283" xr:uid="{00000000-0005-0000-0000-0000FFC00000}"/>
    <cellStyle name="SAPBEXHLevel3 6 3" xfId="50878" xr:uid="{00000000-0005-0000-0000-000000C10000}"/>
    <cellStyle name="SAPBEXHLevel3 6 4" xfId="49704" xr:uid="{00000000-0005-0000-0000-000001C10000}"/>
    <cellStyle name="SAPBEXHLevel3 7" xfId="46541" xr:uid="{00000000-0005-0000-0000-000002C10000}"/>
    <cellStyle name="SAPBEXHLevel3 7 2" xfId="46542" xr:uid="{00000000-0005-0000-0000-000003C10000}"/>
    <cellStyle name="SAPBEXHLevel3 7 2 2" xfId="51100" xr:uid="{00000000-0005-0000-0000-000004C10000}"/>
    <cellStyle name="SAPBEXHLevel3 7 3" xfId="51673" xr:uid="{00000000-0005-0000-0000-000005C10000}"/>
    <cellStyle name="SAPBEXHLevel3 7 4" xfId="50056" xr:uid="{00000000-0005-0000-0000-000006C10000}"/>
    <cellStyle name="SAPBEXHLevel3 8" xfId="46543" xr:uid="{00000000-0005-0000-0000-000007C10000}"/>
    <cellStyle name="SAPBEXHLevel3 8 2" xfId="46544" xr:uid="{00000000-0005-0000-0000-000008C10000}"/>
    <cellStyle name="SAPBEXHLevel3 8 3" xfId="50690" xr:uid="{00000000-0005-0000-0000-000009C10000}"/>
    <cellStyle name="SAPBEXHLevel3 9" xfId="46545" xr:uid="{00000000-0005-0000-0000-00000AC10000}"/>
    <cellStyle name="SAPBEXHLevel3 9 2" xfId="46546" xr:uid="{00000000-0005-0000-0000-00000BC10000}"/>
    <cellStyle name="SAPBEXHLevel3 9 3" xfId="50848"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9" xr:uid="{00000000-0005-0000-0000-000026C10000}"/>
    <cellStyle name="SAPBEXHLevel3X 2 2 2 3" xfId="51101" xr:uid="{00000000-0005-0000-0000-000027C10000}"/>
    <cellStyle name="SAPBEXHLevel3X 2 2 2 4" xfId="49896" xr:uid="{00000000-0005-0000-0000-000028C10000}"/>
    <cellStyle name="SAPBEXHLevel3X 2 2 3" xfId="46571" xr:uid="{00000000-0005-0000-0000-000029C10000}"/>
    <cellStyle name="SAPBEXHLevel3X 2 2 3 2" xfId="50477" xr:uid="{00000000-0005-0000-0000-00002AC10000}"/>
    <cellStyle name="SAPBEXHLevel3X 2 2 4" xfId="51249" xr:uid="{00000000-0005-0000-0000-00002BC10000}"/>
    <cellStyle name="SAPBEXHLevel3X 2 2 5" xfId="49568"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8" xr:uid="{00000000-0005-0000-0000-000039C10000}"/>
    <cellStyle name="SAPBEXHLevel3X 2 3 2 3" xfId="51150" xr:uid="{00000000-0005-0000-0000-00003AC10000}"/>
    <cellStyle name="SAPBEXHLevel3X 2 3 2 4" xfId="49930" xr:uid="{00000000-0005-0000-0000-00003BC10000}"/>
    <cellStyle name="SAPBEXHLevel3X 2 3 3" xfId="50443" xr:uid="{00000000-0005-0000-0000-00003CC10000}"/>
    <cellStyle name="SAPBEXHLevel3X 2 3 4" xfId="51643" xr:uid="{00000000-0005-0000-0000-00003DC10000}"/>
    <cellStyle name="SAPBEXHLevel3X 2 3 5" xfId="49602"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4" xr:uid="{00000000-0005-0000-0000-000042C10000}"/>
    <cellStyle name="SAPBEXHLevel3X 2 4" xfId="46587" xr:uid="{00000000-0005-0000-0000-000043C10000}"/>
    <cellStyle name="SAPBEXHLevel3X 2 4 2" xfId="46588" xr:uid="{00000000-0005-0000-0000-000044C10000}"/>
    <cellStyle name="SAPBEXHLevel3X 2 4 2 2" xfId="50280" xr:uid="{00000000-0005-0000-0000-000045C10000}"/>
    <cellStyle name="SAPBEXHLevel3X 2 4 3" xfId="50856" xr:uid="{00000000-0005-0000-0000-000046C10000}"/>
    <cellStyle name="SAPBEXHLevel3X 2 4 4" xfId="49707" xr:uid="{00000000-0005-0000-0000-000047C10000}"/>
    <cellStyle name="SAPBEXHLevel3X 2 5" xfId="46589" xr:uid="{00000000-0005-0000-0000-000048C10000}"/>
    <cellStyle name="SAPBEXHLevel3X 2 5 2" xfId="46590" xr:uid="{00000000-0005-0000-0000-000049C10000}"/>
    <cellStyle name="SAPBEXHLevel3X 2 5 2 2" xfId="51031" xr:uid="{00000000-0005-0000-0000-00004AC10000}"/>
    <cellStyle name="SAPBEXHLevel3X 2 5 3" xfId="51591" xr:uid="{00000000-0005-0000-0000-00004BC10000}"/>
    <cellStyle name="SAPBEXHLevel3X 2 5 4" xfId="49986" xr:uid="{00000000-0005-0000-0000-00004CC10000}"/>
    <cellStyle name="SAPBEXHLevel3X 2 6" xfId="46591" xr:uid="{00000000-0005-0000-0000-00004DC10000}"/>
    <cellStyle name="SAPBEXHLevel3X 2 6 2" xfId="46592" xr:uid="{00000000-0005-0000-0000-00004EC10000}"/>
    <cellStyle name="SAPBEXHLevel3X 2 6 3" xfId="50687" xr:uid="{00000000-0005-0000-0000-00004FC10000}"/>
    <cellStyle name="SAPBEXHLevel3X 2 7" xfId="46593" xr:uid="{00000000-0005-0000-0000-000050C10000}"/>
    <cellStyle name="SAPBEXHLevel3X 2 7 2" xfId="46594" xr:uid="{00000000-0005-0000-0000-000051C10000}"/>
    <cellStyle name="SAPBEXHLevel3X 2 7 3" xfId="51145"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3" xr:uid="{00000000-0005-0000-0000-000061C10000}"/>
    <cellStyle name="SAPBEXHLevel3X 3 10 2" xfId="49931" xr:uid="{00000000-0005-0000-0000-000062C10000}"/>
    <cellStyle name="SAPBEXHLevel3X 3 10 2 2" xfId="50087" xr:uid="{00000000-0005-0000-0000-000063C10000}"/>
    <cellStyle name="SAPBEXHLevel3X 3 10 2 3" xfId="51112" xr:uid="{00000000-0005-0000-0000-000064C10000}"/>
    <cellStyle name="SAPBEXHLevel3X 3 10 3" xfId="50442" xr:uid="{00000000-0005-0000-0000-000065C10000}"/>
    <cellStyle name="SAPBEXHLevel3X 3 10 4" xfId="50877" xr:uid="{00000000-0005-0000-0000-000066C10000}"/>
    <cellStyle name="SAPBEXHLevel3X 3 11" xfId="49708" xr:uid="{00000000-0005-0000-0000-000067C10000}"/>
    <cellStyle name="SAPBEXHLevel3X 3 11 2" xfId="50279" xr:uid="{00000000-0005-0000-0000-000068C10000}"/>
    <cellStyle name="SAPBEXHLevel3X 3 11 3" xfId="51521" xr:uid="{00000000-0005-0000-0000-000069C10000}"/>
    <cellStyle name="SAPBEXHLevel3X 3 12" xfId="49985" xr:uid="{00000000-0005-0000-0000-00006AC10000}"/>
    <cellStyle name="SAPBEXHLevel3X 3 12 2" xfId="51030" xr:uid="{00000000-0005-0000-0000-00006BC10000}"/>
    <cellStyle name="SAPBEXHLevel3X 3 12 3" xfId="51336" xr:uid="{00000000-0005-0000-0000-00006CC10000}"/>
    <cellStyle name="SAPBEXHLevel3X 3 13" xfId="50686" xr:uid="{00000000-0005-0000-0000-00006DC10000}"/>
    <cellStyle name="SAPBEXHLevel3X 3 14" xfId="50841" xr:uid="{00000000-0005-0000-0000-00006EC10000}"/>
    <cellStyle name="SAPBEXHLevel3X 3 15" xfId="49325" xr:uid="{00000000-0005-0000-0000-00006FC10000}"/>
    <cellStyle name="SAPBEXHLevel3X 3 2" xfId="46609" xr:uid="{00000000-0005-0000-0000-000070C10000}"/>
    <cellStyle name="SAPBEXHLevel3X 3 2 2" xfId="49570" xr:uid="{00000000-0005-0000-0000-000071C10000}"/>
    <cellStyle name="SAPBEXHLevel3X 3 2 2 2" xfId="49898" xr:uid="{00000000-0005-0000-0000-000072C10000}"/>
    <cellStyle name="SAPBEXHLevel3X 3 2 2 2 2" xfId="50117" xr:uid="{00000000-0005-0000-0000-000073C10000}"/>
    <cellStyle name="SAPBEXHLevel3X 3 2 2 2 3" xfId="51545" xr:uid="{00000000-0005-0000-0000-000074C10000}"/>
    <cellStyle name="SAPBEXHLevel3X 3 2 2 3" xfId="50475" xr:uid="{00000000-0005-0000-0000-000075C10000}"/>
    <cellStyle name="SAPBEXHLevel3X 3 2 2 4" xfId="51187" xr:uid="{00000000-0005-0000-0000-000076C10000}"/>
    <cellStyle name="SAPBEXHLevel3X 3 2 3" xfId="49604" xr:uid="{00000000-0005-0000-0000-000077C10000}"/>
    <cellStyle name="SAPBEXHLevel3X 3 2 3 2" xfId="49932" xr:uid="{00000000-0005-0000-0000-000078C10000}"/>
    <cellStyle name="SAPBEXHLevel3X 3 2 3 2 2" xfId="50086" xr:uid="{00000000-0005-0000-0000-000079C10000}"/>
    <cellStyle name="SAPBEXHLevel3X 3 2 3 2 3" xfId="51113" xr:uid="{00000000-0005-0000-0000-00007AC10000}"/>
    <cellStyle name="SAPBEXHLevel3X 3 2 3 3" xfId="50441" xr:uid="{00000000-0005-0000-0000-00007BC10000}"/>
    <cellStyle name="SAPBEXHLevel3X 3 2 3 4" xfId="50951" xr:uid="{00000000-0005-0000-0000-00007CC10000}"/>
    <cellStyle name="SAPBEXHLevel3X 3 2 4" xfId="49709" xr:uid="{00000000-0005-0000-0000-00007DC10000}"/>
    <cellStyle name="SAPBEXHLevel3X 3 2 4 2" xfId="50278" xr:uid="{00000000-0005-0000-0000-00007EC10000}"/>
    <cellStyle name="SAPBEXHLevel3X 3 2 4 3" xfId="51174" xr:uid="{00000000-0005-0000-0000-00007FC10000}"/>
    <cellStyle name="SAPBEXHLevel3X 3 2 5" xfId="49984" xr:uid="{00000000-0005-0000-0000-000080C10000}"/>
    <cellStyle name="SAPBEXHLevel3X 3 2 5 2" xfId="51029" xr:uid="{00000000-0005-0000-0000-000081C10000}"/>
    <cellStyle name="SAPBEXHLevel3X 3 2 5 3" xfId="51582" xr:uid="{00000000-0005-0000-0000-000082C10000}"/>
    <cellStyle name="SAPBEXHLevel3X 3 2 6" xfId="50685" xr:uid="{00000000-0005-0000-0000-000083C10000}"/>
    <cellStyle name="SAPBEXHLevel3X 3 2 7" xfId="51146" xr:uid="{00000000-0005-0000-0000-000084C10000}"/>
    <cellStyle name="SAPBEXHLevel3X 3 2 8" xfId="49326" xr:uid="{00000000-0005-0000-0000-000085C10000}"/>
    <cellStyle name="SAPBEXHLevel3X 3 3" xfId="46610" xr:uid="{00000000-0005-0000-0000-000086C10000}"/>
    <cellStyle name="SAPBEXHLevel3X 3 3 2" xfId="49571" xr:uid="{00000000-0005-0000-0000-000087C10000}"/>
    <cellStyle name="SAPBEXHLevel3X 3 3 2 2" xfId="49899" xr:uid="{00000000-0005-0000-0000-000088C10000}"/>
    <cellStyle name="SAPBEXHLevel3X 3 3 2 2 2" xfId="50116" xr:uid="{00000000-0005-0000-0000-000089C10000}"/>
    <cellStyle name="SAPBEXHLevel3X 3 3 2 2 3" xfId="51319" xr:uid="{00000000-0005-0000-0000-00008AC10000}"/>
    <cellStyle name="SAPBEXHLevel3X 3 3 2 3" xfId="50474" xr:uid="{00000000-0005-0000-0000-00008BC10000}"/>
    <cellStyle name="SAPBEXHLevel3X 3 3 2 4" xfId="51445" xr:uid="{00000000-0005-0000-0000-00008CC10000}"/>
    <cellStyle name="SAPBEXHLevel3X 3 3 3" xfId="49605" xr:uid="{00000000-0005-0000-0000-00008DC10000}"/>
    <cellStyle name="SAPBEXHLevel3X 3 3 3 2" xfId="49933" xr:uid="{00000000-0005-0000-0000-00008EC10000}"/>
    <cellStyle name="SAPBEXHLevel3X 3 3 3 2 2" xfId="50085" xr:uid="{00000000-0005-0000-0000-00008FC10000}"/>
    <cellStyle name="SAPBEXHLevel3X 3 3 3 2 3" xfId="51289" xr:uid="{00000000-0005-0000-0000-000090C10000}"/>
    <cellStyle name="SAPBEXHLevel3X 3 3 3 3" xfId="50440" xr:uid="{00000000-0005-0000-0000-000091C10000}"/>
    <cellStyle name="SAPBEXHLevel3X 3 3 3 4" xfId="51254" xr:uid="{00000000-0005-0000-0000-000092C10000}"/>
    <cellStyle name="SAPBEXHLevel3X 3 3 4" xfId="49710" xr:uid="{00000000-0005-0000-0000-000093C10000}"/>
    <cellStyle name="SAPBEXHLevel3X 3 3 4 2" xfId="50277" xr:uid="{00000000-0005-0000-0000-000094C10000}"/>
    <cellStyle name="SAPBEXHLevel3X 3 3 4 3" xfId="51433" xr:uid="{00000000-0005-0000-0000-000095C10000}"/>
    <cellStyle name="SAPBEXHLevel3X 3 3 5" xfId="49983" xr:uid="{00000000-0005-0000-0000-000096C10000}"/>
    <cellStyle name="SAPBEXHLevel3X 3 3 5 2" xfId="51028" xr:uid="{00000000-0005-0000-0000-000097C10000}"/>
    <cellStyle name="SAPBEXHLevel3X 3 3 5 3" xfId="51325" xr:uid="{00000000-0005-0000-0000-000098C10000}"/>
    <cellStyle name="SAPBEXHLevel3X 3 3 6" xfId="50684" xr:uid="{00000000-0005-0000-0000-000099C10000}"/>
    <cellStyle name="SAPBEXHLevel3X 3 3 7" xfId="50804" xr:uid="{00000000-0005-0000-0000-00009AC10000}"/>
    <cellStyle name="SAPBEXHLevel3X 3 3 8" xfId="49327" xr:uid="{00000000-0005-0000-0000-00009BC10000}"/>
    <cellStyle name="SAPBEXHLevel3X 3 4" xfId="49328" xr:uid="{00000000-0005-0000-0000-00009CC10000}"/>
    <cellStyle name="SAPBEXHLevel3X 3 4 2" xfId="49572" xr:uid="{00000000-0005-0000-0000-00009DC10000}"/>
    <cellStyle name="SAPBEXHLevel3X 3 4 2 2" xfId="49900" xr:uid="{00000000-0005-0000-0000-00009EC10000}"/>
    <cellStyle name="SAPBEXHLevel3X 3 4 2 2 2" xfId="50115" xr:uid="{00000000-0005-0000-0000-00009FC10000}"/>
    <cellStyle name="SAPBEXHLevel3X 3 4 2 2 3" xfId="51576" xr:uid="{00000000-0005-0000-0000-0000A0C10000}"/>
    <cellStyle name="SAPBEXHLevel3X 3 4 2 3" xfId="50473" xr:uid="{00000000-0005-0000-0000-0000A1C10000}"/>
    <cellStyle name="SAPBEXHLevel3X 3 4 2 4" xfId="51367" xr:uid="{00000000-0005-0000-0000-0000A2C10000}"/>
    <cellStyle name="SAPBEXHLevel3X 3 4 3" xfId="49606" xr:uid="{00000000-0005-0000-0000-0000A3C10000}"/>
    <cellStyle name="SAPBEXHLevel3X 3 4 3 2" xfId="49934" xr:uid="{00000000-0005-0000-0000-0000A4C10000}"/>
    <cellStyle name="SAPBEXHLevel3X 3 4 3 2 2" xfId="50084" xr:uid="{00000000-0005-0000-0000-0000A5C10000}"/>
    <cellStyle name="SAPBEXHLevel3X 3 4 3 2 3" xfId="51547" xr:uid="{00000000-0005-0000-0000-0000A6C10000}"/>
    <cellStyle name="SAPBEXHLevel3X 3 4 3 3" xfId="50063" xr:uid="{00000000-0005-0000-0000-0000A7C10000}"/>
    <cellStyle name="SAPBEXHLevel3X 3 4 3 4" xfId="51511" xr:uid="{00000000-0005-0000-0000-0000A8C10000}"/>
    <cellStyle name="SAPBEXHLevel3X 3 4 4" xfId="49711" xr:uid="{00000000-0005-0000-0000-0000A9C10000}"/>
    <cellStyle name="SAPBEXHLevel3X 3 4 4 2" xfId="50276" xr:uid="{00000000-0005-0000-0000-0000AAC10000}"/>
    <cellStyle name="SAPBEXHLevel3X 3 4 4 3" xfId="51382" xr:uid="{00000000-0005-0000-0000-0000ABC10000}"/>
    <cellStyle name="SAPBEXHLevel3X 3 4 5" xfId="49982" xr:uid="{00000000-0005-0000-0000-0000ACC10000}"/>
    <cellStyle name="SAPBEXHLevel3X 3 4 5 2" xfId="51027" xr:uid="{00000000-0005-0000-0000-0000ADC10000}"/>
    <cellStyle name="SAPBEXHLevel3X 3 4 5 3" xfId="51552" xr:uid="{00000000-0005-0000-0000-0000AEC10000}"/>
    <cellStyle name="SAPBEXHLevel3X 3 4 6" xfId="50683" xr:uid="{00000000-0005-0000-0000-0000AFC10000}"/>
    <cellStyle name="SAPBEXHLevel3X 3 4 7" xfId="50873" xr:uid="{00000000-0005-0000-0000-0000B0C10000}"/>
    <cellStyle name="SAPBEXHLevel3X 3 5" xfId="49329" xr:uid="{00000000-0005-0000-0000-0000B1C10000}"/>
    <cellStyle name="SAPBEXHLevel3X 3 5 2" xfId="49573" xr:uid="{00000000-0005-0000-0000-0000B2C10000}"/>
    <cellStyle name="SAPBEXHLevel3X 3 5 2 2" xfId="49901" xr:uid="{00000000-0005-0000-0000-0000B3C10000}"/>
    <cellStyle name="SAPBEXHLevel3X 3 5 2 2 2" xfId="50114" xr:uid="{00000000-0005-0000-0000-0000B4C10000}"/>
    <cellStyle name="SAPBEXHLevel3X 3 5 2 2 3" xfId="51406" xr:uid="{00000000-0005-0000-0000-0000B5C10000}"/>
    <cellStyle name="SAPBEXHLevel3X 3 5 2 3" xfId="50472" xr:uid="{00000000-0005-0000-0000-0000B6C10000}"/>
    <cellStyle name="SAPBEXHLevel3X 3 5 2 4" xfId="51599" xr:uid="{00000000-0005-0000-0000-0000B7C10000}"/>
    <cellStyle name="SAPBEXHLevel3X 3 5 3" xfId="49607" xr:uid="{00000000-0005-0000-0000-0000B8C10000}"/>
    <cellStyle name="SAPBEXHLevel3X 3 5 3 2" xfId="49935" xr:uid="{00000000-0005-0000-0000-0000B9C10000}"/>
    <cellStyle name="SAPBEXHLevel3X 3 5 3 2 2" xfId="50083" xr:uid="{00000000-0005-0000-0000-0000BAC10000}"/>
    <cellStyle name="SAPBEXHLevel3X 3 5 3 2 3" xfId="51320" xr:uid="{00000000-0005-0000-0000-0000BBC10000}"/>
    <cellStyle name="SAPBEXHLevel3X 3 5 3 3" xfId="50824" xr:uid="{00000000-0005-0000-0000-0000BCC10000}"/>
    <cellStyle name="SAPBEXHLevel3X 3 5 3 4" xfId="51182" xr:uid="{00000000-0005-0000-0000-0000BDC10000}"/>
    <cellStyle name="SAPBEXHLevel3X 3 5 4" xfId="49712" xr:uid="{00000000-0005-0000-0000-0000BEC10000}"/>
    <cellStyle name="SAPBEXHLevel3X 3 5 4 2" xfId="50275" xr:uid="{00000000-0005-0000-0000-0000BFC10000}"/>
    <cellStyle name="SAPBEXHLevel3X 3 5 4 3" xfId="51626" xr:uid="{00000000-0005-0000-0000-0000C0C10000}"/>
    <cellStyle name="SAPBEXHLevel3X 3 5 5" xfId="49981" xr:uid="{00000000-0005-0000-0000-0000C1C10000}"/>
    <cellStyle name="SAPBEXHLevel3X 3 5 5 2" xfId="51026" xr:uid="{00000000-0005-0000-0000-0000C2C10000}"/>
    <cellStyle name="SAPBEXHLevel3X 3 5 5 3" xfId="51294" xr:uid="{00000000-0005-0000-0000-0000C3C10000}"/>
    <cellStyle name="SAPBEXHLevel3X 3 5 6" xfId="50682" xr:uid="{00000000-0005-0000-0000-0000C4C10000}"/>
    <cellStyle name="SAPBEXHLevel3X 3 5 7" xfId="50947" xr:uid="{00000000-0005-0000-0000-0000C5C10000}"/>
    <cellStyle name="SAPBEXHLevel3X 3 6" xfId="49330" xr:uid="{00000000-0005-0000-0000-0000C6C10000}"/>
    <cellStyle name="SAPBEXHLevel3X 3 6 2" xfId="49574" xr:uid="{00000000-0005-0000-0000-0000C7C10000}"/>
    <cellStyle name="SAPBEXHLevel3X 3 6 2 2" xfId="49902" xr:uid="{00000000-0005-0000-0000-0000C8C10000}"/>
    <cellStyle name="SAPBEXHLevel3X 3 6 2 2 2" xfId="50113" xr:uid="{00000000-0005-0000-0000-0000C9C10000}"/>
    <cellStyle name="SAPBEXHLevel3X 3 6 2 2 3" xfId="51600" xr:uid="{00000000-0005-0000-0000-0000CAC10000}"/>
    <cellStyle name="SAPBEXHLevel3X 3 6 2 3" xfId="50471" xr:uid="{00000000-0005-0000-0000-0000CBC10000}"/>
    <cellStyle name="SAPBEXHLevel3X 3 6 2 4" xfId="50914" xr:uid="{00000000-0005-0000-0000-0000CCC10000}"/>
    <cellStyle name="SAPBEXHLevel3X 3 6 3" xfId="49608" xr:uid="{00000000-0005-0000-0000-0000CDC10000}"/>
    <cellStyle name="SAPBEXHLevel3X 3 6 3 2" xfId="49936" xr:uid="{00000000-0005-0000-0000-0000CEC10000}"/>
    <cellStyle name="SAPBEXHLevel3X 3 6 3 2 2" xfId="50082" xr:uid="{00000000-0005-0000-0000-0000CFC10000}"/>
    <cellStyle name="SAPBEXHLevel3X 3 6 3 2 3" xfId="51577" xr:uid="{00000000-0005-0000-0000-0000D0C10000}"/>
    <cellStyle name="SAPBEXHLevel3X 3 6 3 3" xfId="50065" xr:uid="{00000000-0005-0000-0000-0000D1C10000}"/>
    <cellStyle name="SAPBEXHLevel3X 3 6 3 4" xfId="51440" xr:uid="{00000000-0005-0000-0000-0000D2C10000}"/>
    <cellStyle name="SAPBEXHLevel3X 3 6 4" xfId="49713" xr:uid="{00000000-0005-0000-0000-0000D3C10000}"/>
    <cellStyle name="SAPBEXHLevel3X 3 6 4 2" xfId="50274" xr:uid="{00000000-0005-0000-0000-0000D4C10000}"/>
    <cellStyle name="SAPBEXHLevel3X 3 6 4 3" xfId="51257" xr:uid="{00000000-0005-0000-0000-0000D5C10000}"/>
    <cellStyle name="SAPBEXHLevel3X 3 6 5" xfId="50048" xr:uid="{00000000-0005-0000-0000-0000D6C10000}"/>
    <cellStyle name="SAPBEXHLevel3X 3 6 5 2" xfId="51092" xr:uid="{00000000-0005-0000-0000-0000D7C10000}"/>
    <cellStyle name="SAPBEXHLevel3X 3 6 5 3" xfId="51331" xr:uid="{00000000-0005-0000-0000-0000D8C10000}"/>
    <cellStyle name="SAPBEXHLevel3X 3 6 6" xfId="50681" xr:uid="{00000000-0005-0000-0000-0000D9C10000}"/>
    <cellStyle name="SAPBEXHLevel3X 3 6 7" xfId="50887" xr:uid="{00000000-0005-0000-0000-0000DAC10000}"/>
    <cellStyle name="SAPBEXHLevel3X 3 7" xfId="49331" xr:uid="{00000000-0005-0000-0000-0000DBC10000}"/>
    <cellStyle name="SAPBEXHLevel3X 3 7 2" xfId="49575" xr:uid="{00000000-0005-0000-0000-0000DCC10000}"/>
    <cellStyle name="SAPBEXHLevel3X 3 7 2 2" xfId="49903" xr:uid="{00000000-0005-0000-0000-0000DDC10000}"/>
    <cellStyle name="SAPBEXHLevel3X 3 7 2 2 2" xfId="50112" xr:uid="{00000000-0005-0000-0000-0000DEC10000}"/>
    <cellStyle name="SAPBEXHLevel3X 3 7 2 2 3" xfId="51280" xr:uid="{00000000-0005-0000-0000-0000DFC10000}"/>
    <cellStyle name="SAPBEXHLevel3X 3 7 2 3" xfId="50470" xr:uid="{00000000-0005-0000-0000-0000E0C10000}"/>
    <cellStyle name="SAPBEXHLevel3X 3 7 2 4" xfId="51250" xr:uid="{00000000-0005-0000-0000-0000E1C10000}"/>
    <cellStyle name="SAPBEXHLevel3X 3 7 3" xfId="49609" xr:uid="{00000000-0005-0000-0000-0000E2C10000}"/>
    <cellStyle name="SAPBEXHLevel3X 3 7 3 2" xfId="49937" xr:uid="{00000000-0005-0000-0000-0000E3C10000}"/>
    <cellStyle name="SAPBEXHLevel3X 3 7 3 2 2" xfId="50081" xr:uid="{00000000-0005-0000-0000-0000E4C10000}"/>
    <cellStyle name="SAPBEXHLevel3X 3 7 3 2 3" xfId="51407" xr:uid="{00000000-0005-0000-0000-0000E5C10000}"/>
    <cellStyle name="SAPBEXHLevel3X 3 7 3 3" xfId="50833" xr:uid="{00000000-0005-0000-0000-0000E6C10000}"/>
    <cellStyle name="SAPBEXHLevel3X 3 7 3 4" xfId="51372" xr:uid="{00000000-0005-0000-0000-0000E7C10000}"/>
    <cellStyle name="SAPBEXHLevel3X 3 7 4" xfId="49714" xr:uid="{00000000-0005-0000-0000-0000E8C10000}"/>
    <cellStyle name="SAPBEXHLevel3X 3 7 4 2" xfId="50273" xr:uid="{00000000-0005-0000-0000-0000E9C10000}"/>
    <cellStyle name="SAPBEXHLevel3X 3 7 4 3" xfId="51514" xr:uid="{00000000-0005-0000-0000-0000EAC10000}"/>
    <cellStyle name="SAPBEXHLevel3X 3 7 5" xfId="49980" xr:uid="{00000000-0005-0000-0000-0000EBC10000}"/>
    <cellStyle name="SAPBEXHLevel3X 3 7 5 2" xfId="51025" xr:uid="{00000000-0005-0000-0000-0000ECC10000}"/>
    <cellStyle name="SAPBEXHLevel3X 3 7 5 3" xfId="51119" xr:uid="{00000000-0005-0000-0000-0000EDC10000}"/>
    <cellStyle name="SAPBEXHLevel3X 3 7 6" xfId="50680" xr:uid="{00000000-0005-0000-0000-0000EEC10000}"/>
    <cellStyle name="SAPBEXHLevel3X 3 7 7" xfId="50958" xr:uid="{00000000-0005-0000-0000-0000EFC10000}"/>
    <cellStyle name="SAPBEXHLevel3X 3 8" xfId="49332" xr:uid="{00000000-0005-0000-0000-0000F0C10000}"/>
    <cellStyle name="SAPBEXHLevel3X 3 8 2" xfId="49576" xr:uid="{00000000-0005-0000-0000-0000F1C10000}"/>
    <cellStyle name="SAPBEXHLevel3X 3 8 2 2" xfId="49904" xr:uid="{00000000-0005-0000-0000-0000F2C10000}"/>
    <cellStyle name="SAPBEXHLevel3X 3 8 2 2 2" xfId="50111" xr:uid="{00000000-0005-0000-0000-0000F3C10000}"/>
    <cellStyle name="SAPBEXHLevel3X 3 8 2 2 3" xfId="51538" xr:uid="{00000000-0005-0000-0000-0000F4C10000}"/>
    <cellStyle name="SAPBEXHLevel3X 3 8 2 3" xfId="50469" xr:uid="{00000000-0005-0000-0000-0000F5C10000}"/>
    <cellStyle name="SAPBEXHLevel3X 3 8 2 4" xfId="51507" xr:uid="{00000000-0005-0000-0000-0000F6C10000}"/>
    <cellStyle name="SAPBEXHLevel3X 3 8 3" xfId="49610" xr:uid="{00000000-0005-0000-0000-0000F7C10000}"/>
    <cellStyle name="SAPBEXHLevel3X 3 8 3 2" xfId="49938" xr:uid="{00000000-0005-0000-0000-0000F8C10000}"/>
    <cellStyle name="SAPBEXHLevel3X 3 8 3 2 2" xfId="50080" xr:uid="{00000000-0005-0000-0000-0000F9C10000}"/>
    <cellStyle name="SAPBEXHLevel3X 3 8 3 2 3" xfId="51666" xr:uid="{00000000-0005-0000-0000-0000FAC10000}"/>
    <cellStyle name="SAPBEXHLevel3X 3 8 3 3" xfId="50823" xr:uid="{00000000-0005-0000-0000-0000FBC10000}"/>
    <cellStyle name="SAPBEXHLevel3X 3 8 3 4" xfId="51634" xr:uid="{00000000-0005-0000-0000-0000FCC10000}"/>
    <cellStyle name="SAPBEXHLevel3X 3 8 4" xfId="49715" xr:uid="{00000000-0005-0000-0000-0000FDC10000}"/>
    <cellStyle name="SAPBEXHLevel3X 3 8 4 2" xfId="50991" xr:uid="{00000000-0005-0000-0000-0000FEC10000}"/>
    <cellStyle name="SAPBEXHLevel3X 3 8 4 3" xfId="51255" xr:uid="{00000000-0005-0000-0000-0000FFC10000}"/>
    <cellStyle name="SAPBEXHLevel3X 3 8 5" xfId="49967" xr:uid="{00000000-0005-0000-0000-000000C20000}"/>
    <cellStyle name="SAPBEXHLevel3X 3 8 5 2" xfId="51012" xr:uid="{00000000-0005-0000-0000-000001C20000}"/>
    <cellStyle name="SAPBEXHLevel3X 3 8 5 3" xfId="51323" xr:uid="{00000000-0005-0000-0000-000002C20000}"/>
    <cellStyle name="SAPBEXHLevel3X 3 8 6" xfId="50679" xr:uid="{00000000-0005-0000-0000-000003C20000}"/>
    <cellStyle name="SAPBEXHLevel3X 3 8 7" xfId="50644" xr:uid="{00000000-0005-0000-0000-000004C20000}"/>
    <cellStyle name="SAPBEXHLevel3X 3 9" xfId="49569" xr:uid="{00000000-0005-0000-0000-000005C20000}"/>
    <cellStyle name="SAPBEXHLevel3X 3 9 2" xfId="49897" xr:uid="{00000000-0005-0000-0000-000006C20000}"/>
    <cellStyle name="SAPBEXHLevel3X 3 9 2 2" xfId="50118" xr:uid="{00000000-0005-0000-0000-000007C20000}"/>
    <cellStyle name="SAPBEXHLevel3X 3 9 2 3" xfId="51287" xr:uid="{00000000-0005-0000-0000-000008C20000}"/>
    <cellStyle name="SAPBEXHLevel3X 3 9 3" xfId="50476" xr:uid="{00000000-0005-0000-0000-000009C20000}"/>
    <cellStyle name="SAPBEXHLevel3X 3 9 4" xfId="51506"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3" xr:uid="{00000000-0005-0000-0000-00000FC20000}"/>
    <cellStyle name="SAPBEXHLevel3X 4" xfId="46615" xr:uid="{00000000-0005-0000-0000-000010C20000}"/>
    <cellStyle name="SAPBEXHLevel3X 4 2" xfId="46616" xr:uid="{00000000-0005-0000-0000-000011C20000}"/>
    <cellStyle name="SAPBEXHLevel3X 4 2 2" xfId="50120" xr:uid="{00000000-0005-0000-0000-000012C20000}"/>
    <cellStyle name="SAPBEXHLevel3X 4 2 3" xfId="51612" xr:uid="{00000000-0005-0000-0000-000013C20000}"/>
    <cellStyle name="SAPBEXHLevel3X 4 2 4" xfId="49895" xr:uid="{00000000-0005-0000-0000-000014C20000}"/>
    <cellStyle name="SAPBEXHLevel3X 4 3" xfId="50478" xr:uid="{00000000-0005-0000-0000-000015C20000}"/>
    <cellStyle name="SAPBEXHLevel3X 4 4" xfId="50962" xr:uid="{00000000-0005-0000-0000-000016C20000}"/>
    <cellStyle name="SAPBEXHLevel3X 4 5" xfId="49567" xr:uid="{00000000-0005-0000-0000-000017C20000}"/>
    <cellStyle name="SAPBEXHLevel3X 5" xfId="46617" xr:uid="{00000000-0005-0000-0000-000018C20000}"/>
    <cellStyle name="SAPBEXHLevel3X 5 2" xfId="46618" xr:uid="{00000000-0005-0000-0000-000019C20000}"/>
    <cellStyle name="SAPBEXHLevel3X 5 2 2" xfId="50859" xr:uid="{00000000-0005-0000-0000-00001AC20000}"/>
    <cellStyle name="SAPBEXHLevel3X 5 2 3" xfId="51522" xr:uid="{00000000-0005-0000-0000-00001BC20000}"/>
    <cellStyle name="SAPBEXHLevel3X 5 2 4" xfId="49731" xr:uid="{00000000-0005-0000-0000-00001CC20000}"/>
    <cellStyle name="SAPBEXHLevel3X 5 3" xfId="50641" xr:uid="{00000000-0005-0000-0000-00001DC20000}"/>
    <cellStyle name="SAPBEXHLevel3X 5 4" xfId="51484" xr:uid="{00000000-0005-0000-0000-00001EC20000}"/>
    <cellStyle name="SAPBEXHLevel3X 5 5" xfId="49403" xr:uid="{00000000-0005-0000-0000-00001FC20000}"/>
    <cellStyle name="SAPBEXHLevel3X 6" xfId="46619" xr:uid="{00000000-0005-0000-0000-000020C20000}"/>
    <cellStyle name="SAPBEXHLevel3X 6 2" xfId="46620" xr:uid="{00000000-0005-0000-0000-000021C20000}"/>
    <cellStyle name="SAPBEXHLevel3X 6 2 2" xfId="50281" xr:uid="{00000000-0005-0000-0000-000022C20000}"/>
    <cellStyle name="SAPBEXHLevel3X 6 3" xfId="51264" xr:uid="{00000000-0005-0000-0000-000023C20000}"/>
    <cellStyle name="SAPBEXHLevel3X 6 4" xfId="49706" xr:uid="{00000000-0005-0000-0000-000024C20000}"/>
    <cellStyle name="SAPBEXHLevel3X 7" xfId="46621" xr:uid="{00000000-0005-0000-0000-000025C20000}"/>
    <cellStyle name="SAPBEXHLevel3X 7 2" xfId="46622" xr:uid="{00000000-0005-0000-0000-000026C20000}"/>
    <cellStyle name="SAPBEXHLevel3X 7 2 2" xfId="51097" xr:uid="{00000000-0005-0000-0000-000027C20000}"/>
    <cellStyle name="SAPBEXHLevel3X 7 3" xfId="50987" xr:uid="{00000000-0005-0000-0000-000028C20000}"/>
    <cellStyle name="SAPBEXHLevel3X 7 4" xfId="50053" xr:uid="{00000000-0005-0000-0000-000029C20000}"/>
    <cellStyle name="SAPBEXHLevel3X 8" xfId="46623" xr:uid="{00000000-0005-0000-0000-00002AC20000}"/>
    <cellStyle name="SAPBEXHLevel3X 8 2" xfId="46624" xr:uid="{00000000-0005-0000-0000-00002BC20000}"/>
    <cellStyle name="SAPBEXHLevel3X 8 3" xfId="50688" xr:uid="{00000000-0005-0000-0000-00002CC20000}"/>
    <cellStyle name="SAPBEXHLevel3X 9" xfId="46625" xr:uid="{00000000-0005-0000-0000-00002DC20000}"/>
    <cellStyle name="SAPBEXHLevel3X 9 2" xfId="46626" xr:uid="{00000000-0005-0000-0000-00002EC20000}"/>
    <cellStyle name="SAPBEXHLevel3X 9 3" xfId="50663"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3"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4"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6"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91"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92" xr:uid="{00000000-0005-0000-0000-000047C30000}"/>
    <cellStyle name="SAPBEXinputData 3 3 3" xfId="46900" xr:uid="{00000000-0005-0000-0000-000048C30000}"/>
    <cellStyle name="SAPBEXinputData 3 3 4" xfId="49337" xr:uid="{00000000-0005-0000-0000-000049C30000}"/>
    <cellStyle name="SAPBEXinputData 3 30" xfId="46901" xr:uid="{00000000-0005-0000-0000-00004AC30000}"/>
    <cellStyle name="SAPBEXinputData 3 31" xfId="49335" xr:uid="{00000000-0005-0000-0000-00004BC30000}"/>
    <cellStyle name="SAPBEXinputData 3 4" xfId="46902" xr:uid="{00000000-0005-0000-0000-00004CC30000}"/>
    <cellStyle name="SAPBEXinputData 3 4 2" xfId="46903" xr:uid="{00000000-0005-0000-0000-00004DC30000}"/>
    <cellStyle name="SAPBEXinputData 3 4 2 2" xfId="49393" xr:uid="{00000000-0005-0000-0000-00004EC30000}"/>
    <cellStyle name="SAPBEXinputData 3 4 3" xfId="49338" xr:uid="{00000000-0005-0000-0000-00004FC30000}"/>
    <cellStyle name="SAPBEXinputData 3 5" xfId="46904" xr:uid="{00000000-0005-0000-0000-000050C30000}"/>
    <cellStyle name="SAPBEXinputData 3 5 2" xfId="46905" xr:uid="{00000000-0005-0000-0000-000051C30000}"/>
    <cellStyle name="SAPBEXinputData 3 5 2 2" xfId="49394" xr:uid="{00000000-0005-0000-0000-000052C30000}"/>
    <cellStyle name="SAPBEXinputData 3 5 3" xfId="49339" xr:uid="{00000000-0005-0000-0000-000053C30000}"/>
    <cellStyle name="SAPBEXinputData 3 6" xfId="46906" xr:uid="{00000000-0005-0000-0000-000054C30000}"/>
    <cellStyle name="SAPBEXinputData 3 6 2" xfId="46907" xr:uid="{00000000-0005-0000-0000-000055C30000}"/>
    <cellStyle name="SAPBEXinputData 3 6 2 2" xfId="49395" xr:uid="{00000000-0005-0000-0000-000056C30000}"/>
    <cellStyle name="SAPBEXinputData 3 6 3" xfId="49340" xr:uid="{00000000-0005-0000-0000-000057C30000}"/>
    <cellStyle name="SAPBEXinputData 3 7" xfId="46908" xr:uid="{00000000-0005-0000-0000-000058C30000}"/>
    <cellStyle name="SAPBEXinputData 3 7 2" xfId="46909" xr:uid="{00000000-0005-0000-0000-000059C30000}"/>
    <cellStyle name="SAPBEXinputData 3 7 2 2" xfId="49396" xr:uid="{00000000-0005-0000-0000-00005AC30000}"/>
    <cellStyle name="SAPBEXinputData 3 7 3" xfId="49341" xr:uid="{00000000-0005-0000-0000-00005BC30000}"/>
    <cellStyle name="SAPBEXinputData 3 8" xfId="46910" xr:uid="{00000000-0005-0000-0000-00005CC30000}"/>
    <cellStyle name="SAPBEXinputData 3 8 2" xfId="46911" xr:uid="{00000000-0005-0000-0000-00005DC30000}"/>
    <cellStyle name="SAPBEXinputData 3 8 2 2" xfId="49397" xr:uid="{00000000-0005-0000-0000-00005EC30000}"/>
    <cellStyle name="SAPBEXinputData 3 8 3" xfId="49342" xr:uid="{00000000-0005-0000-0000-00005FC30000}"/>
    <cellStyle name="SAPBEXinputData 3 9" xfId="46912" xr:uid="{00000000-0005-0000-0000-000060C30000}"/>
    <cellStyle name="SAPBEXinputData 3 9 2" xfId="46913" xr:uid="{00000000-0005-0000-0000-000061C30000}"/>
    <cellStyle name="SAPBEXinputData 3 9 3" xfId="49390"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9"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9" xr:uid="{00000000-0005-0000-0000-000002C40000}"/>
    <cellStyle name="SAPBEXItemHeader 2 2 3" xfId="51536" xr:uid="{00000000-0005-0000-0000-000003C40000}"/>
    <cellStyle name="SAPBEXItemHeader 2 2 4" xfId="49906" xr:uid="{00000000-0005-0000-0000-000004C40000}"/>
    <cellStyle name="SAPBEXItemHeader 2 3" xfId="47072" xr:uid="{00000000-0005-0000-0000-000005C40000}"/>
    <cellStyle name="SAPBEXItemHeader 2 3 2" xfId="50467" xr:uid="{00000000-0005-0000-0000-000006C40000}"/>
    <cellStyle name="SAPBEXItemHeader 2 4" xfId="51444" xr:uid="{00000000-0005-0000-0000-000007C40000}"/>
    <cellStyle name="SAPBEXItemHeader 2 5" xfId="49578"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9" xr:uid="{00000000-0005-0000-0000-000014C40000}"/>
    <cellStyle name="SAPBEXItemHeader 3 2 2" xfId="50079" xr:uid="{00000000-0005-0000-0000-000015C40000}"/>
    <cellStyle name="SAPBEXItemHeader 3 2 3" xfId="50790" xr:uid="{00000000-0005-0000-0000-000016C40000}"/>
    <cellStyle name="SAPBEXItemHeader 3 3" xfId="50067" xr:uid="{00000000-0005-0000-0000-000017C40000}"/>
    <cellStyle name="SAPBEXItemHeader 3 4" xfId="51253" xr:uid="{00000000-0005-0000-0000-000018C40000}"/>
    <cellStyle name="SAPBEXItemHeader 3 5" xfId="49611"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3" xr:uid="{00000000-0005-0000-0000-00001DC40000}"/>
    <cellStyle name="SAPBEXItemHeader 4" xfId="47087" xr:uid="{00000000-0005-0000-0000-00001EC40000}"/>
    <cellStyle name="SAPBEXItemHeader 4 2" xfId="50902" xr:uid="{00000000-0005-0000-0000-00001FC40000}"/>
    <cellStyle name="SAPBEXItemHeader 4 3" xfId="51512" xr:uid="{00000000-0005-0000-0000-000020C40000}"/>
    <cellStyle name="SAPBEXItemHeader 4 4" xfId="49716" xr:uid="{00000000-0005-0000-0000-000021C40000}"/>
    <cellStyle name="SAPBEXItemHeader 5" xfId="47088" xr:uid="{00000000-0005-0000-0000-000022C40000}"/>
    <cellStyle name="SAPBEXItemHeader 5 2" xfId="51095" xr:uid="{00000000-0005-0000-0000-000023C40000}"/>
    <cellStyle name="SAPBEXItemHeader 5 3" xfId="51418" xr:uid="{00000000-0005-0000-0000-000024C40000}"/>
    <cellStyle name="SAPBEXItemHeader 5 4" xfId="50051" xr:uid="{00000000-0005-0000-0000-000025C40000}"/>
    <cellStyle name="SAPBEXItemHeader 6" xfId="47089" xr:uid="{00000000-0005-0000-0000-000026C40000}"/>
    <cellStyle name="SAPBEXItemHeader 6 2" xfId="50677" xr:uid="{00000000-0005-0000-0000-000027C40000}"/>
    <cellStyle name="SAPBEXItemHeader 7" xfId="47090" xr:uid="{00000000-0005-0000-0000-000028C40000}"/>
    <cellStyle name="SAPBEXItemHeader 7 2" xfId="50911"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8" xr:uid="{00000000-0005-0000-0000-000039C40000}"/>
    <cellStyle name="SAPBEXresData 2 2 3" xfId="51161" xr:uid="{00000000-0005-0000-0000-00003AC40000}"/>
    <cellStyle name="SAPBEXresData 2 2 4" xfId="49907" xr:uid="{00000000-0005-0000-0000-00003BC40000}"/>
    <cellStyle name="SAPBEXresData 2 3" xfId="47105" xr:uid="{00000000-0005-0000-0000-00003CC40000}"/>
    <cellStyle name="SAPBEXresData 2 3 2" xfId="50466" xr:uid="{00000000-0005-0000-0000-00003DC40000}"/>
    <cellStyle name="SAPBEXresData 2 4" xfId="51368" xr:uid="{00000000-0005-0000-0000-00003EC40000}"/>
    <cellStyle name="SAPBEXresData 2 5" xfId="49579"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40" xr:uid="{00000000-0005-0000-0000-00004BC40000}"/>
    <cellStyle name="SAPBEXresData 3 2 2" xfId="50078" xr:uid="{00000000-0005-0000-0000-00004CC40000}"/>
    <cellStyle name="SAPBEXresData 3 2 3" xfId="50867" xr:uid="{00000000-0005-0000-0000-00004DC40000}"/>
    <cellStyle name="SAPBEXresData 3 3" xfId="50439" xr:uid="{00000000-0005-0000-0000-00004EC40000}"/>
    <cellStyle name="SAPBEXresData 3 4" xfId="51510" xr:uid="{00000000-0005-0000-0000-00004FC40000}"/>
    <cellStyle name="SAPBEXresData 3 5" xfId="49612"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4" xr:uid="{00000000-0005-0000-0000-000054C40000}"/>
    <cellStyle name="SAPBEXresData 4" xfId="47120" xr:uid="{00000000-0005-0000-0000-000055C40000}"/>
    <cellStyle name="SAPBEXresData 4 2" xfId="50966" xr:uid="{00000000-0005-0000-0000-000056C40000}"/>
    <cellStyle name="SAPBEXresData 4 3" xfId="51181" xr:uid="{00000000-0005-0000-0000-000057C40000}"/>
    <cellStyle name="SAPBEXresData 4 4" xfId="49717" xr:uid="{00000000-0005-0000-0000-000058C40000}"/>
    <cellStyle name="SAPBEXresData 5" xfId="47121" xr:uid="{00000000-0005-0000-0000-000059C40000}"/>
    <cellStyle name="SAPBEXresData 5 2" xfId="51007" xr:uid="{00000000-0005-0000-0000-00005AC40000}"/>
    <cellStyle name="SAPBEXresData 5 3" xfId="51117" xr:uid="{00000000-0005-0000-0000-00005BC40000}"/>
    <cellStyle name="SAPBEXresData 5 4" xfId="49962" xr:uid="{00000000-0005-0000-0000-00005CC40000}"/>
    <cellStyle name="SAPBEXresData 6" xfId="47122" xr:uid="{00000000-0005-0000-0000-00005DC40000}"/>
    <cellStyle name="SAPBEXresData 6 2" xfId="50676" xr:uid="{00000000-0005-0000-0000-00005EC40000}"/>
    <cellStyle name="SAPBEXresData 7" xfId="47123" xr:uid="{00000000-0005-0000-0000-00005FC40000}"/>
    <cellStyle name="SAPBEXresData 7 2" xfId="51147"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5"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7" xr:uid="{00000000-0005-0000-0000-000095C40000}"/>
    <cellStyle name="SAPBEXresItem 2 2 3" xfId="51421" xr:uid="{00000000-0005-0000-0000-000096C40000}"/>
    <cellStyle name="SAPBEXresItem 2 2 4" xfId="49908" xr:uid="{00000000-0005-0000-0000-000097C40000}"/>
    <cellStyle name="SAPBEXresItem 2 3" xfId="47173" xr:uid="{00000000-0005-0000-0000-000098C40000}"/>
    <cellStyle name="SAPBEXresItem 2 3 2" xfId="50465" xr:uid="{00000000-0005-0000-0000-000099C40000}"/>
    <cellStyle name="SAPBEXresItem 2 4" xfId="51637" xr:uid="{00000000-0005-0000-0000-00009AC40000}"/>
    <cellStyle name="SAPBEXresItem 2 5" xfId="49580"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41" xr:uid="{00000000-0005-0000-0000-0000A7C40000}"/>
    <cellStyle name="SAPBEXresItem 3 2 2" xfId="50827" xr:uid="{00000000-0005-0000-0000-0000A8C40000}"/>
    <cellStyle name="SAPBEXresItem 3 2 3" xfId="50988" xr:uid="{00000000-0005-0000-0000-0000A9C40000}"/>
    <cellStyle name="SAPBEXresItem 3 3" xfId="50438" xr:uid="{00000000-0005-0000-0000-0000AAC40000}"/>
    <cellStyle name="SAPBEXresItem 3 4" xfId="51183" xr:uid="{00000000-0005-0000-0000-0000ABC40000}"/>
    <cellStyle name="SAPBEXresItem 3 5" xfId="49613"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6" xr:uid="{00000000-0005-0000-0000-0000B0C40000}"/>
    <cellStyle name="SAPBEXresItem 4" xfId="47188" xr:uid="{00000000-0005-0000-0000-0000B1C40000}"/>
    <cellStyle name="SAPBEXresItem 4 2" xfId="50895" xr:uid="{00000000-0005-0000-0000-0000B2C40000}"/>
    <cellStyle name="SAPBEXresItem 4 3" xfId="50923" xr:uid="{00000000-0005-0000-0000-0000B3C40000}"/>
    <cellStyle name="SAPBEXresItem 4 4" xfId="49718" xr:uid="{00000000-0005-0000-0000-0000B4C40000}"/>
    <cellStyle name="SAPBEXresItem 5" xfId="47189" xr:uid="{00000000-0005-0000-0000-0000B5C40000}"/>
    <cellStyle name="SAPBEXresItem 5 2" xfId="51006" xr:uid="{00000000-0005-0000-0000-0000B6C40000}"/>
    <cellStyle name="SAPBEXresItem 5 3" xfId="51595" xr:uid="{00000000-0005-0000-0000-0000B7C40000}"/>
    <cellStyle name="SAPBEXresItem 5 4" xfId="49961" xr:uid="{00000000-0005-0000-0000-0000B8C40000}"/>
    <cellStyle name="SAPBEXresItem 6" xfId="47190" xr:uid="{00000000-0005-0000-0000-0000B9C40000}"/>
    <cellStyle name="SAPBEXresItem 6 2" xfId="50675" xr:uid="{00000000-0005-0000-0000-0000BAC40000}"/>
    <cellStyle name="SAPBEXresItem 7" xfId="47191" xr:uid="{00000000-0005-0000-0000-0000BBC40000}"/>
    <cellStyle name="SAPBEXresItem 7 2" xfId="50642"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6" xr:uid="{00000000-0005-0000-0000-0000CDC40000}"/>
    <cellStyle name="SAPBEXresItemX 2 2 3" xfId="51397" xr:uid="{00000000-0005-0000-0000-0000CEC40000}"/>
    <cellStyle name="SAPBEXresItemX 2 2 4" xfId="49909" xr:uid="{00000000-0005-0000-0000-0000CFC40000}"/>
    <cellStyle name="SAPBEXresItemX 2 3" xfId="47207" xr:uid="{00000000-0005-0000-0000-0000D0C40000}"/>
    <cellStyle name="SAPBEXresItemX 2 3 2" xfId="50464" xr:uid="{00000000-0005-0000-0000-0000D1C40000}"/>
    <cellStyle name="SAPBEXresItemX 2 4" xfId="50978" xr:uid="{00000000-0005-0000-0000-0000D2C40000}"/>
    <cellStyle name="SAPBEXresItemX 2 5" xfId="49581"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42" xr:uid="{00000000-0005-0000-0000-0000DFC40000}"/>
    <cellStyle name="SAPBEXresItemX 3 2 2" xfId="50077" xr:uid="{00000000-0005-0000-0000-0000E0C40000}"/>
    <cellStyle name="SAPBEXresItemX 3 2 3" xfId="50937" xr:uid="{00000000-0005-0000-0000-0000E1C40000}"/>
    <cellStyle name="SAPBEXresItemX 3 3" xfId="50437" xr:uid="{00000000-0005-0000-0000-0000E2C40000}"/>
    <cellStyle name="SAPBEXresItemX 3 4" xfId="51441" xr:uid="{00000000-0005-0000-0000-0000E3C40000}"/>
    <cellStyle name="SAPBEXresItemX 3 5" xfId="49614"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7" xr:uid="{00000000-0005-0000-0000-0000E8C40000}"/>
    <cellStyle name="SAPBEXresItemX 4" xfId="47222" xr:uid="{00000000-0005-0000-0000-0000E9C40000}"/>
    <cellStyle name="SAPBEXresItemX 4 2" xfId="50953" xr:uid="{00000000-0005-0000-0000-0000EAC40000}"/>
    <cellStyle name="SAPBEXresItemX 4 3" xfId="51439" xr:uid="{00000000-0005-0000-0000-0000EBC40000}"/>
    <cellStyle name="SAPBEXresItemX 4 4" xfId="49719" xr:uid="{00000000-0005-0000-0000-0000ECC40000}"/>
    <cellStyle name="SAPBEXresItemX 5" xfId="47223" xr:uid="{00000000-0005-0000-0000-0000EDC40000}"/>
    <cellStyle name="SAPBEXresItemX 5 2" xfId="51024" xr:uid="{00000000-0005-0000-0000-0000EEC40000}"/>
    <cellStyle name="SAPBEXresItemX 5 3" xfId="51610" xr:uid="{00000000-0005-0000-0000-0000EFC40000}"/>
    <cellStyle name="SAPBEXresItemX 5 4" xfId="49979" xr:uid="{00000000-0005-0000-0000-0000F0C40000}"/>
    <cellStyle name="SAPBEXresItemX 6" xfId="47224" xr:uid="{00000000-0005-0000-0000-0000F1C40000}"/>
    <cellStyle name="SAPBEXresItemX 6 2" xfId="50674" xr:uid="{00000000-0005-0000-0000-0000F2C40000}"/>
    <cellStyle name="SAPBEXresItemX 7" xfId="47225" xr:uid="{00000000-0005-0000-0000-0000F3C40000}"/>
    <cellStyle name="SAPBEXresItemX 7 2" xfId="51160"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5" xr:uid="{00000000-0005-0000-0000-000004C50000}"/>
    <cellStyle name="SAPBEXstdData 2 2 3" xfId="51668" xr:uid="{00000000-0005-0000-0000-000005C50000}"/>
    <cellStyle name="SAPBEXstdData 2 2 4" xfId="49910" xr:uid="{00000000-0005-0000-0000-000006C50000}"/>
    <cellStyle name="SAPBEXstdData 2 3" xfId="47240" xr:uid="{00000000-0005-0000-0000-000007C50000}"/>
    <cellStyle name="SAPBEXstdData 2 3 2" xfId="50463" xr:uid="{00000000-0005-0000-0000-000008C50000}"/>
    <cellStyle name="SAPBEXstdData 2 4" xfId="51251" xr:uid="{00000000-0005-0000-0000-000009C50000}"/>
    <cellStyle name="SAPBEXstdData 2 5" xfId="49582"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3" xr:uid="{00000000-0005-0000-0000-000016C50000}"/>
    <cellStyle name="SAPBEXstdData 3 2 2" xfId="50076" xr:uid="{00000000-0005-0000-0000-000017C50000}"/>
    <cellStyle name="SAPBEXstdData 3 2 3" xfId="50933" xr:uid="{00000000-0005-0000-0000-000018C50000}"/>
    <cellStyle name="SAPBEXstdData 3 3" xfId="50436" xr:uid="{00000000-0005-0000-0000-000019C50000}"/>
    <cellStyle name="SAPBEXstdData 3 4" xfId="51308" xr:uid="{00000000-0005-0000-0000-00001AC50000}"/>
    <cellStyle name="SAPBEXstdData 3 5" xfId="49615"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8" xr:uid="{00000000-0005-0000-0000-00001FC50000}"/>
    <cellStyle name="SAPBEXstdData 4" xfId="47255" xr:uid="{00000000-0005-0000-0000-000020C50000}"/>
    <cellStyle name="SAPBEXstdData 4 2" xfId="49956" xr:uid="{00000000-0005-0000-0000-000021C50000}"/>
    <cellStyle name="SAPBEXstdData 4 2 2" xfId="51001" xr:uid="{00000000-0005-0000-0000-000022C50000}"/>
    <cellStyle name="SAPBEXstdData 4 2 3" xfId="51291" xr:uid="{00000000-0005-0000-0000-000023C50000}"/>
    <cellStyle name="SAPBEXstdData 4 3" xfId="50428" xr:uid="{00000000-0005-0000-0000-000024C50000}"/>
    <cellStyle name="SAPBEXstdData 4 4" xfId="51513" xr:uid="{00000000-0005-0000-0000-000025C50000}"/>
    <cellStyle name="SAPBEXstdData 4 5" xfId="49628" xr:uid="{00000000-0005-0000-0000-000026C50000}"/>
    <cellStyle name="SAPBEXstdData 5" xfId="47256" xr:uid="{00000000-0005-0000-0000-000027C50000}"/>
    <cellStyle name="SAPBEXstdData 5 2" xfId="50880" xr:uid="{00000000-0005-0000-0000-000028C50000}"/>
    <cellStyle name="SAPBEXstdData 5 3" xfId="51373" xr:uid="{00000000-0005-0000-0000-000029C50000}"/>
    <cellStyle name="SAPBEXstdData 5 4" xfId="49720" xr:uid="{00000000-0005-0000-0000-00002AC50000}"/>
    <cellStyle name="SAPBEXstdData 6" xfId="47257" xr:uid="{00000000-0005-0000-0000-00002BC50000}"/>
    <cellStyle name="SAPBEXstdData 6 2" xfId="51023" xr:uid="{00000000-0005-0000-0000-00002CC50000}"/>
    <cellStyle name="SAPBEXstdData 6 3" xfId="51411" xr:uid="{00000000-0005-0000-0000-00002DC50000}"/>
    <cellStyle name="SAPBEXstdData 6 4" xfId="49978" xr:uid="{00000000-0005-0000-0000-00002EC50000}"/>
    <cellStyle name="SAPBEXstdData 7" xfId="47258" xr:uid="{00000000-0005-0000-0000-00002FC50000}"/>
    <cellStyle name="SAPBEXstdData 7 2" xfId="50673" xr:uid="{00000000-0005-0000-0000-000030C50000}"/>
    <cellStyle name="SAPBEXstdData 8" xfId="47259" xr:uid="{00000000-0005-0000-0000-000031C50000}"/>
    <cellStyle name="SAPBEXstdData 8 2" xfId="50918" xr:uid="{00000000-0005-0000-0000-000032C50000}"/>
    <cellStyle name="SAPBEXstdData 9" xfId="47260" xr:uid="{00000000-0005-0000-0000-000033C50000}"/>
    <cellStyle name="SAPBEXstdData 9 2" xfId="50871"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4" xr:uid="{00000000-0005-0000-0000-000043C50000}"/>
    <cellStyle name="SAPBEXstdDataEmph 2 2 3" xfId="51102" xr:uid="{00000000-0005-0000-0000-000044C50000}"/>
    <cellStyle name="SAPBEXstdDataEmph 2 2 4" xfId="49911" xr:uid="{00000000-0005-0000-0000-000045C50000}"/>
    <cellStyle name="SAPBEXstdDataEmph 2 3" xfId="47274" xr:uid="{00000000-0005-0000-0000-000046C50000}"/>
    <cellStyle name="SAPBEXstdDataEmph 2 3 2" xfId="50462" xr:uid="{00000000-0005-0000-0000-000047C50000}"/>
    <cellStyle name="SAPBEXstdDataEmph 2 4" xfId="51508" xr:uid="{00000000-0005-0000-0000-000048C50000}"/>
    <cellStyle name="SAPBEXstdDataEmph 2 5" xfId="49583"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4" xr:uid="{00000000-0005-0000-0000-000055C50000}"/>
    <cellStyle name="SAPBEXstdDataEmph 3 2 2" xfId="50075" xr:uid="{00000000-0005-0000-0000-000056C50000}"/>
    <cellStyle name="SAPBEXstdDataEmph 3 2 3" xfId="50857" xr:uid="{00000000-0005-0000-0000-000057C50000}"/>
    <cellStyle name="SAPBEXstdDataEmph 3 3" xfId="50435" xr:uid="{00000000-0005-0000-0000-000058C50000}"/>
    <cellStyle name="SAPBEXstdDataEmph 3 4" xfId="51565" xr:uid="{00000000-0005-0000-0000-000059C50000}"/>
    <cellStyle name="SAPBEXstdDataEmph 3 5" xfId="49616"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9" xr:uid="{00000000-0005-0000-0000-00005EC50000}"/>
    <cellStyle name="SAPBEXstdDataEmph 4" xfId="47289" xr:uid="{00000000-0005-0000-0000-00005FC50000}"/>
    <cellStyle name="SAPBEXstdDataEmph 4 2" xfId="49957" xr:uid="{00000000-0005-0000-0000-000060C50000}"/>
    <cellStyle name="SAPBEXstdDataEmph 4 2 2" xfId="51002" xr:uid="{00000000-0005-0000-0000-000061C50000}"/>
    <cellStyle name="SAPBEXstdDataEmph 4 2 3" xfId="51549" xr:uid="{00000000-0005-0000-0000-000062C50000}"/>
    <cellStyle name="SAPBEXstdDataEmph 4 3" xfId="50989" xr:uid="{00000000-0005-0000-0000-000063C50000}"/>
    <cellStyle name="SAPBEXstdDataEmph 4 4" xfId="51180" xr:uid="{00000000-0005-0000-0000-000064C50000}"/>
    <cellStyle name="SAPBEXstdDataEmph 4 5" xfId="49629" xr:uid="{00000000-0005-0000-0000-000065C50000}"/>
    <cellStyle name="SAPBEXstdDataEmph 5" xfId="47290" xr:uid="{00000000-0005-0000-0000-000066C50000}"/>
    <cellStyle name="SAPBEXstdDataEmph 5 2" xfId="50925" xr:uid="{00000000-0005-0000-0000-000067C50000}"/>
    <cellStyle name="SAPBEXstdDataEmph 5 3" xfId="51633" xr:uid="{00000000-0005-0000-0000-000068C50000}"/>
    <cellStyle name="SAPBEXstdDataEmph 5 4" xfId="49721" xr:uid="{00000000-0005-0000-0000-000069C50000}"/>
    <cellStyle name="SAPBEXstdDataEmph 6" xfId="47291" xr:uid="{00000000-0005-0000-0000-00006AC50000}"/>
    <cellStyle name="SAPBEXstdDataEmph 6 2" xfId="51022" xr:uid="{00000000-0005-0000-0000-00006BC50000}"/>
    <cellStyle name="SAPBEXstdDataEmph 6 3" xfId="51590" xr:uid="{00000000-0005-0000-0000-00006CC50000}"/>
    <cellStyle name="SAPBEXstdDataEmph 6 4" xfId="49977" xr:uid="{00000000-0005-0000-0000-00006DC50000}"/>
    <cellStyle name="SAPBEXstdDataEmph 7" xfId="47292" xr:uid="{00000000-0005-0000-0000-00006EC50000}"/>
    <cellStyle name="SAPBEXstdDataEmph 7 2" xfId="50672" xr:uid="{00000000-0005-0000-0000-00006FC50000}"/>
    <cellStyle name="SAPBEXstdDataEmph 8" xfId="47293" xr:uid="{00000000-0005-0000-0000-000070C50000}"/>
    <cellStyle name="SAPBEXstdDataEmph 8 2" xfId="50972" xr:uid="{00000000-0005-0000-0000-000071C50000}"/>
    <cellStyle name="SAPBEXstdDataEmph 9" xfId="47294" xr:uid="{00000000-0005-0000-0000-000072C50000}"/>
    <cellStyle name="SAPBEXstdDataEmph 9 2" xfId="51677"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3" xr:uid="{00000000-0005-0000-0000-000082C50000}"/>
    <cellStyle name="SAPBEXstdItem 2 2 3" xfId="51103" xr:uid="{00000000-0005-0000-0000-000083C50000}"/>
    <cellStyle name="SAPBEXstdItem 2 2 4" xfId="49912" xr:uid="{00000000-0005-0000-0000-000084C50000}"/>
    <cellStyle name="SAPBEXstdItem 2 3" xfId="47308" xr:uid="{00000000-0005-0000-0000-000085C50000}"/>
    <cellStyle name="SAPBEXstdItem 2 3 2" xfId="50461" xr:uid="{00000000-0005-0000-0000-000086C50000}"/>
    <cellStyle name="SAPBEXstdItem 2 4" xfId="51185" xr:uid="{00000000-0005-0000-0000-000087C50000}"/>
    <cellStyle name="SAPBEXstdItem 2 5" xfId="49584"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5" xr:uid="{00000000-0005-0000-0000-000094C50000}"/>
    <cellStyle name="SAPBEXstdItem 3 2 2" xfId="50826" xr:uid="{00000000-0005-0000-0000-000095C50000}"/>
    <cellStyle name="SAPBEXstdItem 3 2 3" xfId="51114" xr:uid="{00000000-0005-0000-0000-000096C50000}"/>
    <cellStyle name="SAPBEXstdItem 3 3" xfId="50434" xr:uid="{00000000-0005-0000-0000-000097C50000}"/>
    <cellStyle name="SAPBEXstdItem 3 4" xfId="51371" xr:uid="{00000000-0005-0000-0000-000098C50000}"/>
    <cellStyle name="SAPBEXstdItem 3 5" xfId="49617"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50" xr:uid="{00000000-0005-0000-0000-00009DC50000}"/>
    <cellStyle name="SAPBEXstdItem 4" xfId="47323" xr:uid="{00000000-0005-0000-0000-00009EC50000}"/>
    <cellStyle name="SAPBEXstdItem 4 2" xfId="49958" xr:uid="{00000000-0005-0000-0000-00009FC50000}"/>
    <cellStyle name="SAPBEXstdItem 4 2 2" xfId="51003" xr:uid="{00000000-0005-0000-0000-0000A0C50000}"/>
    <cellStyle name="SAPBEXstdItem 4 2 3" xfId="51322" xr:uid="{00000000-0005-0000-0000-0000A1C50000}"/>
    <cellStyle name="SAPBEXstdItem 4 3" xfId="50904" xr:uid="{00000000-0005-0000-0000-0000A2C50000}"/>
    <cellStyle name="SAPBEXstdItem 4 4" xfId="51438" xr:uid="{00000000-0005-0000-0000-0000A3C50000}"/>
    <cellStyle name="SAPBEXstdItem 4 5" xfId="49630" xr:uid="{00000000-0005-0000-0000-0000A4C50000}"/>
    <cellStyle name="SAPBEXstdItem 5" xfId="47324" xr:uid="{00000000-0005-0000-0000-0000A5C50000}"/>
    <cellStyle name="SAPBEXstdItem 5 2" xfId="50860" xr:uid="{00000000-0005-0000-0000-0000A6C50000}"/>
    <cellStyle name="SAPBEXstdItem 5 3" xfId="50892" xr:uid="{00000000-0005-0000-0000-0000A7C50000}"/>
    <cellStyle name="SAPBEXstdItem 5 4" xfId="49722" xr:uid="{00000000-0005-0000-0000-0000A8C50000}"/>
    <cellStyle name="SAPBEXstdItem 6" xfId="47325" xr:uid="{00000000-0005-0000-0000-0000A9C50000}"/>
    <cellStyle name="SAPBEXstdItem 6 2" xfId="51021" xr:uid="{00000000-0005-0000-0000-0000AAC50000}"/>
    <cellStyle name="SAPBEXstdItem 6 3" xfId="51335" xr:uid="{00000000-0005-0000-0000-0000ABC50000}"/>
    <cellStyle name="SAPBEXstdItem 6 4" xfId="49976" xr:uid="{00000000-0005-0000-0000-0000ACC50000}"/>
    <cellStyle name="SAPBEXstdItem 7" xfId="47326" xr:uid="{00000000-0005-0000-0000-0000ADC50000}"/>
    <cellStyle name="SAPBEXstdItem 7 2" xfId="50671" xr:uid="{00000000-0005-0000-0000-0000AEC50000}"/>
    <cellStyle name="SAPBEXstdItem 8" xfId="47327" xr:uid="{00000000-0005-0000-0000-0000AFC50000}"/>
    <cellStyle name="SAPBEXstdItem 8 2" xfId="50805" xr:uid="{00000000-0005-0000-0000-0000B0C50000}"/>
    <cellStyle name="SAPBEXstdItem 9" xfId="47328" xr:uid="{00000000-0005-0000-0000-0000B1C50000}"/>
    <cellStyle name="SAPBEXstdItem 9 2" xfId="50883"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102" xr:uid="{00000000-0005-0000-0000-0000C1C50000}"/>
    <cellStyle name="SAPBEXstdItemX 2 2 3" xfId="51104" xr:uid="{00000000-0005-0000-0000-0000C2C50000}"/>
    <cellStyle name="SAPBEXstdItemX 2 2 4" xfId="49913" xr:uid="{00000000-0005-0000-0000-0000C3C50000}"/>
    <cellStyle name="SAPBEXstdItemX 2 3" xfId="47342" xr:uid="{00000000-0005-0000-0000-0000C4C50000}"/>
    <cellStyle name="SAPBEXstdItemX 2 3 2" xfId="50460" xr:uid="{00000000-0005-0000-0000-0000C5C50000}"/>
    <cellStyle name="SAPBEXstdItemX 2 4" xfId="51443" xr:uid="{00000000-0005-0000-0000-0000C6C50000}"/>
    <cellStyle name="SAPBEXstdItemX 2 5" xfId="49585"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6" xr:uid="{00000000-0005-0000-0000-0000D3C50000}"/>
    <cellStyle name="SAPBEXstdItemX 3 2 2" xfId="50074" xr:uid="{00000000-0005-0000-0000-0000D4C50000}"/>
    <cellStyle name="SAPBEXstdItemX 3 2 3" xfId="51290" xr:uid="{00000000-0005-0000-0000-0000D5C50000}"/>
    <cellStyle name="SAPBEXstdItemX 3 3" xfId="50057" xr:uid="{00000000-0005-0000-0000-0000D6C50000}"/>
    <cellStyle name="SAPBEXstdItemX 3 4" xfId="51635" xr:uid="{00000000-0005-0000-0000-0000D7C50000}"/>
    <cellStyle name="SAPBEXstdItemX 3 5" xfId="49618"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51" xr:uid="{00000000-0005-0000-0000-0000DCC50000}"/>
    <cellStyle name="SAPBEXstdItemX 4" xfId="47357" xr:uid="{00000000-0005-0000-0000-0000DDC50000}"/>
    <cellStyle name="SAPBEXstdItemX 4 2" xfId="50272" xr:uid="{00000000-0005-0000-0000-0000DEC50000}"/>
    <cellStyle name="SAPBEXstdItemX 4 3" xfId="50645" xr:uid="{00000000-0005-0000-0000-0000DFC50000}"/>
    <cellStyle name="SAPBEXstdItemX 4 4" xfId="49723" xr:uid="{00000000-0005-0000-0000-0000E0C50000}"/>
    <cellStyle name="SAPBEXstdItemX 5" xfId="47358" xr:uid="{00000000-0005-0000-0000-0000E1C50000}"/>
    <cellStyle name="SAPBEXstdItemX 5 2" xfId="51020" xr:uid="{00000000-0005-0000-0000-0000E2C50000}"/>
    <cellStyle name="SAPBEXstdItemX 5 3" xfId="51581" xr:uid="{00000000-0005-0000-0000-0000E3C50000}"/>
    <cellStyle name="SAPBEXstdItemX 5 4" xfId="49975" xr:uid="{00000000-0005-0000-0000-0000E4C50000}"/>
    <cellStyle name="SAPBEXstdItemX 6" xfId="47359" xr:uid="{00000000-0005-0000-0000-0000E5C50000}"/>
    <cellStyle name="SAPBEXstdItemX 6 2" xfId="50670" xr:uid="{00000000-0005-0000-0000-0000E6C50000}"/>
    <cellStyle name="SAPBEXstdItemX 7" xfId="47360" xr:uid="{00000000-0005-0000-0000-0000E7C50000}"/>
    <cellStyle name="SAPBEXstdItemX 7 2" xfId="50806"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101" xr:uid="{00000000-0005-0000-0000-0000EEC50000}"/>
    <cellStyle name="SAPBEXtitle 2 2 3" xfId="51105" xr:uid="{00000000-0005-0000-0000-0000EFC50000}"/>
    <cellStyle name="SAPBEXtitle 2 2 4" xfId="49914" xr:uid="{00000000-0005-0000-0000-0000F0C50000}"/>
    <cellStyle name="SAPBEXtitle 2 3" xfId="50459" xr:uid="{00000000-0005-0000-0000-0000F1C50000}"/>
    <cellStyle name="SAPBEXtitle 2 4" xfId="51369" xr:uid="{00000000-0005-0000-0000-0000F2C50000}"/>
    <cellStyle name="SAPBEXtitle 2 5" xfId="49586" xr:uid="{00000000-0005-0000-0000-0000F3C50000}"/>
    <cellStyle name="SAPBEXtitle 3" xfId="49619" xr:uid="{00000000-0005-0000-0000-0000F4C50000}"/>
    <cellStyle name="SAPBEXtitle 3 2" xfId="49947" xr:uid="{00000000-0005-0000-0000-0000F5C50000}"/>
    <cellStyle name="SAPBEXtitle 3 2 2" xfId="50073" xr:uid="{00000000-0005-0000-0000-0000F6C50000}"/>
    <cellStyle name="SAPBEXtitle 3 2 3" xfId="51548" xr:uid="{00000000-0005-0000-0000-0000F7C50000}"/>
    <cellStyle name="SAPBEXtitle 3 3" xfId="50433" xr:uid="{00000000-0005-0000-0000-0000F8C50000}"/>
    <cellStyle name="SAPBEXtitle 3 4" xfId="51140" xr:uid="{00000000-0005-0000-0000-0000F9C50000}"/>
    <cellStyle name="SAPBEXtitle 4" xfId="49724" xr:uid="{00000000-0005-0000-0000-0000FAC50000}"/>
    <cellStyle name="SAPBEXtitle 4 2" xfId="50974" xr:uid="{00000000-0005-0000-0000-0000FBC50000}"/>
    <cellStyle name="SAPBEXtitle 4 3" xfId="51265" xr:uid="{00000000-0005-0000-0000-0000FCC50000}"/>
    <cellStyle name="SAPBEXtitle 5" xfId="49974" xr:uid="{00000000-0005-0000-0000-0000FDC50000}"/>
    <cellStyle name="SAPBEXtitle 5 2" xfId="51019" xr:uid="{00000000-0005-0000-0000-0000FEC50000}"/>
    <cellStyle name="SAPBEXtitle 5 3" xfId="51324" xr:uid="{00000000-0005-0000-0000-0000FFC50000}"/>
    <cellStyle name="SAPBEXtitle 6" xfId="50669" xr:uid="{00000000-0005-0000-0000-000000C60000}"/>
    <cellStyle name="SAPBEXtitle 7" xfId="50874" xr:uid="{00000000-0005-0000-0000-000001C60000}"/>
    <cellStyle name="SAPBEXtitle 8" xfId="49352"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3"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100" xr:uid="{00000000-0005-0000-0000-0000ECC60000}"/>
    <cellStyle name="SAPBEXundefined 2 2 3" xfId="47596" xr:uid="{00000000-0005-0000-0000-0000EDC60000}"/>
    <cellStyle name="SAPBEXundefined 2 2 3 2" xfId="51152" xr:uid="{00000000-0005-0000-0000-0000EEC60000}"/>
    <cellStyle name="SAPBEXundefined 2 2 4" xfId="49915" xr:uid="{00000000-0005-0000-0000-0000EFC60000}"/>
    <cellStyle name="SAPBEXundefined 2 3" xfId="47597" xr:uid="{00000000-0005-0000-0000-0000F0C60000}"/>
    <cellStyle name="SAPBEXundefined 2 3 2" xfId="47598" xr:uid="{00000000-0005-0000-0000-0000F1C60000}"/>
    <cellStyle name="SAPBEXundefined 2 3 3" xfId="50458" xr:uid="{00000000-0005-0000-0000-0000F2C60000}"/>
    <cellStyle name="SAPBEXundefined 2 4" xfId="47599" xr:uid="{00000000-0005-0000-0000-0000F3C60000}"/>
    <cellStyle name="SAPBEXundefined 2 4 2" xfId="51636" xr:uid="{00000000-0005-0000-0000-0000F4C60000}"/>
    <cellStyle name="SAPBEXundefined 2 5" xfId="49587"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3" xr:uid="{00000000-0005-0000-0000-000002C70000}"/>
    <cellStyle name="SAPBEXundefined 3 2 3" xfId="51321" xr:uid="{00000000-0005-0000-0000-000003C70000}"/>
    <cellStyle name="SAPBEXundefined 3 2 4" xfId="49948" xr:uid="{00000000-0005-0000-0000-000004C70000}"/>
    <cellStyle name="SAPBEXundefined 3 3" xfId="47612" xr:uid="{00000000-0005-0000-0000-000005C70000}"/>
    <cellStyle name="SAPBEXundefined 3 3 2" xfId="50432" xr:uid="{00000000-0005-0000-0000-000006C70000}"/>
    <cellStyle name="SAPBEXundefined 3 4" xfId="50939" xr:uid="{00000000-0005-0000-0000-000007C70000}"/>
    <cellStyle name="SAPBEXundefined 3 5" xfId="49620"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4" xr:uid="{00000000-0005-0000-0000-00000CC70000}"/>
    <cellStyle name="SAPBEXundefined 4" xfId="47616" xr:uid="{00000000-0005-0000-0000-00000DC70000}"/>
    <cellStyle name="SAPBEXundefined 4 2" xfId="47617" xr:uid="{00000000-0005-0000-0000-00000EC70000}"/>
    <cellStyle name="SAPBEXundefined 4 2 2" xfId="51004" xr:uid="{00000000-0005-0000-0000-00000FC70000}"/>
    <cellStyle name="SAPBEXundefined 4 2 3" xfId="51579" xr:uid="{00000000-0005-0000-0000-000010C70000}"/>
    <cellStyle name="SAPBEXundefined 4 2 4" xfId="49959" xr:uid="{00000000-0005-0000-0000-000011C70000}"/>
    <cellStyle name="SAPBEXundefined 4 3" xfId="50929" xr:uid="{00000000-0005-0000-0000-000012C70000}"/>
    <cellStyle name="SAPBEXundefined 4 4" xfId="50822" xr:uid="{00000000-0005-0000-0000-000013C70000}"/>
    <cellStyle name="SAPBEXundefined 4 5" xfId="49631" xr:uid="{00000000-0005-0000-0000-000014C70000}"/>
    <cellStyle name="SAPBEXundefined 5" xfId="47618" xr:uid="{00000000-0005-0000-0000-000015C70000}"/>
    <cellStyle name="SAPBEXundefined 5 2" xfId="50901" xr:uid="{00000000-0005-0000-0000-000016C70000}"/>
    <cellStyle name="SAPBEXundefined 5 3" xfId="51523" xr:uid="{00000000-0005-0000-0000-000017C70000}"/>
    <cellStyle name="SAPBEXundefined 5 4" xfId="49725" xr:uid="{00000000-0005-0000-0000-000018C70000}"/>
    <cellStyle name="SAPBEXundefined 6" xfId="47619" xr:uid="{00000000-0005-0000-0000-000019C70000}"/>
    <cellStyle name="SAPBEXundefined 6 2" xfId="51018" xr:uid="{00000000-0005-0000-0000-00001AC70000}"/>
    <cellStyle name="SAPBEXundefined 6 3" xfId="51551" xr:uid="{00000000-0005-0000-0000-00001BC70000}"/>
    <cellStyle name="SAPBEXundefined 6 4" xfId="49973" xr:uid="{00000000-0005-0000-0000-00001CC70000}"/>
    <cellStyle name="SAPBEXundefined 7" xfId="47620" xr:uid="{00000000-0005-0000-0000-00001DC70000}"/>
    <cellStyle name="SAPBEXundefined 7 2" xfId="50668" xr:uid="{00000000-0005-0000-0000-00001EC70000}"/>
    <cellStyle name="SAPBEXundefined 8" xfId="47621" xr:uid="{00000000-0005-0000-0000-00001FC70000}"/>
    <cellStyle name="SAPBEXundefined 8 2" xfId="51148" xr:uid="{00000000-0005-0000-0000-000020C70000}"/>
    <cellStyle name="SAPBEXundefined 9" xfId="47622" xr:uid="{00000000-0005-0000-0000-000021C70000}"/>
    <cellStyle name="SAPBEXundefined 9 2" xfId="51686"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5"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6"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8" xr:uid="{00000000-0005-0000-0000-0000DCC70000}"/>
    <cellStyle name="Sub-total 2 2" xfId="49916" xr:uid="{00000000-0005-0000-0000-0000DDC70000}"/>
    <cellStyle name="Sub-total 2 2 2" xfId="50099" xr:uid="{00000000-0005-0000-0000-0000DEC70000}"/>
    <cellStyle name="Sub-total 2 2 3" xfId="51106" xr:uid="{00000000-0005-0000-0000-0000DFC70000}"/>
    <cellStyle name="Sub-total 2 3" xfId="50457" xr:uid="{00000000-0005-0000-0000-0000E0C70000}"/>
    <cellStyle name="Sub-total 2 4" xfId="50811" xr:uid="{00000000-0005-0000-0000-0000E1C70000}"/>
    <cellStyle name="Sub-total 3" xfId="49621" xr:uid="{00000000-0005-0000-0000-0000E2C70000}"/>
    <cellStyle name="Sub-total 3 2" xfId="49949" xr:uid="{00000000-0005-0000-0000-0000E3C70000}"/>
    <cellStyle name="Sub-total 3 2 2" xfId="50994" xr:uid="{00000000-0005-0000-0000-0000E4C70000}"/>
    <cellStyle name="Sub-total 3 2 3" xfId="51578" xr:uid="{00000000-0005-0000-0000-0000E5C70000}"/>
    <cellStyle name="Sub-total 3 3" xfId="50431" xr:uid="{00000000-0005-0000-0000-0000E6C70000}"/>
    <cellStyle name="Sub-total 3 4" xfId="51138" xr:uid="{00000000-0005-0000-0000-0000E7C70000}"/>
    <cellStyle name="Sub-total 4" xfId="49726" xr:uid="{00000000-0005-0000-0000-0000E8C70000}"/>
    <cellStyle name="Sub-total 4 2" xfId="50967" xr:uid="{00000000-0005-0000-0000-0000E9C70000}"/>
    <cellStyle name="Sub-total 4 3" xfId="51172" xr:uid="{00000000-0005-0000-0000-0000EAC70000}"/>
    <cellStyle name="Sub-total 5" xfId="49972" xr:uid="{00000000-0005-0000-0000-0000EBC70000}"/>
    <cellStyle name="Sub-total 5 2" xfId="51017" xr:uid="{00000000-0005-0000-0000-0000ECC70000}"/>
    <cellStyle name="Sub-total 5 3" xfId="51293" xr:uid="{00000000-0005-0000-0000-0000EDC70000}"/>
    <cellStyle name="Sub-total 6" xfId="50664" xr:uid="{00000000-0005-0000-0000-0000EEC70000}"/>
    <cellStyle name="Sub-total 7" xfId="50959" xr:uid="{00000000-0005-0000-0000-0000EFC70000}"/>
    <cellStyle name="Sub-total 8" xfId="49357"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8"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9"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60"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600" xr:uid="{00000000-0005-0000-0000-000050C80000}"/>
    <cellStyle name="Total 1 2 2 2" xfId="47897" xr:uid="{00000000-0005-0000-0000-000051C80000}"/>
    <cellStyle name="Total 1 2 2 2 2" xfId="47898" xr:uid="{00000000-0005-0000-0000-000052C80000}"/>
    <cellStyle name="Total 1 2 2 2 2 2" xfId="50089" xr:uid="{00000000-0005-0000-0000-000053C80000}"/>
    <cellStyle name="Total 1 2 2 2 3" xfId="47899" xr:uid="{00000000-0005-0000-0000-000054C80000}"/>
    <cellStyle name="Total 1 2 2 2 3 2" xfId="51158" xr:uid="{00000000-0005-0000-0000-000055C80000}"/>
    <cellStyle name="Total 1 2 2 2 4" xfId="49928"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5"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51"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1000" xr:uid="{00000000-0005-0000-0000-000070C80000}"/>
    <cellStyle name="Total 1 2 3 2 3" xfId="51116" xr:uid="{00000000-0005-0000-0000-000071C80000}"/>
    <cellStyle name="Total 1 2 3 2 4" xfId="49955" xr:uid="{00000000-0005-0000-0000-000072C80000}"/>
    <cellStyle name="Total 1 2 3 3" xfId="47923" xr:uid="{00000000-0005-0000-0000-000073C80000}"/>
    <cellStyle name="Total 1 2 3 3 2" xfId="50059" xr:uid="{00000000-0005-0000-0000-000074C80000}"/>
    <cellStyle name="Total 1 2 3 4" xfId="51256" xr:uid="{00000000-0005-0000-0000-000075C80000}"/>
    <cellStyle name="Total 1 2 3 5" xfId="49627" xr:uid="{00000000-0005-0000-0000-000076C80000}"/>
    <cellStyle name="Total 1 2 30" xfId="47924" xr:uid="{00000000-0005-0000-0000-000077C80000}"/>
    <cellStyle name="Total 1 2 31" xfId="49398" xr:uid="{00000000-0005-0000-0000-000078C80000}"/>
    <cellStyle name="Total 1 2 4" xfId="47925" xr:uid="{00000000-0005-0000-0000-000079C80000}"/>
    <cellStyle name="Total 1 2 4 2" xfId="47926" xr:uid="{00000000-0005-0000-0000-00007AC80000}"/>
    <cellStyle name="Total 1 2 4 2 2" xfId="50881" xr:uid="{00000000-0005-0000-0000-00007BC80000}"/>
    <cellStyle name="Total 1 2 4 3" xfId="47927" xr:uid="{00000000-0005-0000-0000-00007CC80000}"/>
    <cellStyle name="Total 1 2 4 3 2" xfId="51625" xr:uid="{00000000-0005-0000-0000-00007DC80000}"/>
    <cellStyle name="Total 1 2 4 4" xfId="49729"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3" xr:uid="{00000000-0005-0000-0000-000082C80000}"/>
    <cellStyle name="Total 1 2 6" xfId="47931" xr:uid="{00000000-0005-0000-0000-000083C80000}"/>
    <cellStyle name="Total 1 2 6 2" xfId="51221"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61"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8" xr:uid="{00000000-0005-0000-0000-00005BC90000}"/>
    <cellStyle name="Total 2 2 2 3" xfId="51153" xr:uid="{00000000-0005-0000-0000-00005CC90000}"/>
    <cellStyle name="Total 2 2 2 4" xfId="49917" xr:uid="{00000000-0005-0000-0000-00005DC90000}"/>
    <cellStyle name="Total 2 2 3" xfId="48145" xr:uid="{00000000-0005-0000-0000-00005EC90000}"/>
    <cellStyle name="Total 2 2 3 2" xfId="50456" xr:uid="{00000000-0005-0000-0000-00005FC90000}"/>
    <cellStyle name="Total 2 2 4" xfId="51252" xr:uid="{00000000-0005-0000-0000-000060C90000}"/>
    <cellStyle name="Total 2 2 5" xfId="49589"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5" xr:uid="{00000000-0005-0000-0000-00006EC90000}"/>
    <cellStyle name="Total 2 3 2 3" xfId="51408" xr:uid="{00000000-0005-0000-0000-00006FC90000}"/>
    <cellStyle name="Total 2 3 2 4" xfId="49950" xr:uid="{00000000-0005-0000-0000-000070C90000}"/>
    <cellStyle name="Total 2 3 3" xfId="48158" xr:uid="{00000000-0005-0000-0000-000071C90000}"/>
    <cellStyle name="Total 2 3 3 2" xfId="50430" xr:uid="{00000000-0005-0000-0000-000072C90000}"/>
    <cellStyle name="Total 2 3 4" xfId="50791" xr:uid="{00000000-0005-0000-0000-000073C90000}"/>
    <cellStyle name="Total 2 3 5" xfId="49622"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6" xr:uid="{00000000-0005-0000-0000-000080C90000}"/>
    <cellStyle name="Total 2 4 3" xfId="51431" xr:uid="{00000000-0005-0000-0000-000081C90000}"/>
    <cellStyle name="Total 2 4 4" xfId="49727"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62" xr:uid="{00000000-0005-0000-0000-00008CC90000}"/>
    <cellStyle name="Total 2 5" xfId="48179" xr:uid="{00000000-0005-0000-0000-00008DC90000}"/>
    <cellStyle name="Total 2 5 2" xfId="51016" xr:uid="{00000000-0005-0000-0000-00008EC90000}"/>
    <cellStyle name="Total 2 5 3" xfId="51118" xr:uid="{00000000-0005-0000-0000-00008FC90000}"/>
    <cellStyle name="Total 2 5 4" xfId="49971" xr:uid="{00000000-0005-0000-0000-000090C90000}"/>
    <cellStyle name="Total 2 6" xfId="48180" xr:uid="{00000000-0005-0000-0000-000091C90000}"/>
    <cellStyle name="Total 2 6 2" xfId="50661" xr:uid="{00000000-0005-0000-0000-000092C90000}"/>
    <cellStyle name="Total 2 7" xfId="48181" xr:uid="{00000000-0005-0000-0000-000093C90000}"/>
    <cellStyle name="Total 2 7 2" xfId="50807"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8" xr:uid="{00000000-0005-0000-0000-000099C90000}"/>
    <cellStyle name="Total 3 2 2 2" xfId="50097" xr:uid="{00000000-0005-0000-0000-00009AC90000}"/>
    <cellStyle name="Total 3 2 2 3" xfId="51107" xr:uid="{00000000-0005-0000-0000-00009BC90000}"/>
    <cellStyle name="Total 3 2 3" xfId="50455" xr:uid="{00000000-0005-0000-0000-00009CC90000}"/>
    <cellStyle name="Total 3 2 4" xfId="51509" xr:uid="{00000000-0005-0000-0000-00009DC90000}"/>
    <cellStyle name="Total 3 2 5" xfId="49590" xr:uid="{00000000-0005-0000-0000-00009EC90000}"/>
    <cellStyle name="Total 3 3" xfId="48186" xr:uid="{00000000-0005-0000-0000-00009FC90000}"/>
    <cellStyle name="Total 3 3 2" xfId="49951" xr:uid="{00000000-0005-0000-0000-0000A0C90000}"/>
    <cellStyle name="Total 3 3 2 2" xfId="50996" xr:uid="{00000000-0005-0000-0000-0000A1C90000}"/>
    <cellStyle name="Total 3 3 2 3" xfId="51596" xr:uid="{00000000-0005-0000-0000-0000A2C90000}"/>
    <cellStyle name="Total 3 3 3" xfId="50429" xr:uid="{00000000-0005-0000-0000-0000A3C90000}"/>
    <cellStyle name="Total 3 3 4" xfId="50855" xr:uid="{00000000-0005-0000-0000-0000A4C90000}"/>
    <cellStyle name="Total 3 3 5" xfId="49623" xr:uid="{00000000-0005-0000-0000-0000A5C90000}"/>
    <cellStyle name="Total 3 4" xfId="49728" xr:uid="{00000000-0005-0000-0000-0000A6C90000}"/>
    <cellStyle name="Total 3 4 2" xfId="50954" xr:uid="{00000000-0005-0000-0000-0000A7C90000}"/>
    <cellStyle name="Total 3 4 3" xfId="51384" xr:uid="{00000000-0005-0000-0000-0000A8C90000}"/>
    <cellStyle name="Total 3 5" xfId="49970" xr:uid="{00000000-0005-0000-0000-0000A9C90000}"/>
    <cellStyle name="Total 3 5 2" xfId="51015" xr:uid="{00000000-0005-0000-0000-0000AAC90000}"/>
    <cellStyle name="Total 3 5 3" xfId="51611" xr:uid="{00000000-0005-0000-0000-0000ABC90000}"/>
    <cellStyle name="Total 3 6" xfId="50660" xr:uid="{00000000-0005-0000-0000-0000ACC90000}"/>
    <cellStyle name="Total 3 7" xfId="51149" xr:uid="{00000000-0005-0000-0000-0000ADC90000}"/>
    <cellStyle name="Total 3 8" xfId="49363"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4"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5" xr:uid="{00000000-0005-0000-0000-0000DEC90000}"/>
    <cellStyle name="Yellow" xfId="48233" xr:uid="{00000000-0005-0000-0000-0000DFC90000}"/>
    <cellStyle name="Yellow 2" xfId="49367" xr:uid="{00000000-0005-0000-0000-0000E0C90000}"/>
    <cellStyle name="Yellow 2 2" xfId="49368" xr:uid="{00000000-0005-0000-0000-0000E1C90000}"/>
    <cellStyle name="Yellow 2 3" xfId="49369" xr:uid="{00000000-0005-0000-0000-0000E2C90000}"/>
    <cellStyle name="Yellow 2 4" xfId="49370" xr:uid="{00000000-0005-0000-0000-0000E3C90000}"/>
    <cellStyle name="Yellow 2 5" xfId="49371" xr:uid="{00000000-0005-0000-0000-0000E4C90000}"/>
    <cellStyle name="Yellow 2 6" xfId="49372" xr:uid="{00000000-0005-0000-0000-0000E5C90000}"/>
    <cellStyle name="Yellow 2 7" xfId="49373" xr:uid="{00000000-0005-0000-0000-0000E6C90000}"/>
    <cellStyle name="Yellow 2 8" xfId="49374" xr:uid="{00000000-0005-0000-0000-0000E7C90000}"/>
    <cellStyle name="Yellow 3" xfId="49366" xr:uid="{00000000-0005-0000-0000-0000E8C90000}"/>
  </cellStyles>
  <dxfs count="107">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Up"/>
      </fill>
    </dxf>
    <dxf>
      <fill>
        <patternFill patternType="lightUp"/>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font>
        <color auto="1"/>
      </font>
      <fill>
        <patternFill>
          <bgColor theme="5" tint="0.59996337778862885"/>
        </patternFill>
      </fill>
    </dxf>
    <dxf>
      <fill>
        <patternFill patternType="lightDown"/>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border>
        <right style="thin">
          <color auto="1"/>
        </right>
        <vertical/>
        <horizontal/>
      </border>
    </dxf>
    <dxf>
      <fill>
        <patternFill patternType="lightDown">
          <bgColor theme="0" tint="-4.9989318521683403E-2"/>
        </patternFill>
      </fill>
    </dxf>
    <dxf>
      <fill>
        <patternFill patternType="lightDown">
          <bgColor theme="0" tint="-4.9989318521683403E-2"/>
        </patternFill>
      </fill>
    </dxf>
    <dxf>
      <fill>
        <patternFill patternType="lightDown">
          <bgColor theme="0" tint="-4.9989318521683403E-2"/>
        </patternFill>
      </fill>
    </dxf>
    <dxf>
      <fill>
        <patternFill patternType="lightDown">
          <bgColor theme="0" tint="-4.9989318521683403E-2"/>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border>
        <right style="thin">
          <color auto="1"/>
        </right>
        <vertical/>
        <horizontal/>
      </border>
    </dxf>
    <dxf>
      <border>
        <right style="thin">
          <color auto="1"/>
        </right>
        <vertical/>
        <horizontal/>
      </border>
    </dxf>
    <dxf>
      <fill>
        <patternFill>
          <fgColor auto="1"/>
          <bgColor theme="7" tint="0.79998168889431442"/>
        </patternFill>
      </fill>
    </dxf>
    <dxf>
      <fill>
        <patternFill patternType="lightDown"/>
      </fill>
    </dxf>
    <dxf>
      <fill>
        <patternFill patternType="darkUp">
          <fgColor rgb="FFC0C0C0"/>
        </patternFill>
      </fill>
    </dxf>
    <dxf>
      <fill>
        <patternFill patternType="lightDown"/>
      </fill>
    </dxf>
    <dxf>
      <fill>
        <patternFill patternType="lightDown"/>
      </fill>
    </dxf>
    <dxf>
      <fill>
        <patternFill patternType="lightDown"/>
      </fill>
    </dxf>
    <dxf>
      <fill>
        <patternFill patternType="darkUp">
          <fgColor rgb="FFC0C0C0"/>
        </patternFill>
      </fill>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CC99"/>
      <color rgb="FFCCFFCC"/>
      <color rgb="FFFFFFAB"/>
      <color rgb="FFC0C0C0"/>
      <color rgb="FFFFFFCC"/>
      <color rgb="FFCCFFFF"/>
      <color rgb="FFCCECFF"/>
      <color rgb="FFFFFF99"/>
      <color rgb="FF99CCFF"/>
      <color rgb="FFFFF4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 Id="rId30"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vmlDrawing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2200560</xdr:colOff>
      <xdr:row>1</xdr:row>
      <xdr:rowOff>1810</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1058487</xdr:colOff>
      <xdr:row>0</xdr:row>
      <xdr:rowOff>564509</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0</xdr:colOff>
      <xdr:row>1</xdr:row>
      <xdr:rowOff>0</xdr:rowOff>
    </xdr:from>
    <xdr:to>
      <xdr:col>5</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0</xdr:colOff>
      <xdr:row>2</xdr:row>
      <xdr:rowOff>0</xdr:rowOff>
    </xdr:from>
    <xdr:to>
      <xdr:col>4</xdr:col>
      <xdr:colOff>809625</xdr:colOff>
      <xdr:row>3</xdr:row>
      <xdr:rowOff>25401</xdr:rowOff>
    </xdr:to>
    <xdr:sp macro="" textlink="">
      <xdr:nvSpPr>
        <xdr:cNvPr id="2" name="Rounded Rectangle 2">
          <a:hlinkClick xmlns:r="http://schemas.openxmlformats.org/officeDocument/2006/relationships" r:id="rId1"/>
          <a:extLst>
            <a:ext uri="{FF2B5EF4-FFF2-40B4-BE49-F238E27FC236}">
              <a16:creationId xmlns:a16="http://schemas.microsoft.com/office/drawing/2014/main" id="{6488A38D-FE22-47D2-905B-E14089489FE9}"/>
            </a:ext>
          </a:extLst>
        </xdr:cNvPr>
        <xdr:cNvSpPr/>
      </xdr:nvSpPr>
      <xdr:spPr>
        <a:xfrm>
          <a:off x="10239375" y="514350"/>
          <a:ext cx="80645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5415642</xdr:colOff>
      <xdr:row>0</xdr:row>
      <xdr:rowOff>217714</xdr:rowOff>
    </xdr:from>
    <xdr:to>
      <xdr:col>1</xdr:col>
      <xdr:colOff>782410</xdr:colOff>
      <xdr:row>2</xdr:row>
      <xdr:rowOff>21545</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91966258-39EB-459B-A6D7-27A6A4D6E42B}"/>
            </a:ext>
          </a:extLst>
        </xdr:cNvPr>
        <xdr:cNvSpPr/>
      </xdr:nvSpPr>
      <xdr:spPr>
        <a:xfrm>
          <a:off x="5415642" y="217714"/>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0</xdr:colOff>
      <xdr:row>0</xdr:row>
      <xdr:rowOff>201705</xdr:rowOff>
    </xdr:from>
    <xdr:to>
      <xdr:col>8</xdr:col>
      <xdr:colOff>439831</xdr:colOff>
      <xdr:row>2</xdr:row>
      <xdr:rowOff>2334</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DAA7F3A1-5FF9-4631-A1BB-16B8A1777052}"/>
            </a:ext>
          </a:extLst>
        </xdr:cNvPr>
        <xdr:cNvSpPr/>
      </xdr:nvSpPr>
      <xdr:spPr>
        <a:xfrm>
          <a:off x="6208059" y="201705"/>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0</xdr:colOff>
      <xdr:row>1</xdr:row>
      <xdr:rowOff>0</xdr:rowOff>
    </xdr:from>
    <xdr:to>
      <xdr:col>8</xdr:col>
      <xdr:colOff>809625</xdr:colOff>
      <xdr:row>2</xdr:row>
      <xdr:rowOff>27550</xdr:rowOff>
    </xdr:to>
    <xdr:sp macro="" textlink="">
      <xdr:nvSpPr>
        <xdr:cNvPr id="2" name="Rounded Rectangle 3">
          <a:hlinkClick xmlns:r="http://schemas.openxmlformats.org/officeDocument/2006/relationships" r:id="rId1"/>
          <a:extLst>
            <a:ext uri="{FF2B5EF4-FFF2-40B4-BE49-F238E27FC236}">
              <a16:creationId xmlns:a16="http://schemas.microsoft.com/office/drawing/2014/main" id="{2B8186A8-6715-45CF-98B4-93422622735B}"/>
            </a:ext>
          </a:extLst>
        </xdr:cNvPr>
        <xdr:cNvSpPr/>
      </xdr:nvSpPr>
      <xdr:spPr>
        <a:xfrm>
          <a:off x="8401050" y="257175"/>
          <a:ext cx="809625" cy="284725"/>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11</xdr:col>
      <xdr:colOff>628649</xdr:colOff>
      <xdr:row>1</xdr:row>
      <xdr:rowOff>0</xdr:rowOff>
    </xdr:from>
    <xdr:to>
      <xdr:col>13</xdr:col>
      <xdr:colOff>161924</xdr:colOff>
      <xdr:row>2</xdr:row>
      <xdr:rowOff>30952</xdr:rowOff>
    </xdr:to>
    <xdr:sp macro="" textlink="">
      <xdr:nvSpPr>
        <xdr:cNvPr id="2" name="Rounded Rectangle 4">
          <a:hlinkClick xmlns:r="http://schemas.openxmlformats.org/officeDocument/2006/relationships" r:id="rId1"/>
          <a:extLst>
            <a:ext uri="{FF2B5EF4-FFF2-40B4-BE49-F238E27FC236}">
              <a16:creationId xmlns:a16="http://schemas.microsoft.com/office/drawing/2014/main" id="{8AE2CFA5-CBFE-41D8-B9F9-604866512C83}"/>
            </a:ext>
          </a:extLst>
        </xdr:cNvPr>
        <xdr:cNvSpPr/>
      </xdr:nvSpPr>
      <xdr:spPr>
        <a:xfrm>
          <a:off x="6410324" y="257175"/>
          <a:ext cx="790575" cy="288127"/>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2.bin"/><Relationship Id="rId1" Type="http://schemas.openxmlformats.org/officeDocument/2006/relationships/printerSettings" Target="../printerSettings/printerSettings12.bin"/><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customProperty" Target="../customProperty18.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9.bin"/><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customProperty" Target="../customProperty20.bin"/><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J87"/>
  <sheetViews>
    <sheetView tabSelected="1" zoomScaleNormal="100" workbookViewId="0">
      <selection activeCell="F6" sqref="F6"/>
    </sheetView>
  </sheetViews>
  <sheetFormatPr defaultRowHeight="13.5"/>
  <cols>
    <col min="1" max="1" width="8.3828125" customWidth="1"/>
    <col min="2" max="2" width="41.4609375" customWidth="1"/>
    <col min="3" max="6" width="14.15234375" customWidth="1"/>
    <col min="7" max="7" width="40.84375" style="34" customWidth="1"/>
    <col min="8" max="8" width="3.4609375" customWidth="1"/>
    <col min="9" max="9" width="14.15234375" customWidth="1"/>
  </cols>
  <sheetData>
    <row r="1" spans="1:10" s="1298" customFormat="1" ht="56.9" customHeight="1"/>
    <row r="2" spans="1:10" ht="20">
      <c r="A2" s="106" t="s">
        <v>0</v>
      </c>
      <c r="B2" s="107"/>
      <c r="C2" s="107"/>
      <c r="D2" s="108"/>
      <c r="E2" s="109"/>
      <c r="F2" s="107"/>
      <c r="G2" s="110"/>
      <c r="H2" s="107"/>
      <c r="I2" s="107"/>
    </row>
    <row r="3" spans="1:10" ht="20">
      <c r="A3" s="106" t="str">
        <f>Licensee</f>
        <v>Cadent-NW</v>
      </c>
      <c r="B3" s="107"/>
      <c r="C3" s="107"/>
      <c r="D3" s="109"/>
      <c r="E3" s="109"/>
      <c r="F3" s="107"/>
      <c r="G3" s="110"/>
      <c r="H3" s="107"/>
      <c r="I3" s="107"/>
    </row>
    <row r="4" spans="1:10" ht="20">
      <c r="A4" s="106" t="s">
        <v>1</v>
      </c>
      <c r="B4" s="107"/>
      <c r="C4" s="107"/>
      <c r="D4" s="109"/>
      <c r="E4" s="109"/>
      <c r="F4" s="107"/>
      <c r="G4" s="110"/>
      <c r="H4" s="107"/>
      <c r="I4" s="107"/>
    </row>
    <row r="5" spans="1:10" ht="20">
      <c r="A5" s="174"/>
      <c r="B5" s="175"/>
      <c r="C5" s="175"/>
      <c r="D5" s="176"/>
      <c r="E5" s="176"/>
      <c r="F5" s="175"/>
      <c r="G5" s="310"/>
      <c r="H5" s="175"/>
      <c r="I5" s="175"/>
    </row>
    <row r="6" spans="1:10" ht="14">
      <c r="A6" s="7"/>
      <c r="B6" s="209" t="s">
        <v>2</v>
      </c>
      <c r="C6" s="216" cm="1">
        <f t="array" ref="C6">INDEX(Data!$E$63:'Data'!$E$91,MATCH(Licensee,Data!$B$63:$B$91,0),0)</f>
        <v>2022</v>
      </c>
      <c r="D6" s="176"/>
      <c r="E6" s="176"/>
      <c r="H6" s="311"/>
    </row>
    <row r="7" spans="1:10" ht="13.5" customHeight="1">
      <c r="A7" s="7"/>
      <c r="B7" s="209" t="s">
        <v>3</v>
      </c>
      <c r="C7" s="210" t="s">
        <v>4</v>
      </c>
      <c r="D7" s="176"/>
      <c r="E7" s="176"/>
      <c r="F7" s="211"/>
      <c r="G7" s="312" t="s">
        <v>5</v>
      </c>
      <c r="H7" s="311"/>
    </row>
    <row r="8" spans="1:10" ht="13.5" customHeight="1">
      <c r="A8" s="7"/>
      <c r="B8" s="209" t="s">
        <v>6</v>
      </c>
      <c r="C8" s="1201" t="str">
        <f>INDEX(Data!$A$63:$A$91,MATCH($C$7,Data!$B$63:$B$91,0),0)&amp;"2"</f>
        <v>GD2</v>
      </c>
      <c r="D8" s="176"/>
      <c r="E8" s="176"/>
      <c r="F8" s="213"/>
      <c r="G8" s="312" t="s">
        <v>7</v>
      </c>
      <c r="H8" s="311"/>
    </row>
    <row r="9" spans="1:10" ht="27">
      <c r="A9" s="7"/>
      <c r="B9" s="214" t="s">
        <v>8</v>
      </c>
      <c r="C9" s="215">
        <v>2024</v>
      </c>
      <c r="D9" s="176"/>
      <c r="E9" s="176"/>
      <c r="F9" s="216"/>
      <c r="G9" s="313" t="s">
        <v>9</v>
      </c>
      <c r="H9" s="311"/>
    </row>
    <row r="10" spans="1:10" ht="14">
      <c r="A10" s="7"/>
      <c r="B10" s="209" t="s">
        <v>10</v>
      </c>
      <c r="C10" s="215"/>
      <c r="D10" s="176"/>
      <c r="E10" s="176"/>
      <c r="F10" s="217"/>
      <c r="G10" s="312" t="s">
        <v>11</v>
      </c>
      <c r="H10" s="311"/>
    </row>
    <row r="11" spans="1:10" ht="14">
      <c r="A11" s="7"/>
      <c r="B11" s="209" t="s">
        <v>12</v>
      </c>
      <c r="C11" s="218"/>
      <c r="D11" s="176"/>
      <c r="E11" s="176"/>
      <c r="F11" s="219"/>
      <c r="G11" s="312" t="s">
        <v>13</v>
      </c>
      <c r="H11" s="311"/>
    </row>
    <row r="12" spans="1:10" ht="14">
      <c r="A12" s="7"/>
      <c r="D12" s="176"/>
      <c r="E12" s="176"/>
      <c r="F12" s="220"/>
      <c r="G12" s="312" t="s">
        <v>14</v>
      </c>
      <c r="H12" s="311"/>
    </row>
    <row r="13" spans="1:10" ht="14">
      <c r="A13" s="7"/>
      <c r="D13" s="176"/>
      <c r="E13" s="176"/>
      <c r="F13" s="221"/>
      <c r="G13" s="312" t="s">
        <v>15</v>
      </c>
      <c r="H13" s="311"/>
    </row>
    <row r="14" spans="1:10">
      <c r="A14" s="7"/>
      <c r="D14" s="176"/>
      <c r="E14" s="176"/>
      <c r="F14" s="2"/>
      <c r="G14" s="314"/>
    </row>
    <row r="15" spans="1:10">
      <c r="C15" s="176"/>
      <c r="F15" s="176"/>
      <c r="G15"/>
      <c r="H15" s="176"/>
      <c r="J15" s="176"/>
    </row>
    <row r="16" spans="1:10">
      <c r="C16" s="176"/>
      <c r="F16" s="176"/>
      <c r="G16"/>
      <c r="H16" s="176"/>
      <c r="J16" s="176"/>
    </row>
    <row r="17" spans="3:10">
      <c r="C17" s="176"/>
      <c r="F17" s="176"/>
      <c r="G17"/>
      <c r="H17" s="176"/>
      <c r="J17" s="176"/>
    </row>
    <row r="18" spans="3:10">
      <c r="C18" s="176"/>
      <c r="F18" s="176"/>
      <c r="G18"/>
      <c r="H18" s="176"/>
      <c r="J18" s="176"/>
    </row>
    <row r="19" spans="3:10">
      <c r="C19" s="176"/>
      <c r="F19" s="176"/>
      <c r="G19"/>
      <c r="H19" s="176"/>
      <c r="J19" s="176"/>
    </row>
    <row r="20" spans="3:10">
      <c r="C20" s="176"/>
      <c r="F20" s="176"/>
      <c r="G20"/>
      <c r="H20" s="176"/>
      <c r="J20" s="176"/>
    </row>
    <row r="21" spans="3:10">
      <c r="J21" s="176"/>
    </row>
    <row r="22" spans="3:10">
      <c r="C22" s="176"/>
      <c r="F22" s="176"/>
      <c r="G22"/>
      <c r="H22" s="176"/>
      <c r="J22" s="176"/>
    </row>
    <row r="23" spans="3:10">
      <c r="C23" s="176"/>
      <c r="F23" s="176"/>
      <c r="G23"/>
      <c r="H23" s="176"/>
      <c r="J23" s="176"/>
    </row>
    <row r="24" spans="3:10">
      <c r="C24" s="176"/>
      <c r="F24" s="176"/>
      <c r="G24"/>
      <c r="H24" s="176"/>
      <c r="J24" s="176"/>
    </row>
    <row r="25" spans="3:10">
      <c r="C25" s="176"/>
      <c r="F25" s="176"/>
      <c r="G25"/>
      <c r="H25" s="176"/>
      <c r="J25" s="176"/>
    </row>
    <row r="26" spans="3:10">
      <c r="C26" s="176"/>
      <c r="F26" s="176"/>
      <c r="G26"/>
      <c r="H26" s="176"/>
      <c r="J26" s="176"/>
    </row>
    <row r="27" spans="3:10">
      <c r="C27" s="176"/>
      <c r="F27" s="176"/>
      <c r="G27"/>
      <c r="H27" s="176"/>
      <c r="J27" s="176"/>
    </row>
    <row r="87" spans="1:1">
      <c r="A87" s="12"/>
    </row>
  </sheetData>
  <mergeCells count="1">
    <mergeCell ref="A1:XFD1"/>
  </mergeCells>
  <pageMargins left="0.70866141732283472" right="0.70866141732283472" top="0.74803149606299213" bottom="0.74803149606299213" header="0.31496062992125984" footer="0.31496062992125984"/>
  <pageSetup scale="48" orientation="portrait" r:id="rId1"/>
  <headerFooter>
    <oddFooter>&amp;C_x000D_&amp;1#&amp;"Calibri"&amp;10&amp;K000000 OFFICIAL-InternalOnly</oddFooter>
  </headerFooter>
  <customProperties>
    <customPr name="_pios_id" r:id="rId2"/>
  </customPropertie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Data!$F$18:$L$18</xm:f>
          </x14:formula1>
          <xm:sqref>C9</xm:sqref>
        </x14:dataValidation>
        <x14:dataValidation type="list" allowBlank="1" showInputMessage="1" showErrorMessage="1" xr:uid="{00000000-0002-0000-0000-000001000000}">
          <x14:formula1>
            <xm:f>Data!$B$63:$B$91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16563-E982-4976-9B5A-3FCC4B31195E}">
  <sheetPr codeName="Sheet4">
    <tabColor rgb="FFFFFFCC"/>
  </sheetPr>
  <dimension ref="A1:XES218"/>
  <sheetViews>
    <sheetView zoomScale="85" zoomScaleNormal="85" workbookViewId="0">
      <selection activeCell="D13" sqref="D13"/>
    </sheetView>
  </sheetViews>
  <sheetFormatPr defaultColWidth="0" defaultRowHeight="13.5" zeroHeight="1" outlineLevelRow="1" outlineLevelCol="1"/>
  <cols>
    <col min="1" max="1" width="9.3828125" style="114" customWidth="1"/>
    <col min="2" max="2" width="5.3828125" style="114" customWidth="1"/>
    <col min="3" max="3" width="13.15234375" style="114" customWidth="1"/>
    <col min="4" max="4" width="16.3828125" style="114" customWidth="1"/>
    <col min="5" max="5" width="17.15234375" style="114" customWidth="1"/>
    <col min="6" max="6" width="16.61328125" style="114" customWidth="1"/>
    <col min="7" max="7" width="6" style="114" customWidth="1"/>
    <col min="8" max="8" width="7.4609375" style="114" customWidth="1"/>
    <col min="9" max="9" width="14.765625" style="114" customWidth="1"/>
    <col min="10" max="11" width="2.84375" style="114" customWidth="1"/>
    <col min="12" max="12" width="9.15234375" style="114" customWidth="1"/>
    <col min="13" max="20" width="10.84375" style="114" customWidth="1" outlineLevel="1"/>
    <col min="21" max="21" width="10.84375" style="114" customWidth="1"/>
    <col min="22" max="22" width="10.84375" style="114" customWidth="1" outlineLevel="1"/>
    <col min="23" max="23" width="5" style="114" customWidth="1"/>
    <col min="24" max="16373" width="0" style="114" hidden="1"/>
    <col min="16374" max="16384" width="9.15234375" style="114" hidden="1"/>
  </cols>
  <sheetData>
    <row r="1" spans="1:34" ht="20">
      <c r="A1" s="324" t="s">
        <v>265</v>
      </c>
      <c r="B1" s="326"/>
      <c r="C1" s="326"/>
      <c r="D1" s="327"/>
      <c r="E1" s="327"/>
      <c r="F1" s="327"/>
      <c r="G1" s="327"/>
      <c r="H1" s="599"/>
      <c r="I1" s="599"/>
      <c r="J1" s="328"/>
      <c r="K1" s="328"/>
      <c r="L1" s="328"/>
      <c r="M1" s="328"/>
      <c r="N1" s="328"/>
      <c r="O1" s="328"/>
      <c r="P1" s="328"/>
      <c r="Q1" s="328"/>
      <c r="R1" s="328"/>
      <c r="S1" s="328"/>
      <c r="T1" s="328"/>
      <c r="U1" s="328"/>
      <c r="V1" s="328"/>
      <c r="W1" s="456"/>
    </row>
    <row r="2" spans="1:34" ht="20">
      <c r="A2" s="329" t="s">
        <v>4</v>
      </c>
      <c r="B2" s="331"/>
      <c r="C2" s="331"/>
      <c r="D2" s="332"/>
      <c r="E2" s="332"/>
      <c r="F2" s="332"/>
      <c r="G2" s="332"/>
      <c r="H2" s="333"/>
      <c r="I2" s="333"/>
      <c r="J2" s="333"/>
      <c r="K2" s="333"/>
      <c r="L2" s="333"/>
      <c r="M2" s="333"/>
      <c r="N2" s="333"/>
      <c r="O2" s="333"/>
      <c r="P2" s="333"/>
      <c r="Q2" s="333"/>
      <c r="R2" s="333"/>
      <c r="S2" s="333"/>
      <c r="T2" s="333"/>
      <c r="U2" s="333"/>
      <c r="V2" s="333"/>
      <c r="W2" s="334"/>
    </row>
    <row r="3" spans="1:34" ht="20">
      <c r="A3" s="555">
        <v>2024</v>
      </c>
      <c r="B3" s="556"/>
      <c r="C3" s="600"/>
      <c r="D3" s="600"/>
      <c r="E3" s="600"/>
      <c r="F3" s="600"/>
      <c r="G3" s="335"/>
      <c r="H3" s="336"/>
      <c r="I3" s="336"/>
      <c r="J3" s="336"/>
      <c r="K3" s="336"/>
      <c r="L3" s="336"/>
      <c r="M3" s="336"/>
      <c r="N3" s="336"/>
      <c r="O3" s="336"/>
      <c r="P3" s="336"/>
      <c r="Q3" s="336"/>
      <c r="R3" s="336"/>
      <c r="S3" s="336"/>
      <c r="T3" s="336"/>
      <c r="U3" s="336"/>
      <c r="V3" s="336"/>
      <c r="W3" s="337"/>
    </row>
    <row r="4" spans="1:34" s="50" customFormat="1" ht="16">
      <c r="A4" s="285"/>
      <c r="B4" s="549" t="s">
        <v>701</v>
      </c>
      <c r="C4" s="158"/>
      <c r="D4" s="601"/>
      <c r="E4" s="159"/>
      <c r="F4" s="159"/>
      <c r="G4" s="159"/>
      <c r="H4" s="159"/>
      <c r="I4" s="159"/>
      <c r="J4" s="159"/>
      <c r="K4" s="159"/>
      <c r="L4" s="160"/>
      <c r="M4" s="160"/>
      <c r="N4" s="160"/>
      <c r="O4" s="160"/>
      <c r="P4" s="160"/>
      <c r="Q4" s="160"/>
      <c r="R4" s="160"/>
      <c r="S4" s="160"/>
      <c r="T4" s="160"/>
      <c r="U4" s="160"/>
      <c r="V4" s="52"/>
      <c r="W4" s="52"/>
    </row>
    <row r="5" spans="1:34" s="602" customFormat="1" ht="16">
      <c r="C5" s="603"/>
      <c r="D5" s="603"/>
      <c r="E5" s="603"/>
      <c r="F5" s="603"/>
      <c r="G5" s="603"/>
      <c r="H5" s="603"/>
      <c r="I5" s="603"/>
      <c r="J5" s="603"/>
      <c r="K5" s="603"/>
      <c r="L5" s="603"/>
      <c r="M5" s="603"/>
      <c r="N5" s="603"/>
      <c r="O5" s="603"/>
      <c r="P5" s="603"/>
      <c r="Q5" s="603"/>
      <c r="R5" s="603"/>
      <c r="S5" s="603"/>
      <c r="T5" s="603"/>
      <c r="U5" s="603"/>
      <c r="V5" s="603"/>
      <c r="W5" s="603"/>
      <c r="X5" s="603"/>
      <c r="Y5" s="603"/>
      <c r="Z5" s="603"/>
      <c r="AA5" s="603"/>
      <c r="AB5" s="603"/>
      <c r="AC5" s="603"/>
      <c r="AD5" s="603"/>
      <c r="AE5" s="603"/>
      <c r="AF5" s="603"/>
      <c r="AG5" s="603"/>
      <c r="AH5" s="603"/>
    </row>
    <row r="6" spans="1:34" s="602" customFormat="1" ht="16">
      <c r="B6" s="603"/>
      <c r="C6" s="603"/>
      <c r="D6" s="603"/>
      <c r="E6" s="603"/>
      <c r="F6" s="603"/>
      <c r="G6" s="603"/>
      <c r="H6" s="603"/>
      <c r="I6" s="603"/>
      <c r="J6" s="603"/>
      <c r="K6" s="603"/>
      <c r="L6" s="603"/>
      <c r="M6" s="603"/>
      <c r="N6" s="603"/>
      <c r="O6" s="603"/>
      <c r="P6" s="603"/>
      <c r="Q6" s="603"/>
      <c r="R6" s="603"/>
      <c r="S6" s="603"/>
      <c r="T6" s="603"/>
      <c r="U6" s="603"/>
      <c r="V6" s="603"/>
      <c r="W6" s="603"/>
      <c r="X6" s="603"/>
      <c r="Y6" s="603"/>
      <c r="Z6" s="603"/>
      <c r="AA6" s="603"/>
      <c r="AB6" s="603"/>
      <c r="AC6" s="603"/>
      <c r="AD6" s="603"/>
      <c r="AE6" s="603"/>
      <c r="AF6" s="603"/>
      <c r="AG6" s="603"/>
      <c r="AH6" s="603"/>
    </row>
    <row r="7" spans="1:34" s="51" customFormat="1" ht="15">
      <c r="A7" s="285"/>
      <c r="B7" s="285" t="s">
        <v>522</v>
      </c>
      <c r="C7" s="52"/>
      <c r="D7" s="285"/>
      <c r="E7" s="284"/>
      <c r="F7" s="284"/>
      <c r="G7" s="284"/>
      <c r="H7" s="284"/>
      <c r="I7" s="284"/>
      <c r="J7" s="284"/>
      <c r="K7" s="284"/>
      <c r="L7" s="284"/>
      <c r="M7" s="1362" t="s">
        <v>702</v>
      </c>
      <c r="N7" s="1363"/>
      <c r="O7" s="1363"/>
      <c r="P7" s="1363"/>
      <c r="Q7" s="1364"/>
      <c r="R7" s="1365" t="s">
        <v>703</v>
      </c>
      <c r="S7" s="1366"/>
      <c r="T7" s="1367"/>
      <c r="U7" s="1366"/>
      <c r="V7" s="1368"/>
      <c r="W7" s="284"/>
    </row>
    <row r="8" spans="1:34" s="50" customFormat="1" ht="15">
      <c r="A8" s="52"/>
      <c r="B8" s="604"/>
      <c r="C8" s="605"/>
      <c r="D8" s="606"/>
      <c r="E8" s="606"/>
      <c r="F8" s="606"/>
      <c r="G8" s="606"/>
      <c r="H8" s="606"/>
      <c r="I8" s="606"/>
      <c r="J8" s="606"/>
      <c r="K8" s="606"/>
      <c r="L8" s="606"/>
      <c r="M8" s="607" t="s">
        <v>1246</v>
      </c>
      <c r="N8" s="608" t="s">
        <v>1246</v>
      </c>
      <c r="O8" s="608" t="s">
        <v>1246</v>
      </c>
      <c r="P8" s="608" t="s">
        <v>1247</v>
      </c>
      <c r="Q8" s="608" t="s">
        <v>1247</v>
      </c>
      <c r="R8" s="608" t="s">
        <v>1247</v>
      </c>
      <c r="S8" s="608" t="s">
        <v>1247</v>
      </c>
      <c r="T8" s="609" t="s">
        <v>1247</v>
      </c>
      <c r="U8" s="610" t="s">
        <v>1247</v>
      </c>
      <c r="V8" s="610" t="s">
        <v>1247</v>
      </c>
      <c r="W8" s="52"/>
    </row>
    <row r="9" spans="1:34" s="50" customFormat="1" ht="15">
      <c r="A9" s="606"/>
      <c r="B9" s="606"/>
      <c r="C9" s="606" t="s">
        <v>704</v>
      </c>
      <c r="D9" s="606"/>
      <c r="E9" s="606"/>
      <c r="F9" s="606"/>
      <c r="G9" s="606"/>
      <c r="H9" s="611">
        <v>0</v>
      </c>
      <c r="I9" s="606"/>
      <c r="J9" s="606"/>
      <c r="K9" s="606"/>
      <c r="L9" s="612" t="s">
        <v>705</v>
      </c>
      <c r="M9" s="613">
        <v>2022</v>
      </c>
      <c r="N9" s="614">
        <v>2023</v>
      </c>
      <c r="O9" s="614">
        <v>2024</v>
      </c>
      <c r="P9" s="614">
        <v>2025</v>
      </c>
      <c r="Q9" s="614">
        <v>2026</v>
      </c>
      <c r="R9" s="614">
        <v>2027</v>
      </c>
      <c r="S9" s="615">
        <v>2028</v>
      </c>
      <c r="T9" s="616">
        <v>2029</v>
      </c>
      <c r="U9" s="617">
        <v>2030</v>
      </c>
      <c r="V9" s="614">
        <v>2031</v>
      </c>
      <c r="W9" s="52"/>
    </row>
    <row r="10" spans="1:34" s="606" customFormat="1">
      <c r="O10" s="618"/>
      <c r="P10" s="618"/>
      <c r="Q10" s="618"/>
      <c r="R10" s="618"/>
      <c r="S10" s="618"/>
      <c r="T10" s="619"/>
      <c r="U10" s="620"/>
      <c r="V10" s="618"/>
    </row>
    <row r="11" spans="1:34" s="606" customFormat="1" ht="15">
      <c r="B11" s="621" t="s">
        <v>706</v>
      </c>
      <c r="C11" s="622"/>
      <c r="D11" s="622"/>
      <c r="E11" s="623"/>
      <c r="F11" s="623"/>
      <c r="G11" s="622"/>
      <c r="H11" s="622"/>
      <c r="I11" s="622"/>
      <c r="J11" s="622"/>
      <c r="K11" s="622"/>
      <c r="L11" s="622"/>
      <c r="M11" s="622"/>
      <c r="N11" s="622"/>
      <c r="O11" s="622"/>
      <c r="P11" s="622"/>
      <c r="Q11" s="622"/>
      <c r="R11" s="622"/>
      <c r="S11" s="622"/>
      <c r="T11" s="624"/>
      <c r="U11" s="622"/>
      <c r="V11" s="622"/>
    </row>
    <row r="12" spans="1:34" s="606" customFormat="1" ht="14">
      <c r="B12" s="625"/>
      <c r="C12" s="626"/>
      <c r="D12" s="627"/>
      <c r="E12" s="627"/>
      <c r="F12" s="627"/>
      <c r="G12" s="627"/>
      <c r="H12" s="627"/>
      <c r="I12" s="605" t="s">
        <v>707</v>
      </c>
      <c r="J12" s="627"/>
      <c r="K12" s="627"/>
      <c r="L12" s="627"/>
      <c r="M12" s="627"/>
      <c r="N12" s="627"/>
      <c r="O12" s="627"/>
      <c r="P12" s="627"/>
      <c r="Q12" s="627"/>
      <c r="R12" s="627"/>
      <c r="S12" s="627"/>
      <c r="T12" s="628"/>
      <c r="U12" s="627"/>
      <c r="V12" s="627"/>
    </row>
    <row r="13" spans="1:34" s="606" customFormat="1" outlineLevel="1">
      <c r="B13" s="629" t="s">
        <v>839</v>
      </c>
      <c r="C13" s="629" t="s">
        <v>840</v>
      </c>
      <c r="D13" s="630"/>
      <c r="E13" s="629"/>
      <c r="F13" s="629"/>
      <c r="I13" s="630" t="s">
        <v>176</v>
      </c>
      <c r="L13" s="631" t="s">
        <v>613</v>
      </c>
      <c r="M13" s="700">
        <v>0</v>
      </c>
      <c r="N13" s="701">
        <v>0</v>
      </c>
      <c r="O13" s="701">
        <v>0</v>
      </c>
      <c r="P13" s="701">
        <v>0</v>
      </c>
      <c r="Q13" s="701">
        <v>0</v>
      </c>
      <c r="R13" s="701">
        <v>0</v>
      </c>
      <c r="S13" s="702">
        <v>0</v>
      </c>
      <c r="T13" s="703">
        <v>0</v>
      </c>
      <c r="U13" s="704">
        <v>0</v>
      </c>
      <c r="V13" s="701">
        <v>0</v>
      </c>
    </row>
    <row r="14" spans="1:34" s="606" customFormat="1" outlineLevel="1">
      <c r="B14" s="629" t="s">
        <v>843</v>
      </c>
      <c r="C14" s="629" t="s">
        <v>844</v>
      </c>
      <c r="D14" s="630"/>
      <c r="E14" s="629"/>
      <c r="F14" s="629"/>
      <c r="I14" s="630" t="s">
        <v>186</v>
      </c>
      <c r="L14" s="631" t="s">
        <v>613</v>
      </c>
      <c r="M14" s="700">
        <v>48.206582261571754</v>
      </c>
      <c r="N14" s="701">
        <v>89.502767910062261</v>
      </c>
      <c r="O14" s="701">
        <v>44.636410433039217</v>
      </c>
      <c r="P14" s="701">
        <v>36.146872502694748</v>
      </c>
      <c r="Q14" s="701">
        <v>30.449657252733076</v>
      </c>
      <c r="R14" s="701">
        <v>27.602731907270449</v>
      </c>
      <c r="S14" s="702">
        <v>7.5430769247301406</v>
      </c>
      <c r="T14" s="703">
        <v>7.384898207614798</v>
      </c>
      <c r="U14" s="704">
        <v>7.368272291113998</v>
      </c>
      <c r="V14" s="701">
        <v>4.0498515127013963</v>
      </c>
    </row>
    <row r="15" spans="1:34" s="606" customFormat="1" outlineLevel="1">
      <c r="B15" s="629" t="s">
        <v>846</v>
      </c>
      <c r="C15" s="629" t="s">
        <v>847</v>
      </c>
      <c r="D15" s="630"/>
      <c r="E15" s="629"/>
      <c r="F15" s="629"/>
      <c r="H15" s="632"/>
      <c r="I15" s="630" t="s">
        <v>196</v>
      </c>
      <c r="L15" s="631" t="s">
        <v>613</v>
      </c>
      <c r="M15" s="700">
        <v>0</v>
      </c>
      <c r="N15" s="701">
        <v>0</v>
      </c>
      <c r="O15" s="701">
        <v>0</v>
      </c>
      <c r="P15" s="701">
        <v>0</v>
      </c>
      <c r="Q15" s="701">
        <v>0</v>
      </c>
      <c r="R15" s="701">
        <v>0</v>
      </c>
      <c r="S15" s="702">
        <v>0</v>
      </c>
      <c r="T15" s="703">
        <v>0</v>
      </c>
      <c r="U15" s="704">
        <v>0</v>
      </c>
      <c r="V15" s="701">
        <v>0</v>
      </c>
    </row>
    <row r="16" spans="1:34" s="606" customFormat="1" outlineLevel="1">
      <c r="B16" s="629" t="s">
        <v>849</v>
      </c>
      <c r="C16" s="629" t="s">
        <v>850</v>
      </c>
      <c r="D16" s="630"/>
      <c r="E16" s="629"/>
      <c r="F16" s="629"/>
      <c r="I16" s="630" t="s">
        <v>205</v>
      </c>
      <c r="L16" s="631" t="s">
        <v>613</v>
      </c>
      <c r="M16" s="700">
        <v>0</v>
      </c>
      <c r="N16" s="701">
        <v>0</v>
      </c>
      <c r="O16" s="701">
        <v>0</v>
      </c>
      <c r="P16" s="701">
        <v>0</v>
      </c>
      <c r="Q16" s="701">
        <v>0</v>
      </c>
      <c r="R16" s="701">
        <v>0</v>
      </c>
      <c r="S16" s="702">
        <v>0</v>
      </c>
      <c r="T16" s="703">
        <v>0</v>
      </c>
      <c r="U16" s="704">
        <v>0</v>
      </c>
      <c r="V16" s="701">
        <v>0</v>
      </c>
    </row>
    <row r="17" spans="2:29" s="606" customFormat="1" outlineLevel="1">
      <c r="B17" s="629" t="s">
        <v>852</v>
      </c>
      <c r="C17" s="629" t="s">
        <v>853</v>
      </c>
      <c r="D17" s="630"/>
      <c r="E17" s="629"/>
      <c r="F17" s="629"/>
      <c r="I17" s="630" t="s">
        <v>210</v>
      </c>
      <c r="L17" s="631" t="s">
        <v>613</v>
      </c>
      <c r="M17" s="700">
        <v>0</v>
      </c>
      <c r="N17" s="701">
        <v>0</v>
      </c>
      <c r="O17" s="701">
        <v>0</v>
      </c>
      <c r="P17" s="701">
        <v>0</v>
      </c>
      <c r="Q17" s="701">
        <v>0</v>
      </c>
      <c r="R17" s="701">
        <v>0</v>
      </c>
      <c r="S17" s="702">
        <v>0</v>
      </c>
      <c r="T17" s="703">
        <v>0</v>
      </c>
      <c r="U17" s="704">
        <v>0</v>
      </c>
      <c r="V17" s="701">
        <v>0</v>
      </c>
    </row>
    <row r="18" spans="2:29" s="606" customFormat="1" outlineLevel="1">
      <c r="B18" s="629" t="s">
        <v>855</v>
      </c>
      <c r="C18" s="629" t="s">
        <v>856</v>
      </c>
      <c r="D18" s="630"/>
      <c r="E18" s="629"/>
      <c r="F18" s="629"/>
      <c r="I18" s="630" t="s">
        <v>215</v>
      </c>
      <c r="L18" s="631" t="s">
        <v>613</v>
      </c>
      <c r="M18" s="700">
        <v>143.04521032512551</v>
      </c>
      <c r="N18" s="701">
        <v>181.95730572714837</v>
      </c>
      <c r="O18" s="701">
        <v>220.02064482083117</v>
      </c>
      <c r="P18" s="701">
        <v>206.86089980542033</v>
      </c>
      <c r="Q18" s="701">
        <v>202.06559879914795</v>
      </c>
      <c r="R18" s="701">
        <v>205.46309130262858</v>
      </c>
      <c r="S18" s="702">
        <v>208.88349365540063</v>
      </c>
      <c r="T18" s="703">
        <v>200.21086351149759</v>
      </c>
      <c r="U18" s="704">
        <v>177.78546007556747</v>
      </c>
      <c r="V18" s="701">
        <v>159.6771796027659</v>
      </c>
    </row>
    <row r="19" spans="2:29" s="606" customFormat="1">
      <c r="B19" s="629" t="s">
        <v>858</v>
      </c>
      <c r="C19" s="629" t="s">
        <v>859</v>
      </c>
      <c r="D19" s="630"/>
      <c r="E19" s="629"/>
      <c r="F19" s="633"/>
      <c r="G19" s="632"/>
      <c r="H19" s="632"/>
      <c r="I19" s="630" t="s">
        <v>219</v>
      </c>
      <c r="L19" s="631" t="s">
        <v>613</v>
      </c>
      <c r="M19" s="705">
        <v>111.47969843707931</v>
      </c>
      <c r="N19" s="706">
        <v>182.61881028457162</v>
      </c>
      <c r="O19" s="706">
        <v>125.16581073317019</v>
      </c>
      <c r="P19" s="706">
        <v>130.54125766147541</v>
      </c>
      <c r="Q19" s="706">
        <v>111.58637263082299</v>
      </c>
      <c r="R19" s="706">
        <v>113.8918067858412</v>
      </c>
      <c r="S19" s="707">
        <v>108.79717286576076</v>
      </c>
      <c r="T19" s="708">
        <v>103.82510487903198</v>
      </c>
      <c r="U19" s="709">
        <v>73.837711949243115</v>
      </c>
      <c r="V19" s="706">
        <v>47.375488106079509</v>
      </c>
    </row>
    <row r="20" spans="2:29" s="606" customFormat="1">
      <c r="B20" s="629" t="s">
        <v>862</v>
      </c>
      <c r="C20" s="629" t="s">
        <v>863</v>
      </c>
      <c r="D20" s="630"/>
      <c r="E20" s="629"/>
      <c r="F20" s="633"/>
      <c r="G20" s="632"/>
      <c r="H20" s="632"/>
      <c r="I20" s="630" t="s">
        <v>222</v>
      </c>
      <c r="L20" s="631" t="s">
        <v>613</v>
      </c>
      <c r="M20" s="700">
        <v>-40.324713147912973</v>
      </c>
      <c r="N20" s="701">
        <v>-54.449633429880741</v>
      </c>
      <c r="O20" s="701">
        <v>-93.229698294671252</v>
      </c>
      <c r="P20" s="701">
        <v>-123.98988325932149</v>
      </c>
      <c r="Q20" s="701">
        <v>-119.34156721286774</v>
      </c>
      <c r="R20" s="701">
        <v>-115.6452292286901</v>
      </c>
      <c r="S20" s="702">
        <v>-97.568975357811397</v>
      </c>
      <c r="T20" s="703">
        <v>-91.857595863962956</v>
      </c>
      <c r="U20" s="704">
        <v>-65.795332250784099</v>
      </c>
      <c r="V20" s="701">
        <v>-47.814577986282167</v>
      </c>
    </row>
    <row r="21" spans="2:29" s="606" customFormat="1">
      <c r="B21" s="629" t="s">
        <v>865</v>
      </c>
      <c r="C21" s="629" t="s">
        <v>216</v>
      </c>
      <c r="D21" s="630"/>
      <c r="E21" s="629"/>
      <c r="F21" s="633"/>
      <c r="G21" s="632"/>
      <c r="H21" s="632"/>
      <c r="I21" s="630" t="s">
        <v>216</v>
      </c>
      <c r="L21" s="631" t="s">
        <v>613</v>
      </c>
      <c r="M21" s="700">
        <v>0</v>
      </c>
      <c r="N21" s="701">
        <v>0</v>
      </c>
      <c r="O21" s="701">
        <v>0</v>
      </c>
      <c r="P21" s="701">
        <v>0</v>
      </c>
      <c r="Q21" s="701">
        <v>0</v>
      </c>
      <c r="R21" s="701">
        <v>0</v>
      </c>
      <c r="S21" s="702">
        <v>0</v>
      </c>
      <c r="T21" s="703">
        <v>0</v>
      </c>
      <c r="U21" s="704">
        <v>0</v>
      </c>
      <c r="V21" s="701">
        <v>0</v>
      </c>
    </row>
    <row r="22" spans="2:29" s="606" customFormat="1" outlineLevel="1">
      <c r="C22" s="634" t="s">
        <v>557</v>
      </c>
      <c r="M22" s="710" t="s">
        <v>1254</v>
      </c>
      <c r="N22" s="710" t="s">
        <v>1254</v>
      </c>
      <c r="O22" s="710" t="s">
        <v>1254</v>
      </c>
      <c r="P22" s="710" t="s">
        <v>1254</v>
      </c>
      <c r="Q22" s="710" t="s">
        <v>1254</v>
      </c>
      <c r="R22" s="710" t="s">
        <v>1254</v>
      </c>
      <c r="S22" s="710" t="s">
        <v>1254</v>
      </c>
      <c r="T22" s="711" t="s">
        <v>1254</v>
      </c>
      <c r="U22" s="710" t="s">
        <v>1254</v>
      </c>
      <c r="V22" s="710" t="s">
        <v>1254</v>
      </c>
      <c r="W22" s="53"/>
      <c r="X22" s="53"/>
      <c r="Y22" s="53"/>
      <c r="Z22" s="53"/>
      <c r="AA22" s="53"/>
      <c r="AB22" s="53"/>
      <c r="AC22" s="53"/>
    </row>
    <row r="23" spans="2:29" s="606" customFormat="1" outlineLevel="1">
      <c r="C23" s="634"/>
      <c r="T23" s="319"/>
      <c r="U23" s="53"/>
      <c r="V23" s="53"/>
      <c r="W23" s="53"/>
      <c r="X23" s="53"/>
      <c r="Y23" s="53"/>
      <c r="Z23" s="53"/>
      <c r="AA23" s="53"/>
      <c r="AB23" s="53"/>
      <c r="AC23" s="53"/>
    </row>
    <row r="24" spans="2:29" s="606" customFormat="1" ht="15">
      <c r="B24" s="621" t="s">
        <v>708</v>
      </c>
      <c r="C24" s="622"/>
      <c r="D24" s="622"/>
      <c r="E24" s="623"/>
      <c r="F24" s="623"/>
      <c r="G24" s="622"/>
      <c r="H24" s="622"/>
      <c r="I24" s="622"/>
      <c r="J24" s="622"/>
      <c r="K24" s="622"/>
      <c r="L24" s="622"/>
      <c r="M24" s="622"/>
      <c r="N24" s="622"/>
      <c r="O24" s="622"/>
      <c r="P24" s="622"/>
      <c r="Q24" s="622"/>
      <c r="R24" s="622"/>
      <c r="S24" s="622"/>
      <c r="T24" s="624"/>
      <c r="U24" s="622"/>
      <c r="V24" s="622"/>
    </row>
    <row r="25" spans="2:29" s="606" customFormat="1" ht="14">
      <c r="B25" s="625"/>
      <c r="C25" s="626"/>
      <c r="D25" s="627"/>
      <c r="E25" s="627"/>
      <c r="F25" s="627"/>
      <c r="G25" s="627"/>
      <c r="H25" s="627"/>
      <c r="I25" s="627"/>
      <c r="J25" s="627"/>
      <c r="K25" s="627"/>
      <c r="L25" s="627"/>
      <c r="M25" s="627"/>
      <c r="N25" s="627"/>
      <c r="O25" s="627"/>
      <c r="P25" s="627"/>
      <c r="Q25" s="627"/>
      <c r="R25" s="627"/>
      <c r="S25" s="627"/>
      <c r="T25" s="628"/>
      <c r="U25" s="627"/>
      <c r="V25" s="627"/>
    </row>
    <row r="26" spans="2:29" s="606" customFormat="1" outlineLevel="1">
      <c r="B26" s="629" t="s">
        <v>839</v>
      </c>
      <c r="C26" s="629" t="s">
        <v>840</v>
      </c>
      <c r="D26" s="629"/>
      <c r="E26" s="629"/>
      <c r="F26" s="605"/>
      <c r="L26" s="631" t="s">
        <v>613</v>
      </c>
      <c r="M26" s="635">
        <v>0</v>
      </c>
      <c r="N26" s="635">
        <v>0</v>
      </c>
      <c r="O26" s="635">
        <v>0</v>
      </c>
      <c r="P26" s="635">
        <v>0</v>
      </c>
      <c r="Q26" s="635">
        <v>0</v>
      </c>
      <c r="R26" s="635">
        <v>0</v>
      </c>
      <c r="S26" s="635">
        <v>0</v>
      </c>
      <c r="T26" s="635">
        <v>0</v>
      </c>
      <c r="U26" s="635">
        <v>0</v>
      </c>
      <c r="V26" s="635">
        <v>0</v>
      </c>
    </row>
    <row r="27" spans="2:29" s="606" customFormat="1" outlineLevel="1">
      <c r="B27" s="629" t="s">
        <v>843</v>
      </c>
      <c r="C27" s="629" t="s">
        <v>844</v>
      </c>
      <c r="D27" s="629"/>
      <c r="E27" s="629"/>
      <c r="F27" s="605"/>
      <c r="L27" s="631" t="s">
        <v>613</v>
      </c>
      <c r="M27" s="635">
        <v>9.8337062500000023</v>
      </c>
      <c r="N27" s="635">
        <v>18.42896189</v>
      </c>
      <c r="O27" s="635">
        <v>29.072996990000004</v>
      </c>
      <c r="P27" s="635">
        <v>43.006661150000006</v>
      </c>
      <c r="Q27" s="635">
        <v>37.215538970000004</v>
      </c>
      <c r="R27" s="635">
        <v>34.326546749999999</v>
      </c>
      <c r="S27" s="635">
        <v>14.47966884</v>
      </c>
      <c r="T27" s="635">
        <v>14.28971617</v>
      </c>
      <c r="U27" s="635">
        <v>14.2349742</v>
      </c>
      <c r="V27" s="635">
        <v>9.4195763100000001</v>
      </c>
    </row>
    <row r="28" spans="2:29" s="606" customFormat="1" outlineLevel="1">
      <c r="B28" s="629" t="s">
        <v>846</v>
      </c>
      <c r="C28" s="629" t="s">
        <v>847</v>
      </c>
      <c r="D28" s="629"/>
      <c r="E28" s="629"/>
      <c r="F28" s="605"/>
      <c r="L28" s="631" t="s">
        <v>613</v>
      </c>
      <c r="M28" s="635">
        <v>0</v>
      </c>
      <c r="N28" s="635">
        <v>0</v>
      </c>
      <c r="O28" s="635">
        <v>0</v>
      </c>
      <c r="P28" s="635">
        <v>0</v>
      </c>
      <c r="Q28" s="635">
        <v>0</v>
      </c>
      <c r="R28" s="635">
        <v>0</v>
      </c>
      <c r="S28" s="635">
        <v>0</v>
      </c>
      <c r="T28" s="635">
        <v>0</v>
      </c>
      <c r="U28" s="635">
        <v>0</v>
      </c>
      <c r="V28" s="635">
        <v>0</v>
      </c>
    </row>
    <row r="29" spans="2:29" s="606" customFormat="1" outlineLevel="1">
      <c r="B29" s="629" t="s">
        <v>849</v>
      </c>
      <c r="C29" s="629" t="s">
        <v>850</v>
      </c>
      <c r="D29" s="629"/>
      <c r="E29" s="629"/>
      <c r="F29" s="605"/>
      <c r="L29" s="631" t="s">
        <v>613</v>
      </c>
      <c r="M29" s="635">
        <v>0</v>
      </c>
      <c r="N29" s="635">
        <v>0</v>
      </c>
      <c r="O29" s="635">
        <v>0</v>
      </c>
      <c r="P29" s="635">
        <v>0</v>
      </c>
      <c r="Q29" s="635">
        <v>0</v>
      </c>
      <c r="R29" s="635">
        <v>0</v>
      </c>
      <c r="S29" s="635">
        <v>0</v>
      </c>
      <c r="T29" s="635">
        <v>0</v>
      </c>
      <c r="U29" s="635">
        <v>0</v>
      </c>
      <c r="V29" s="635">
        <v>0</v>
      </c>
    </row>
    <row r="30" spans="2:29" s="606" customFormat="1" outlineLevel="1">
      <c r="B30" s="629" t="s">
        <v>852</v>
      </c>
      <c r="C30" s="629" t="s">
        <v>853</v>
      </c>
      <c r="D30" s="629"/>
      <c r="E30" s="629"/>
      <c r="F30" s="605"/>
      <c r="L30" s="631" t="s">
        <v>613</v>
      </c>
      <c r="M30" s="635">
        <v>0</v>
      </c>
      <c r="N30" s="635">
        <v>0</v>
      </c>
      <c r="O30" s="635">
        <v>0</v>
      </c>
      <c r="P30" s="635">
        <v>0</v>
      </c>
      <c r="Q30" s="635">
        <v>0</v>
      </c>
      <c r="R30" s="635">
        <v>0</v>
      </c>
      <c r="S30" s="635">
        <v>0</v>
      </c>
      <c r="T30" s="635">
        <v>0</v>
      </c>
      <c r="U30" s="635">
        <v>0</v>
      </c>
      <c r="V30" s="635">
        <v>0</v>
      </c>
    </row>
    <row r="31" spans="2:29" s="606" customFormat="1" outlineLevel="1">
      <c r="B31" s="629" t="s">
        <v>855</v>
      </c>
      <c r="C31" s="629" t="s">
        <v>856</v>
      </c>
      <c r="D31" s="629"/>
      <c r="E31" s="629"/>
      <c r="F31" s="605"/>
      <c r="L31" s="631" t="s">
        <v>613</v>
      </c>
      <c r="M31" s="635">
        <v>119.88925359999999</v>
      </c>
      <c r="N31" s="635">
        <v>119.12272179</v>
      </c>
      <c r="O31" s="635">
        <v>151.09334562999999</v>
      </c>
      <c r="P31" s="635">
        <v>190.7003993661036</v>
      </c>
      <c r="Q31" s="635">
        <v>209.43415302659395</v>
      </c>
      <c r="R31" s="635">
        <v>209.94995120659399</v>
      </c>
      <c r="S31" s="635">
        <v>210.467545316594</v>
      </c>
      <c r="T31" s="635">
        <v>211.02149393659397</v>
      </c>
      <c r="U31" s="635">
        <v>193.53148605659399</v>
      </c>
      <c r="V31" s="635">
        <v>162.34880791660402</v>
      </c>
    </row>
    <row r="32" spans="2:29" s="606" customFormat="1">
      <c r="B32" s="629" t="s">
        <v>858</v>
      </c>
      <c r="C32" s="629" t="s">
        <v>859</v>
      </c>
      <c r="D32" s="630"/>
      <c r="E32" s="629"/>
      <c r="F32" s="632"/>
      <c r="G32" s="632"/>
      <c r="H32" s="632"/>
      <c r="L32" s="631" t="s">
        <v>613</v>
      </c>
      <c r="M32" s="635">
        <v>25.418624380000008</v>
      </c>
      <c r="N32" s="635">
        <v>22.830925359999998</v>
      </c>
      <c r="O32" s="635">
        <v>25.675510009999996</v>
      </c>
      <c r="P32" s="635">
        <v>76.175925990000053</v>
      </c>
      <c r="Q32" s="635">
        <v>150.14115381000013</v>
      </c>
      <c r="R32" s="635">
        <v>388.8810039600001</v>
      </c>
      <c r="S32" s="635">
        <v>162.99090110999998</v>
      </c>
      <c r="T32" s="635">
        <v>203.02627786999997</v>
      </c>
      <c r="U32" s="635">
        <v>105.98706225999996</v>
      </c>
      <c r="V32" s="635">
        <v>277.86838763999998</v>
      </c>
    </row>
    <row r="33" spans="2:24" s="606" customFormat="1">
      <c r="B33" s="629" t="s">
        <v>862</v>
      </c>
      <c r="C33" s="629" t="s">
        <v>863</v>
      </c>
      <c r="D33" s="630"/>
      <c r="E33" s="629"/>
      <c r="F33" s="632"/>
      <c r="G33" s="632"/>
      <c r="H33" s="632"/>
      <c r="L33" s="631" t="s">
        <v>613</v>
      </c>
      <c r="M33" s="635">
        <v>-26.113130309999999</v>
      </c>
      <c r="N33" s="635">
        <v>-54.918364619999998</v>
      </c>
      <c r="O33" s="635">
        <v>-57.898341330000001</v>
      </c>
      <c r="P33" s="635">
        <v>-101.27302629610358</v>
      </c>
      <c r="Q33" s="635">
        <v>-179.55653311659418</v>
      </c>
      <c r="R33" s="635">
        <v>-180.81449053659404</v>
      </c>
      <c r="S33" s="635">
        <v>-135.79447023659401</v>
      </c>
      <c r="T33" s="635">
        <v>-131.41507561659404</v>
      </c>
      <c r="U33" s="635">
        <v>-118.02552589659398</v>
      </c>
      <c r="V33" s="635">
        <v>-105.073134646604</v>
      </c>
    </row>
    <row r="34" spans="2:24" s="606" customFormat="1">
      <c r="B34" s="629" t="s">
        <v>865</v>
      </c>
      <c r="C34" s="629" t="s">
        <v>216</v>
      </c>
      <c r="D34" s="630"/>
      <c r="E34" s="629"/>
      <c r="F34" s="632"/>
      <c r="G34" s="632"/>
      <c r="H34" s="632"/>
      <c r="L34" s="631" t="s">
        <v>613</v>
      </c>
      <c r="M34" s="635">
        <v>0</v>
      </c>
      <c r="N34" s="635">
        <v>0</v>
      </c>
      <c r="O34" s="635">
        <v>6.6242929490685748E-2</v>
      </c>
      <c r="P34" s="635">
        <v>3.8688810708036904E-2</v>
      </c>
      <c r="Q34" s="635">
        <v>1.1134691925388037E-2</v>
      </c>
      <c r="R34" s="635">
        <v>0</v>
      </c>
      <c r="S34" s="635">
        <v>0</v>
      </c>
      <c r="T34" s="635">
        <v>0</v>
      </c>
      <c r="U34" s="635">
        <v>0</v>
      </c>
      <c r="V34" s="635">
        <v>0</v>
      </c>
    </row>
    <row r="35" spans="2:24" s="606" customFormat="1" outlineLevel="1">
      <c r="B35" s="636"/>
      <c r="C35" s="605"/>
      <c r="L35" s="637"/>
      <c r="T35" s="638"/>
    </row>
    <row r="36" spans="2:24" s="606" customFormat="1" outlineLevel="1">
      <c r="B36" s="636"/>
      <c r="C36" s="605"/>
      <c r="L36" s="637"/>
      <c r="T36" s="638"/>
    </row>
    <row r="37" spans="2:24" s="606" customFormat="1" ht="15">
      <c r="B37" s="621" t="s">
        <v>709</v>
      </c>
      <c r="C37" s="622"/>
      <c r="D37" s="622"/>
      <c r="E37" s="623"/>
      <c r="F37" s="623"/>
      <c r="G37" s="622"/>
      <c r="H37" s="622"/>
      <c r="I37" s="622"/>
      <c r="J37" s="622"/>
      <c r="K37" s="622"/>
      <c r="L37" s="622"/>
      <c r="M37" s="622"/>
      <c r="N37" s="622"/>
      <c r="O37" s="622"/>
      <c r="P37" s="622"/>
      <c r="Q37" s="622"/>
      <c r="R37" s="622"/>
      <c r="S37" s="622"/>
      <c r="T37" s="624"/>
      <c r="U37" s="622"/>
      <c r="V37" s="622"/>
    </row>
    <row r="38" spans="2:24" s="606" customFormat="1" ht="15">
      <c r="B38" s="639"/>
      <c r="E38" s="640"/>
      <c r="F38" s="640"/>
      <c r="T38" s="638"/>
    </row>
    <row r="39" spans="2:24" s="606" customFormat="1" outlineLevel="1">
      <c r="B39" s="641" t="s">
        <v>710</v>
      </c>
      <c r="D39" s="640"/>
      <c r="M39" s="642" t="s">
        <v>711</v>
      </c>
      <c r="N39" s="643" t="s">
        <v>711</v>
      </c>
      <c r="O39" s="643" t="s">
        <v>711</v>
      </c>
      <c r="P39" s="643" t="s">
        <v>711</v>
      </c>
      <c r="Q39" s="643" t="s">
        <v>711</v>
      </c>
      <c r="R39" s="643" t="s">
        <v>711</v>
      </c>
      <c r="S39" s="644" t="s">
        <v>711</v>
      </c>
      <c r="T39" s="645" t="s">
        <v>711</v>
      </c>
      <c r="U39" s="646" t="s">
        <v>711</v>
      </c>
      <c r="V39" s="643" t="s">
        <v>711</v>
      </c>
    </row>
    <row r="40" spans="2:24" s="606" customFormat="1" outlineLevel="1">
      <c r="C40" s="647" t="s">
        <v>712</v>
      </c>
      <c r="D40" s="648"/>
      <c r="E40" s="649"/>
      <c r="F40" s="648"/>
      <c r="G40" s="648"/>
      <c r="H40" s="648"/>
      <c r="I40" s="648"/>
      <c r="J40" s="648"/>
      <c r="K40" s="648"/>
      <c r="L40" s="648"/>
      <c r="M40" s="635">
        <v>0</v>
      </c>
      <c r="N40" s="635">
        <v>0</v>
      </c>
      <c r="O40" s="635">
        <v>0</v>
      </c>
      <c r="P40" s="635">
        <v>0</v>
      </c>
      <c r="Q40" s="635">
        <v>0</v>
      </c>
      <c r="R40" s="635">
        <v>0</v>
      </c>
      <c r="S40" s="635">
        <v>0</v>
      </c>
      <c r="T40" s="635">
        <v>0</v>
      </c>
      <c r="U40" s="635">
        <v>0</v>
      </c>
      <c r="V40" s="635">
        <v>0</v>
      </c>
      <c r="X40" s="241"/>
    </row>
    <row r="41" spans="2:24" s="606" customFormat="1" outlineLevel="1">
      <c r="C41" s="647" t="s">
        <v>713</v>
      </c>
      <c r="D41" s="648"/>
      <c r="E41" s="649"/>
      <c r="F41" s="649"/>
      <c r="G41" s="648"/>
      <c r="H41" s="648"/>
      <c r="I41" s="648"/>
      <c r="J41" s="648"/>
      <c r="K41" s="648"/>
      <c r="L41" s="648"/>
      <c r="M41" s="635">
        <v>0</v>
      </c>
      <c r="N41" s="635">
        <v>0</v>
      </c>
      <c r="O41" s="635">
        <v>0</v>
      </c>
      <c r="P41" s="635">
        <v>0</v>
      </c>
      <c r="Q41" s="635">
        <v>0</v>
      </c>
      <c r="R41" s="635">
        <v>0</v>
      </c>
      <c r="S41" s="635">
        <v>0</v>
      </c>
      <c r="T41" s="635">
        <v>0</v>
      </c>
      <c r="U41" s="635">
        <v>0</v>
      </c>
      <c r="V41" s="635">
        <v>0</v>
      </c>
      <c r="X41" s="241"/>
    </row>
    <row r="42" spans="2:24" s="606" customFormat="1" outlineLevel="1">
      <c r="B42" s="629" t="s">
        <v>839</v>
      </c>
      <c r="C42" s="650" t="s">
        <v>840</v>
      </c>
      <c r="D42" s="650"/>
      <c r="E42" s="651"/>
      <c r="F42" s="651"/>
      <c r="G42" s="648"/>
      <c r="H42" s="648"/>
      <c r="I42" s="648"/>
      <c r="J42" s="648"/>
      <c r="K42" s="648"/>
      <c r="L42" s="648"/>
      <c r="M42" s="712">
        <v>0</v>
      </c>
      <c r="N42" s="713">
        <v>0</v>
      </c>
      <c r="O42" s="713">
        <v>0</v>
      </c>
      <c r="P42" s="713">
        <v>0</v>
      </c>
      <c r="Q42" s="713">
        <v>0</v>
      </c>
      <c r="R42" s="713">
        <v>0</v>
      </c>
      <c r="S42" s="714">
        <v>0</v>
      </c>
      <c r="T42" s="715">
        <v>0</v>
      </c>
      <c r="U42" s="716">
        <v>0</v>
      </c>
      <c r="V42" s="713">
        <v>0</v>
      </c>
      <c r="X42" s="652">
        <v>0</v>
      </c>
    </row>
    <row r="43" spans="2:24" s="606" customFormat="1" outlineLevel="1">
      <c r="B43" s="629" t="s">
        <v>843</v>
      </c>
      <c r="C43" s="653" t="s">
        <v>844</v>
      </c>
      <c r="D43" s="650"/>
      <c r="E43" s="651"/>
      <c r="F43" s="651"/>
      <c r="G43" s="648"/>
      <c r="H43" s="648"/>
      <c r="I43" s="648"/>
      <c r="J43" s="648"/>
      <c r="K43" s="648"/>
      <c r="L43" s="648"/>
      <c r="M43" s="712">
        <v>48.206582261571754</v>
      </c>
      <c r="N43" s="713">
        <v>89.502767910062261</v>
      </c>
      <c r="O43" s="713">
        <v>44.636410433039217</v>
      </c>
      <c r="P43" s="713">
        <v>36.146872502694748</v>
      </c>
      <c r="Q43" s="713">
        <v>30.449657252733076</v>
      </c>
      <c r="R43" s="713">
        <v>27.602731907270449</v>
      </c>
      <c r="S43" s="714">
        <v>7.5430769247301406</v>
      </c>
      <c r="T43" s="715">
        <v>7.384898207614798</v>
      </c>
      <c r="U43" s="716">
        <v>7.368272291113998</v>
      </c>
      <c r="V43" s="713">
        <v>4.0498515127013963</v>
      </c>
      <c r="X43" s="652">
        <v>0</v>
      </c>
    </row>
    <row r="44" spans="2:24" s="606" customFormat="1" outlineLevel="1">
      <c r="B44" s="629" t="s">
        <v>846</v>
      </c>
      <c r="C44" s="653" t="s">
        <v>847</v>
      </c>
      <c r="D44" s="650"/>
      <c r="E44" s="651"/>
      <c r="F44" s="651"/>
      <c r="G44" s="648"/>
      <c r="H44" s="648"/>
      <c r="I44" s="648"/>
      <c r="J44" s="648"/>
      <c r="K44" s="648"/>
      <c r="L44" s="648"/>
      <c r="M44" s="712">
        <v>0</v>
      </c>
      <c r="N44" s="713">
        <v>0</v>
      </c>
      <c r="O44" s="713">
        <v>0</v>
      </c>
      <c r="P44" s="713">
        <v>0</v>
      </c>
      <c r="Q44" s="713">
        <v>0</v>
      </c>
      <c r="R44" s="713">
        <v>0</v>
      </c>
      <c r="S44" s="714">
        <v>0</v>
      </c>
      <c r="T44" s="715">
        <v>0</v>
      </c>
      <c r="U44" s="716">
        <v>0</v>
      </c>
      <c r="V44" s="713">
        <v>0</v>
      </c>
      <c r="X44" s="652">
        <v>0</v>
      </c>
    </row>
    <row r="45" spans="2:24" s="606" customFormat="1" outlineLevel="1">
      <c r="B45" s="629" t="s">
        <v>852</v>
      </c>
      <c r="C45" s="653" t="s">
        <v>853</v>
      </c>
      <c r="D45" s="650"/>
      <c r="E45" s="651"/>
      <c r="F45" s="651"/>
      <c r="G45" s="648"/>
      <c r="H45" s="648"/>
      <c r="I45" s="648"/>
      <c r="J45" s="648"/>
      <c r="K45" s="648"/>
      <c r="L45" s="648"/>
      <c r="M45" s="712">
        <v>0</v>
      </c>
      <c r="N45" s="716">
        <v>0</v>
      </c>
      <c r="O45" s="716">
        <v>0</v>
      </c>
      <c r="P45" s="716">
        <v>0</v>
      </c>
      <c r="Q45" s="716">
        <v>0</v>
      </c>
      <c r="R45" s="716">
        <v>0</v>
      </c>
      <c r="S45" s="717">
        <v>0</v>
      </c>
      <c r="T45" s="718">
        <v>0</v>
      </c>
      <c r="U45" s="716">
        <v>0</v>
      </c>
      <c r="V45" s="716">
        <v>0</v>
      </c>
      <c r="X45" s="652"/>
    </row>
    <row r="46" spans="2:24" s="606" customFormat="1" outlineLevel="1">
      <c r="B46" s="629" t="s">
        <v>855</v>
      </c>
      <c r="C46" s="653" t="s">
        <v>856</v>
      </c>
      <c r="D46" s="650"/>
      <c r="E46" s="651"/>
      <c r="F46" s="651"/>
      <c r="G46" s="648"/>
      <c r="H46" s="648"/>
      <c r="I46" s="648"/>
      <c r="J46" s="648"/>
      <c r="K46" s="648"/>
      <c r="L46" s="648"/>
      <c r="M46" s="712">
        <v>143.04521032512551</v>
      </c>
      <c r="N46" s="716">
        <v>181.95730572714837</v>
      </c>
      <c r="O46" s="716">
        <v>220.02064482083117</v>
      </c>
      <c r="P46" s="716">
        <v>206.86089980542033</v>
      </c>
      <c r="Q46" s="716">
        <v>202.06559879914795</v>
      </c>
      <c r="R46" s="716">
        <v>205.46309130262858</v>
      </c>
      <c r="S46" s="717">
        <v>208.88349365540063</v>
      </c>
      <c r="T46" s="718">
        <v>200.21086351149759</v>
      </c>
      <c r="U46" s="716">
        <v>177.78546007556747</v>
      </c>
      <c r="V46" s="716">
        <v>159.6771796027659</v>
      </c>
      <c r="X46" s="652"/>
    </row>
    <row r="47" spans="2:24" s="606" customFormat="1" outlineLevel="1">
      <c r="B47" s="629" t="s">
        <v>714</v>
      </c>
      <c r="C47" s="653" t="s">
        <v>715</v>
      </c>
      <c r="D47" s="650"/>
      <c r="E47" s="651"/>
      <c r="F47" s="651"/>
      <c r="G47" s="648"/>
      <c r="H47" s="648"/>
      <c r="I47" s="648"/>
      <c r="J47" s="648"/>
      <c r="K47" s="648"/>
      <c r="L47" s="648"/>
      <c r="M47" s="719">
        <v>71.154985289166333</v>
      </c>
      <c r="N47" s="719">
        <v>128.16917685469087</v>
      </c>
      <c r="O47" s="719">
        <v>31.936112438498938</v>
      </c>
      <c r="P47" s="719">
        <v>6.5513744021539253</v>
      </c>
      <c r="Q47" s="719">
        <v>-7.7551945820447514</v>
      </c>
      <c r="R47" s="719">
        <v>-1.7534224428489011</v>
      </c>
      <c r="S47" s="720">
        <v>11.228197507949361</v>
      </c>
      <c r="T47" s="721">
        <v>11.967509015069027</v>
      </c>
      <c r="U47" s="722">
        <v>8.0423796984590155</v>
      </c>
      <c r="V47" s="719">
        <v>-0.43908988020265838</v>
      </c>
      <c r="X47" s="652"/>
    </row>
    <row r="48" spans="2:24" s="606" customFormat="1" outlineLevel="1">
      <c r="B48" s="629" t="s">
        <v>865</v>
      </c>
      <c r="C48" s="653" t="s">
        <v>216</v>
      </c>
      <c r="D48" s="650"/>
      <c r="E48" s="651"/>
      <c r="F48" s="651"/>
      <c r="G48" s="648"/>
      <c r="H48" s="648"/>
      <c r="I48" s="648"/>
      <c r="J48" s="648"/>
      <c r="K48" s="648"/>
      <c r="L48" s="648"/>
      <c r="M48" s="712">
        <v>0</v>
      </c>
      <c r="N48" s="716">
        <v>0</v>
      </c>
      <c r="O48" s="716">
        <v>0</v>
      </c>
      <c r="P48" s="716">
        <v>0</v>
      </c>
      <c r="Q48" s="716">
        <v>0</v>
      </c>
      <c r="R48" s="716">
        <v>0</v>
      </c>
      <c r="S48" s="717">
        <v>0</v>
      </c>
      <c r="T48" s="718">
        <v>0</v>
      </c>
      <c r="U48" s="716">
        <v>0</v>
      </c>
      <c r="V48" s="716">
        <v>0</v>
      </c>
      <c r="X48" s="652"/>
    </row>
    <row r="49" spans="3:24" s="606" customFormat="1" outlineLevel="1">
      <c r="C49" s="654" t="s">
        <v>716</v>
      </c>
      <c r="D49" s="655"/>
      <c r="E49" s="656"/>
      <c r="F49" s="656"/>
      <c r="G49" s="648"/>
      <c r="H49" s="648"/>
      <c r="I49" s="648"/>
      <c r="J49" s="648"/>
      <c r="K49" s="648"/>
      <c r="L49" s="648"/>
      <c r="M49" s="635">
        <v>0</v>
      </c>
      <c r="N49" s="635">
        <v>0</v>
      </c>
      <c r="O49" s="635">
        <v>0</v>
      </c>
      <c r="P49" s="635">
        <v>0</v>
      </c>
      <c r="Q49" s="635">
        <v>0</v>
      </c>
      <c r="R49" s="635">
        <v>0</v>
      </c>
      <c r="S49" s="635">
        <v>0</v>
      </c>
      <c r="T49" s="635">
        <v>0</v>
      </c>
      <c r="U49" s="635">
        <v>0</v>
      </c>
      <c r="V49" s="635">
        <v>0</v>
      </c>
      <c r="X49" s="241"/>
    </row>
    <row r="50" spans="3:24" s="606" customFormat="1" outlineLevel="1">
      <c r="C50" s="654" t="s">
        <v>716</v>
      </c>
      <c r="D50" s="655"/>
      <c r="E50" s="656"/>
      <c r="F50" s="656"/>
      <c r="G50" s="648"/>
      <c r="H50" s="648"/>
      <c r="I50" s="648"/>
      <c r="J50" s="648"/>
      <c r="K50" s="648"/>
      <c r="L50" s="648"/>
      <c r="M50" s="635">
        <v>0</v>
      </c>
      <c r="N50" s="635">
        <v>0</v>
      </c>
      <c r="O50" s="635">
        <v>0</v>
      </c>
      <c r="P50" s="635">
        <v>0</v>
      </c>
      <c r="Q50" s="635">
        <v>0</v>
      </c>
      <c r="R50" s="635">
        <v>0</v>
      </c>
      <c r="S50" s="635">
        <v>0</v>
      </c>
      <c r="T50" s="635">
        <v>0</v>
      </c>
      <c r="U50" s="635">
        <v>0</v>
      </c>
      <c r="V50" s="635">
        <v>0</v>
      </c>
      <c r="X50" s="241"/>
    </row>
    <row r="51" spans="3:24" s="606" customFormat="1" outlineLevel="1">
      <c r="C51" s="654" t="s">
        <v>716</v>
      </c>
      <c r="D51" s="655"/>
      <c r="E51" s="656"/>
      <c r="F51" s="656"/>
      <c r="G51" s="648"/>
      <c r="H51" s="648"/>
      <c r="I51" s="648"/>
      <c r="J51" s="648"/>
      <c r="K51" s="648"/>
      <c r="L51" s="648"/>
      <c r="M51" s="635">
        <v>0</v>
      </c>
      <c r="N51" s="635">
        <v>0</v>
      </c>
      <c r="O51" s="635">
        <v>0</v>
      </c>
      <c r="P51" s="635">
        <v>0</v>
      </c>
      <c r="Q51" s="635">
        <v>0</v>
      </c>
      <c r="R51" s="635">
        <v>0</v>
      </c>
      <c r="S51" s="635">
        <v>0</v>
      </c>
      <c r="T51" s="635">
        <v>0</v>
      </c>
      <c r="U51" s="635">
        <v>0</v>
      </c>
      <c r="V51" s="635">
        <v>0</v>
      </c>
      <c r="X51" s="241"/>
    </row>
    <row r="52" spans="3:24" s="606" customFormat="1" outlineLevel="1">
      <c r="C52" s="654" t="s">
        <v>716</v>
      </c>
      <c r="D52" s="655"/>
      <c r="E52" s="656"/>
      <c r="F52" s="656"/>
      <c r="G52" s="648"/>
      <c r="H52" s="648"/>
      <c r="I52" s="648"/>
      <c r="J52" s="648"/>
      <c r="K52" s="648"/>
      <c r="L52" s="648"/>
      <c r="M52" s="635">
        <v>0</v>
      </c>
      <c r="N52" s="635">
        <v>0</v>
      </c>
      <c r="O52" s="635">
        <v>0</v>
      </c>
      <c r="P52" s="635">
        <v>0</v>
      </c>
      <c r="Q52" s="635">
        <v>0</v>
      </c>
      <c r="R52" s="635">
        <v>0</v>
      </c>
      <c r="S52" s="635">
        <v>0</v>
      </c>
      <c r="T52" s="635">
        <v>0</v>
      </c>
      <c r="U52" s="635">
        <v>0</v>
      </c>
      <c r="V52" s="635">
        <v>0</v>
      </c>
      <c r="X52" s="241"/>
    </row>
    <row r="53" spans="3:24" s="606" customFormat="1" outlineLevel="1">
      <c r="C53" s="654" t="s">
        <v>716</v>
      </c>
      <c r="D53" s="655"/>
      <c r="E53" s="656"/>
      <c r="F53" s="656"/>
      <c r="G53" s="648"/>
      <c r="H53" s="648"/>
      <c r="I53" s="648"/>
      <c r="J53" s="648"/>
      <c r="K53" s="648"/>
      <c r="L53" s="648"/>
      <c r="M53" s="635">
        <v>0</v>
      </c>
      <c r="N53" s="635">
        <v>0</v>
      </c>
      <c r="O53" s="635">
        <v>0</v>
      </c>
      <c r="P53" s="635">
        <v>0</v>
      </c>
      <c r="Q53" s="635">
        <v>0</v>
      </c>
      <c r="R53" s="635">
        <v>0</v>
      </c>
      <c r="S53" s="635">
        <v>0</v>
      </c>
      <c r="T53" s="635">
        <v>0</v>
      </c>
      <c r="U53" s="635">
        <v>0</v>
      </c>
      <c r="V53" s="635">
        <v>0</v>
      </c>
      <c r="X53" s="241"/>
    </row>
    <row r="54" spans="3:24" s="606" customFormat="1" outlineLevel="1">
      <c r="C54" s="654" t="s">
        <v>716</v>
      </c>
      <c r="D54" s="655"/>
      <c r="E54" s="656"/>
      <c r="F54" s="656"/>
      <c r="G54" s="648"/>
      <c r="H54" s="648"/>
      <c r="I54" s="648"/>
      <c r="J54" s="648"/>
      <c r="K54" s="648"/>
      <c r="L54" s="648"/>
      <c r="M54" s="635">
        <v>0</v>
      </c>
      <c r="N54" s="635">
        <v>0</v>
      </c>
      <c r="O54" s="635">
        <v>0</v>
      </c>
      <c r="P54" s="635">
        <v>0</v>
      </c>
      <c r="Q54" s="635">
        <v>0</v>
      </c>
      <c r="R54" s="635">
        <v>0</v>
      </c>
      <c r="S54" s="635">
        <v>0</v>
      </c>
      <c r="T54" s="635">
        <v>0</v>
      </c>
      <c r="U54" s="635">
        <v>0</v>
      </c>
      <c r="V54" s="635">
        <v>0</v>
      </c>
      <c r="X54" s="241"/>
    </row>
    <row r="55" spans="3:24" s="606" customFormat="1" outlineLevel="1">
      <c r="C55" s="654" t="s">
        <v>716</v>
      </c>
      <c r="D55" s="655"/>
      <c r="E55" s="656"/>
      <c r="F55" s="656"/>
      <c r="G55" s="648"/>
      <c r="H55" s="648"/>
      <c r="I55" s="648"/>
      <c r="J55" s="648"/>
      <c r="K55" s="648"/>
      <c r="L55" s="648"/>
      <c r="M55" s="635">
        <v>0</v>
      </c>
      <c r="N55" s="635">
        <v>0</v>
      </c>
      <c r="O55" s="635">
        <v>0</v>
      </c>
      <c r="P55" s="635">
        <v>0</v>
      </c>
      <c r="Q55" s="635">
        <v>0</v>
      </c>
      <c r="R55" s="635">
        <v>0</v>
      </c>
      <c r="S55" s="635">
        <v>0</v>
      </c>
      <c r="T55" s="635">
        <v>0</v>
      </c>
      <c r="U55" s="635">
        <v>0</v>
      </c>
      <c r="V55" s="635">
        <v>0</v>
      </c>
      <c r="X55" s="241"/>
    </row>
    <row r="56" spans="3:24" s="606" customFormat="1" outlineLevel="1">
      <c r="C56" s="654" t="s">
        <v>716</v>
      </c>
      <c r="D56" s="655"/>
      <c r="E56" s="656"/>
      <c r="F56" s="656"/>
      <c r="G56" s="648"/>
      <c r="H56" s="648"/>
      <c r="I56" s="648"/>
      <c r="J56" s="648"/>
      <c r="K56" s="648"/>
      <c r="L56" s="648"/>
      <c r="M56" s="635">
        <v>0</v>
      </c>
      <c r="N56" s="635">
        <v>0</v>
      </c>
      <c r="O56" s="635">
        <v>0</v>
      </c>
      <c r="P56" s="635">
        <v>0</v>
      </c>
      <c r="Q56" s="635">
        <v>0</v>
      </c>
      <c r="R56" s="635">
        <v>0</v>
      </c>
      <c r="S56" s="635">
        <v>0</v>
      </c>
      <c r="T56" s="635">
        <v>0</v>
      </c>
      <c r="U56" s="635">
        <v>0</v>
      </c>
      <c r="V56" s="635">
        <v>0</v>
      </c>
      <c r="X56" s="241"/>
    </row>
    <row r="57" spans="3:24" s="606" customFormat="1" outlineLevel="1">
      <c r="C57" s="654" t="s">
        <v>716</v>
      </c>
      <c r="D57" s="655"/>
      <c r="E57" s="656"/>
      <c r="F57" s="656"/>
      <c r="G57" s="648"/>
      <c r="H57" s="648"/>
      <c r="I57" s="648"/>
      <c r="J57" s="648"/>
      <c r="K57" s="648"/>
      <c r="L57" s="648"/>
      <c r="M57" s="635">
        <v>0</v>
      </c>
      <c r="N57" s="635">
        <v>0</v>
      </c>
      <c r="O57" s="635">
        <v>0</v>
      </c>
      <c r="P57" s="635">
        <v>0</v>
      </c>
      <c r="Q57" s="635">
        <v>0</v>
      </c>
      <c r="R57" s="635">
        <v>0</v>
      </c>
      <c r="S57" s="635">
        <v>0</v>
      </c>
      <c r="T57" s="635">
        <v>0</v>
      </c>
      <c r="U57" s="635">
        <v>0</v>
      </c>
      <c r="V57" s="635">
        <v>0</v>
      </c>
      <c r="X57" s="241"/>
    </row>
    <row r="58" spans="3:24" s="606" customFormat="1" outlineLevel="1">
      <c r="C58" s="654" t="s">
        <v>716</v>
      </c>
      <c r="D58" s="655"/>
      <c r="E58" s="656"/>
      <c r="F58" s="656"/>
      <c r="G58" s="648"/>
      <c r="H58" s="648"/>
      <c r="I58" s="648"/>
      <c r="J58" s="648"/>
      <c r="K58" s="648"/>
      <c r="L58" s="648"/>
      <c r="M58" s="635">
        <v>0</v>
      </c>
      <c r="N58" s="635">
        <v>0</v>
      </c>
      <c r="O58" s="635">
        <v>0</v>
      </c>
      <c r="P58" s="635">
        <v>0</v>
      </c>
      <c r="Q58" s="635">
        <v>0</v>
      </c>
      <c r="R58" s="635">
        <v>0</v>
      </c>
      <c r="S58" s="635">
        <v>0</v>
      </c>
      <c r="T58" s="635">
        <v>0</v>
      </c>
      <c r="U58" s="635">
        <v>0</v>
      </c>
      <c r="V58" s="635">
        <v>0</v>
      </c>
      <c r="X58" s="241"/>
    </row>
    <row r="59" spans="3:24" s="606" customFormat="1" outlineLevel="1">
      <c r="C59" s="657" t="s">
        <v>717</v>
      </c>
      <c r="D59" s="648"/>
      <c r="E59" s="649"/>
      <c r="F59" s="649"/>
      <c r="G59" s="648"/>
      <c r="H59" s="648"/>
      <c r="I59" s="648"/>
      <c r="J59" s="648"/>
      <c r="K59" s="648"/>
      <c r="L59" s="648"/>
      <c r="M59" s="723">
        <v>262.40677787586361</v>
      </c>
      <c r="N59" s="724">
        <v>399.62925049190147</v>
      </c>
      <c r="O59" s="724">
        <v>296.59316769236932</v>
      </c>
      <c r="P59" s="724">
        <v>249.559146710269</v>
      </c>
      <c r="Q59" s="724">
        <v>224.76006146983627</v>
      </c>
      <c r="R59" s="724">
        <v>231.31240076705012</v>
      </c>
      <c r="S59" s="725">
        <v>227.65476808808012</v>
      </c>
      <c r="T59" s="726">
        <v>219.56327073418143</v>
      </c>
      <c r="U59" s="727">
        <v>193.19611206514048</v>
      </c>
      <c r="V59" s="724">
        <v>163.28794123526464</v>
      </c>
      <c r="X59" s="658">
        <v>0</v>
      </c>
    </row>
    <row r="60" spans="3:24" s="606" customFormat="1" outlineLevel="1">
      <c r="C60" s="647" t="s">
        <v>718</v>
      </c>
      <c r="D60" s="648"/>
      <c r="E60" s="649"/>
      <c r="F60" s="649"/>
      <c r="G60" s="648"/>
      <c r="H60" s="648"/>
      <c r="I60" s="648"/>
      <c r="J60" s="648"/>
      <c r="K60" s="648"/>
      <c r="L60" s="648"/>
      <c r="M60" s="635">
        <v>0</v>
      </c>
      <c r="N60" s="635">
        <v>0</v>
      </c>
      <c r="O60" s="635">
        <v>0</v>
      </c>
      <c r="P60" s="635">
        <v>0</v>
      </c>
      <c r="Q60" s="635">
        <v>0</v>
      </c>
      <c r="R60" s="635">
        <v>0</v>
      </c>
      <c r="S60" s="635">
        <v>0</v>
      </c>
      <c r="T60" s="635">
        <v>0</v>
      </c>
      <c r="U60" s="635">
        <v>0</v>
      </c>
      <c r="V60" s="635">
        <v>0</v>
      </c>
      <c r="X60" s="241"/>
    </row>
    <row r="61" spans="3:24" s="606" customFormat="1" outlineLevel="1">
      <c r="C61" s="647" t="s">
        <v>719</v>
      </c>
      <c r="D61" s="648"/>
      <c r="E61" s="649"/>
      <c r="F61" s="649"/>
      <c r="G61" s="648"/>
      <c r="H61" s="648"/>
      <c r="I61" s="648"/>
      <c r="J61" s="648"/>
      <c r="K61" s="648"/>
      <c r="L61" s="648"/>
      <c r="M61" s="635">
        <v>0.28329284999999998</v>
      </c>
      <c r="N61" s="635">
        <v>0.30700746999999995</v>
      </c>
      <c r="O61" s="635">
        <v>0.28404590000000002</v>
      </c>
      <c r="P61" s="635">
        <v>0.27436445682940558</v>
      </c>
      <c r="Q61" s="635">
        <v>0</v>
      </c>
      <c r="R61" s="635">
        <v>0.1</v>
      </c>
      <c r="S61" s="635">
        <v>0.1</v>
      </c>
      <c r="T61" s="635">
        <v>0.1</v>
      </c>
      <c r="U61" s="635">
        <v>0.1</v>
      </c>
      <c r="V61" s="635">
        <v>0.1</v>
      </c>
      <c r="X61" s="241"/>
    </row>
    <row r="62" spans="3:24" s="606" customFormat="1" outlineLevel="1">
      <c r="C62" s="647" t="s">
        <v>720</v>
      </c>
      <c r="D62" s="648"/>
      <c r="E62" s="649"/>
      <c r="F62" s="649"/>
      <c r="G62" s="648"/>
      <c r="H62" s="648"/>
      <c r="I62" s="648"/>
      <c r="J62" s="648"/>
      <c r="K62" s="648"/>
      <c r="L62" s="648"/>
      <c r="M62" s="635">
        <v>0</v>
      </c>
      <c r="N62" s="635">
        <v>0</v>
      </c>
      <c r="O62" s="635">
        <v>0</v>
      </c>
      <c r="P62" s="635">
        <v>0</v>
      </c>
      <c r="Q62" s="635">
        <v>0</v>
      </c>
      <c r="R62" s="635">
        <v>0</v>
      </c>
      <c r="S62" s="635">
        <v>0</v>
      </c>
      <c r="T62" s="635">
        <v>0</v>
      </c>
      <c r="U62" s="635">
        <v>0</v>
      </c>
      <c r="V62" s="635">
        <v>0</v>
      </c>
      <c r="X62" s="241"/>
    </row>
    <row r="63" spans="3:24" s="606" customFormat="1" outlineLevel="1">
      <c r="C63" s="647" t="s">
        <v>721</v>
      </c>
      <c r="D63" s="648"/>
      <c r="E63" s="649"/>
      <c r="F63" s="649"/>
      <c r="G63" s="648"/>
      <c r="H63" s="648"/>
      <c r="I63" s="648"/>
      <c r="J63" s="648"/>
      <c r="K63" s="648"/>
      <c r="L63" s="648"/>
      <c r="M63" s="635">
        <v>0</v>
      </c>
      <c r="N63" s="635">
        <v>0</v>
      </c>
      <c r="O63" s="635">
        <v>0</v>
      </c>
      <c r="P63" s="635">
        <v>0</v>
      </c>
      <c r="Q63" s="635">
        <v>0</v>
      </c>
      <c r="R63" s="635">
        <v>0</v>
      </c>
      <c r="S63" s="635">
        <v>0</v>
      </c>
      <c r="T63" s="635">
        <v>0</v>
      </c>
      <c r="U63" s="635">
        <v>0</v>
      </c>
      <c r="V63" s="635">
        <v>0</v>
      </c>
      <c r="X63" s="241"/>
    </row>
    <row r="64" spans="3:24" s="606" customFormat="1" outlineLevel="1">
      <c r="C64" s="647" t="s">
        <v>722</v>
      </c>
      <c r="D64" s="648"/>
      <c r="E64" s="649"/>
      <c r="F64" s="649"/>
      <c r="G64" s="648"/>
      <c r="H64" s="648"/>
      <c r="I64" s="648"/>
      <c r="J64" s="648"/>
      <c r="K64" s="648"/>
      <c r="L64" s="648"/>
      <c r="M64" s="635">
        <v>0.2824158799999999</v>
      </c>
      <c r="N64" s="635">
        <v>3.0097344699999997</v>
      </c>
      <c r="O64" s="635">
        <v>1.9666726999999986</v>
      </c>
      <c r="P64" s="635">
        <v>0.57600000000000007</v>
      </c>
      <c r="Q64" s="635">
        <v>0.57600000000000007</v>
      </c>
      <c r="R64" s="635">
        <v>0.57600000000000007</v>
      </c>
      <c r="S64" s="635">
        <v>0.57600000000000007</v>
      </c>
      <c r="T64" s="635">
        <v>0.57600000000000007</v>
      </c>
      <c r="U64" s="635">
        <v>0.57600000000000007</v>
      </c>
      <c r="V64" s="635">
        <v>0.57600000000000007</v>
      </c>
      <c r="X64" s="241"/>
    </row>
    <row r="65" spans="3:24" s="606" customFormat="1" outlineLevel="1">
      <c r="C65" s="647" t="s">
        <v>723</v>
      </c>
      <c r="D65" s="648"/>
      <c r="E65" s="649"/>
      <c r="F65" s="649"/>
      <c r="G65" s="648"/>
      <c r="H65" s="648"/>
      <c r="I65" s="648"/>
      <c r="J65" s="648"/>
      <c r="K65" s="648"/>
      <c r="L65" s="648"/>
      <c r="M65" s="635">
        <v>0</v>
      </c>
      <c r="N65" s="635">
        <v>0</v>
      </c>
      <c r="O65" s="635">
        <v>0</v>
      </c>
      <c r="P65" s="635">
        <v>0</v>
      </c>
      <c r="Q65" s="635">
        <v>0</v>
      </c>
      <c r="R65" s="635">
        <v>0</v>
      </c>
      <c r="S65" s="635">
        <v>0</v>
      </c>
      <c r="T65" s="635">
        <v>0</v>
      </c>
      <c r="U65" s="635">
        <v>0</v>
      </c>
      <c r="V65" s="635">
        <v>0</v>
      </c>
      <c r="X65" s="241"/>
    </row>
    <row r="66" spans="3:24" s="606" customFormat="1" outlineLevel="1">
      <c r="C66" s="647" t="s">
        <v>724</v>
      </c>
      <c r="D66" s="648"/>
      <c r="E66" s="656"/>
      <c r="F66" s="656"/>
      <c r="G66" s="648"/>
      <c r="H66" s="648"/>
      <c r="I66" s="648"/>
      <c r="J66" s="648"/>
      <c r="K66" s="648"/>
      <c r="L66" s="648"/>
      <c r="M66" s="635">
        <v>0</v>
      </c>
      <c r="N66" s="635">
        <v>0</v>
      </c>
      <c r="O66" s="635">
        <v>0</v>
      </c>
      <c r="P66" s="635">
        <v>0</v>
      </c>
      <c r="Q66" s="635">
        <v>0</v>
      </c>
      <c r="R66" s="635">
        <v>0</v>
      </c>
      <c r="S66" s="635">
        <v>0</v>
      </c>
      <c r="T66" s="635">
        <v>0</v>
      </c>
      <c r="U66" s="635">
        <v>0</v>
      </c>
      <c r="V66" s="635">
        <v>0</v>
      </c>
      <c r="X66" s="241"/>
    </row>
    <row r="67" spans="3:24" s="606" customFormat="1" outlineLevel="1">
      <c r="C67" s="647" t="s">
        <v>725</v>
      </c>
      <c r="D67" s="648"/>
      <c r="E67" s="656"/>
      <c r="F67" s="656"/>
      <c r="G67" s="648"/>
      <c r="H67" s="648"/>
      <c r="I67" s="648"/>
      <c r="J67" s="648"/>
      <c r="K67" s="648"/>
      <c r="L67" s="648"/>
      <c r="M67" s="635">
        <v>0</v>
      </c>
      <c r="N67" s="635">
        <v>0</v>
      </c>
      <c r="O67" s="635">
        <v>0</v>
      </c>
      <c r="P67" s="635">
        <v>0</v>
      </c>
      <c r="Q67" s="635">
        <v>0</v>
      </c>
      <c r="R67" s="635">
        <v>0</v>
      </c>
      <c r="S67" s="635">
        <v>0</v>
      </c>
      <c r="T67" s="635">
        <v>0</v>
      </c>
      <c r="U67" s="635">
        <v>0</v>
      </c>
      <c r="V67" s="635">
        <v>0</v>
      </c>
      <c r="X67" s="241"/>
    </row>
    <row r="68" spans="3:24" s="606" customFormat="1" outlineLevel="1">
      <c r="C68" s="647" t="s">
        <v>1226</v>
      </c>
      <c r="D68" s="648"/>
      <c r="E68" s="656"/>
      <c r="F68" s="656"/>
      <c r="G68" s="648"/>
      <c r="H68" s="648"/>
      <c r="I68" s="648"/>
      <c r="J68" s="648"/>
      <c r="K68" s="648"/>
      <c r="L68" s="648"/>
      <c r="M68" s="635">
        <v>2.0715935500000002</v>
      </c>
      <c r="N68" s="635">
        <v>0.47992902999999987</v>
      </c>
      <c r="O68" s="635">
        <v>0</v>
      </c>
      <c r="P68" s="635">
        <v>1.3724999999999998</v>
      </c>
      <c r="Q68" s="635">
        <v>1.3724999999999998</v>
      </c>
      <c r="R68" s="635">
        <v>1.3724999999999998</v>
      </c>
      <c r="S68" s="635">
        <v>1.3724999999999998</v>
      </c>
      <c r="T68" s="635">
        <v>1.2374999999999998</v>
      </c>
      <c r="U68" s="635">
        <v>1.9375</v>
      </c>
      <c r="V68" s="635">
        <v>1.9375</v>
      </c>
      <c r="X68" s="241"/>
    </row>
    <row r="69" spans="3:24" s="606" customFormat="1" outlineLevel="1">
      <c r="C69" s="647" t="s">
        <v>1227</v>
      </c>
      <c r="D69" s="648"/>
      <c r="E69" s="656"/>
      <c r="F69" s="656"/>
      <c r="G69" s="648"/>
      <c r="H69" s="648"/>
      <c r="I69" s="648"/>
      <c r="J69" s="648"/>
      <c r="K69" s="648"/>
      <c r="L69" s="648"/>
      <c r="M69" s="635">
        <v>2.2028046199999936</v>
      </c>
      <c r="N69" s="635">
        <v>4.8071688899999998</v>
      </c>
      <c r="O69" s="635">
        <v>3.0948219199999998</v>
      </c>
      <c r="P69" s="635">
        <v>3.1435497985872614</v>
      </c>
      <c r="Q69" s="635">
        <v>3.0911244600216339</v>
      </c>
      <c r="R69" s="635">
        <v>3.1004100004414052</v>
      </c>
      <c r="S69" s="635">
        <v>3.4267767935017908</v>
      </c>
      <c r="T69" s="635">
        <v>3.2667140631180303</v>
      </c>
      <c r="U69" s="635">
        <v>4.1699994759278569</v>
      </c>
      <c r="V69" s="635">
        <v>4.1885232203278999</v>
      </c>
      <c r="X69" s="241"/>
    </row>
    <row r="70" spans="3:24" s="606" customFormat="1" outlineLevel="1">
      <c r="C70" s="647" t="s">
        <v>1228</v>
      </c>
      <c r="D70" s="648"/>
      <c r="E70" s="656"/>
      <c r="F70" s="656"/>
      <c r="G70" s="648"/>
      <c r="H70" s="648"/>
      <c r="I70" s="648"/>
      <c r="J70" s="648"/>
      <c r="K70" s="648"/>
      <c r="L70" s="648"/>
      <c r="M70" s="635">
        <v>77.819520879999999</v>
      </c>
      <c r="N70" s="635">
        <v>-158</v>
      </c>
      <c r="O70" s="635">
        <v>-27.193917420000091</v>
      </c>
      <c r="P70" s="635">
        <v>0</v>
      </c>
      <c r="Q70" s="635">
        <v>0</v>
      </c>
      <c r="R70" s="635">
        <v>0</v>
      </c>
      <c r="S70" s="635">
        <v>0</v>
      </c>
      <c r="T70" s="635">
        <v>0</v>
      </c>
      <c r="U70" s="635">
        <v>0</v>
      </c>
      <c r="V70" s="635">
        <v>0</v>
      </c>
      <c r="X70" s="241"/>
    </row>
    <row r="71" spans="3:24" s="606" customFormat="1" outlineLevel="1">
      <c r="C71" s="647" t="s">
        <v>1229</v>
      </c>
      <c r="D71" s="648"/>
      <c r="E71" s="656"/>
      <c r="F71" s="656"/>
      <c r="G71" s="648"/>
      <c r="H71" s="648"/>
      <c r="I71" s="648"/>
      <c r="J71" s="648"/>
      <c r="K71" s="648"/>
      <c r="L71" s="648"/>
      <c r="M71" s="635">
        <v>0</v>
      </c>
      <c r="N71" s="635">
        <v>0</v>
      </c>
      <c r="O71" s="635">
        <v>0</v>
      </c>
      <c r="P71" s="635">
        <v>0</v>
      </c>
      <c r="Q71" s="635">
        <v>0</v>
      </c>
      <c r="R71" s="635">
        <v>0</v>
      </c>
      <c r="S71" s="635">
        <v>0</v>
      </c>
      <c r="T71" s="635">
        <v>0</v>
      </c>
      <c r="U71" s="635">
        <v>0</v>
      </c>
      <c r="V71" s="635">
        <v>0</v>
      </c>
      <c r="X71" s="241"/>
    </row>
    <row r="72" spans="3:24" s="606" customFormat="1" outlineLevel="1">
      <c r="C72" s="647" t="s">
        <v>1230</v>
      </c>
      <c r="D72" s="648"/>
      <c r="E72" s="656"/>
      <c r="F72" s="656"/>
      <c r="G72" s="648"/>
      <c r="H72" s="648"/>
      <c r="I72" s="648"/>
      <c r="J72" s="648"/>
      <c r="K72" s="648"/>
      <c r="L72" s="648"/>
      <c r="M72" s="635">
        <v>8.356848999999987E-2</v>
      </c>
      <c r="N72" s="635">
        <v>0</v>
      </c>
      <c r="O72" s="635">
        <v>0</v>
      </c>
      <c r="P72" s="635">
        <v>0</v>
      </c>
      <c r="Q72" s="635">
        <v>0</v>
      </c>
      <c r="R72" s="635">
        <v>0</v>
      </c>
      <c r="S72" s="635">
        <v>0</v>
      </c>
      <c r="T72" s="635">
        <v>0</v>
      </c>
      <c r="U72" s="635">
        <v>0</v>
      </c>
      <c r="V72" s="635">
        <v>0</v>
      </c>
      <c r="X72" s="241"/>
    </row>
    <row r="73" spans="3:24" s="606" customFormat="1" outlineLevel="1">
      <c r="C73" s="647" t="s">
        <v>1231</v>
      </c>
      <c r="D73" s="648"/>
      <c r="E73" s="656"/>
      <c r="F73" s="656"/>
      <c r="G73" s="648"/>
      <c r="H73" s="648"/>
      <c r="I73" s="648"/>
      <c r="J73" s="648"/>
      <c r="K73" s="648"/>
      <c r="L73" s="648"/>
      <c r="M73" s="635">
        <v>-5.1306416658636884</v>
      </c>
      <c r="N73" s="635">
        <v>1.9080176180983983</v>
      </c>
      <c r="O73" s="635">
        <v>-1.6039496476337907</v>
      </c>
      <c r="P73" s="635">
        <v>0</v>
      </c>
      <c r="Q73" s="635">
        <v>0</v>
      </c>
      <c r="R73" s="635">
        <v>0</v>
      </c>
      <c r="S73" s="635">
        <v>0</v>
      </c>
      <c r="T73" s="635">
        <v>0</v>
      </c>
      <c r="U73" s="635">
        <v>0</v>
      </c>
      <c r="V73" s="635">
        <v>0</v>
      </c>
      <c r="X73" s="241"/>
    </row>
    <row r="74" spans="3:24" s="606" customFormat="1" outlineLevel="1">
      <c r="C74" s="647" t="s">
        <v>1232</v>
      </c>
      <c r="D74" s="648"/>
      <c r="E74" s="656"/>
      <c r="F74" s="656"/>
      <c r="G74" s="648"/>
      <c r="H74" s="648"/>
      <c r="I74" s="648"/>
      <c r="J74" s="648"/>
      <c r="K74" s="648"/>
      <c r="L74" s="648"/>
      <c r="M74" s="635">
        <v>-13.819698439999998</v>
      </c>
      <c r="N74" s="635">
        <v>-14.963229609999999</v>
      </c>
      <c r="O74" s="635">
        <v>-15.535199629999999</v>
      </c>
      <c r="P74" s="635">
        <v>-3.7789985591600463</v>
      </c>
      <c r="Q74" s="635">
        <v>-3.2317871291445792</v>
      </c>
      <c r="R74" s="635">
        <v>-4.0239993791731523</v>
      </c>
      <c r="S74" s="635">
        <v>-5.3863195624922664</v>
      </c>
      <c r="T74" s="635">
        <v>-6.5059967502672222</v>
      </c>
      <c r="U74" s="635">
        <v>-7.838763557430573</v>
      </c>
      <c r="V74" s="635">
        <v>-9.1375961505129712</v>
      </c>
      <c r="X74" s="241"/>
    </row>
    <row r="75" spans="3:24" s="606" customFormat="1" outlineLevel="1">
      <c r="C75" s="657" t="s">
        <v>726</v>
      </c>
      <c r="D75" s="648"/>
      <c r="E75" s="659"/>
      <c r="F75" s="659"/>
      <c r="G75" s="648"/>
      <c r="H75" s="648"/>
      <c r="I75" s="648"/>
      <c r="J75" s="648"/>
      <c r="K75" s="648"/>
      <c r="L75" s="648"/>
      <c r="M75" s="700">
        <v>326.19963403999992</v>
      </c>
      <c r="N75" s="701">
        <v>237.17787835999985</v>
      </c>
      <c r="O75" s="701">
        <v>257.60564151473545</v>
      </c>
      <c r="P75" s="701">
        <v>251.14656240652562</v>
      </c>
      <c r="Q75" s="701">
        <v>226.56789880071332</v>
      </c>
      <c r="R75" s="701">
        <v>232.43731138831836</v>
      </c>
      <c r="S75" s="702">
        <v>227.74372531908963</v>
      </c>
      <c r="T75" s="703">
        <v>218.23748804703223</v>
      </c>
      <c r="U75" s="704">
        <v>192.14084798363774</v>
      </c>
      <c r="V75" s="701">
        <v>160.95236830507957</v>
      </c>
      <c r="X75" s="658">
        <v>0</v>
      </c>
    </row>
    <row r="76" spans="3:24" s="606" customFormat="1" outlineLevel="1">
      <c r="C76" s="660"/>
      <c r="D76" s="661"/>
      <c r="E76" s="662"/>
      <c r="F76" s="662"/>
      <c r="G76" s="661"/>
      <c r="H76" s="661"/>
      <c r="I76" s="661"/>
      <c r="J76" s="661"/>
      <c r="K76" s="661"/>
      <c r="L76" s="661"/>
      <c r="M76" s="663"/>
      <c r="N76" s="663"/>
      <c r="O76" s="663"/>
      <c r="P76" s="663"/>
      <c r="Q76" s="663"/>
      <c r="R76" s="663"/>
      <c r="S76" s="663"/>
      <c r="T76" s="664"/>
      <c r="U76" s="663"/>
      <c r="V76" s="663"/>
      <c r="X76" s="663"/>
    </row>
    <row r="77" spans="3:24" s="606" customFormat="1" outlineLevel="1">
      <c r="C77" s="665" t="s">
        <v>727</v>
      </c>
      <c r="D77" s="666"/>
      <c r="E77" s="666"/>
      <c r="F77" s="667"/>
      <c r="G77" s="666"/>
      <c r="H77" s="666"/>
      <c r="I77" s="666"/>
      <c r="J77" s="666"/>
      <c r="K77" s="666"/>
      <c r="L77" s="666"/>
      <c r="M77" s="663"/>
      <c r="N77" s="663"/>
      <c r="O77" s="663"/>
      <c r="P77" s="663"/>
      <c r="Q77" s="663"/>
      <c r="R77" s="663"/>
      <c r="S77" s="663"/>
      <c r="T77" s="664"/>
      <c r="U77" s="663"/>
      <c r="V77" s="663"/>
      <c r="X77" s="663"/>
    </row>
    <row r="78" spans="3:24" s="606" customFormat="1" outlineLevel="1">
      <c r="C78" s="647" t="s">
        <v>728</v>
      </c>
      <c r="D78" s="648"/>
      <c r="E78" s="649"/>
      <c r="F78" s="649"/>
      <c r="G78" s="648"/>
      <c r="H78" s="648"/>
      <c r="I78" s="648"/>
      <c r="J78" s="648"/>
      <c r="K78" s="648"/>
      <c r="L78" s="649"/>
      <c r="M78" s="635">
        <v>0</v>
      </c>
      <c r="N78" s="635">
        <v>0</v>
      </c>
      <c r="O78" s="635">
        <v>0</v>
      </c>
      <c r="P78" s="635">
        <v>0</v>
      </c>
      <c r="Q78" s="635">
        <v>0</v>
      </c>
      <c r="R78" s="635">
        <v>0</v>
      </c>
      <c r="S78" s="635">
        <v>0</v>
      </c>
      <c r="T78" s="635">
        <v>0</v>
      </c>
      <c r="U78" s="635">
        <v>0</v>
      </c>
      <c r="V78" s="635">
        <v>0</v>
      </c>
      <c r="X78" s="241"/>
    </row>
    <row r="79" spans="3:24" s="606" customFormat="1" outlineLevel="1">
      <c r="C79" s="649" t="s">
        <v>729</v>
      </c>
      <c r="D79" s="648"/>
      <c r="E79" s="649"/>
      <c r="F79" s="649"/>
      <c r="G79" s="648"/>
      <c r="H79" s="648"/>
      <c r="I79" s="648"/>
      <c r="J79" s="648"/>
      <c r="K79" s="648"/>
      <c r="L79" s="649"/>
      <c r="M79" s="635">
        <v>0</v>
      </c>
      <c r="N79" s="635">
        <v>0</v>
      </c>
      <c r="O79" s="635">
        <v>0</v>
      </c>
      <c r="P79" s="635">
        <v>0</v>
      </c>
      <c r="Q79" s="635">
        <v>0</v>
      </c>
      <c r="R79" s="635">
        <v>0</v>
      </c>
      <c r="S79" s="635">
        <v>0</v>
      </c>
      <c r="T79" s="635">
        <v>0</v>
      </c>
      <c r="U79" s="635">
        <v>0</v>
      </c>
      <c r="V79" s="635">
        <v>0</v>
      </c>
      <c r="X79" s="241"/>
    </row>
    <row r="80" spans="3:24" s="606" customFormat="1" outlineLevel="1">
      <c r="C80" s="649" t="s">
        <v>730</v>
      </c>
      <c r="D80" s="648"/>
      <c r="E80" s="649"/>
      <c r="F80" s="649"/>
      <c r="G80" s="648"/>
      <c r="H80" s="648"/>
      <c r="I80" s="648"/>
      <c r="J80" s="648"/>
      <c r="K80" s="648"/>
      <c r="L80" s="649"/>
      <c r="M80" s="635">
        <v>0</v>
      </c>
      <c r="N80" s="635">
        <v>0</v>
      </c>
      <c r="O80" s="635">
        <v>0</v>
      </c>
      <c r="P80" s="635">
        <v>0</v>
      </c>
      <c r="Q80" s="635">
        <v>0</v>
      </c>
      <c r="R80" s="635">
        <v>0</v>
      </c>
      <c r="S80" s="635">
        <v>0</v>
      </c>
      <c r="T80" s="635">
        <v>0</v>
      </c>
      <c r="U80" s="635">
        <v>0</v>
      </c>
      <c r="V80" s="635">
        <v>0</v>
      </c>
      <c r="X80" s="241"/>
    </row>
    <row r="81" spans="2:24" s="606" customFormat="1" outlineLevel="1">
      <c r="B81" s="629" t="s">
        <v>849</v>
      </c>
      <c r="C81" s="653" t="s">
        <v>850</v>
      </c>
      <c r="D81" s="650"/>
      <c r="E81" s="651"/>
      <c r="F81" s="651"/>
      <c r="G81" s="648"/>
      <c r="H81" s="648"/>
      <c r="I81" s="648"/>
      <c r="J81" s="648"/>
      <c r="K81" s="648"/>
      <c r="L81" s="649"/>
      <c r="M81" s="728">
        <v>0</v>
      </c>
      <c r="N81" s="729">
        <v>0</v>
      </c>
      <c r="O81" s="729">
        <v>0</v>
      </c>
      <c r="P81" s="729">
        <v>0</v>
      </c>
      <c r="Q81" s="729">
        <v>0</v>
      </c>
      <c r="R81" s="729">
        <v>0</v>
      </c>
      <c r="S81" s="730">
        <v>0</v>
      </c>
      <c r="T81" s="731">
        <v>0</v>
      </c>
      <c r="U81" s="732">
        <v>0</v>
      </c>
      <c r="V81" s="729">
        <v>0</v>
      </c>
      <c r="X81" s="668">
        <v>0</v>
      </c>
    </row>
    <row r="82" spans="2:24" s="606" customFormat="1" outlineLevel="1">
      <c r="C82" s="657" t="s">
        <v>731</v>
      </c>
      <c r="D82" s="648"/>
      <c r="E82" s="649"/>
      <c r="F82" s="649"/>
      <c r="G82" s="648"/>
      <c r="H82" s="648"/>
      <c r="I82" s="648"/>
      <c r="J82" s="648"/>
      <c r="K82" s="648"/>
      <c r="L82" s="649"/>
      <c r="M82" s="723">
        <v>0</v>
      </c>
      <c r="N82" s="724">
        <v>0</v>
      </c>
      <c r="O82" s="724">
        <v>0</v>
      </c>
      <c r="P82" s="724">
        <v>0</v>
      </c>
      <c r="Q82" s="724">
        <v>0</v>
      </c>
      <c r="R82" s="724">
        <v>0</v>
      </c>
      <c r="S82" s="725">
        <v>0</v>
      </c>
      <c r="T82" s="726">
        <v>0</v>
      </c>
      <c r="U82" s="727">
        <v>0</v>
      </c>
      <c r="V82" s="724">
        <v>0</v>
      </c>
      <c r="X82" s="658">
        <v>0</v>
      </c>
    </row>
    <row r="83" spans="2:24" s="606" customFormat="1" outlineLevel="1">
      <c r="C83" s="647" t="s">
        <v>732</v>
      </c>
      <c r="D83" s="648"/>
      <c r="E83" s="649"/>
      <c r="F83" s="649"/>
      <c r="G83" s="648"/>
      <c r="H83" s="648"/>
      <c r="I83" s="648"/>
      <c r="J83" s="648"/>
      <c r="K83" s="648"/>
      <c r="L83" s="649"/>
      <c r="M83" s="635">
        <v>-9</v>
      </c>
      <c r="N83" s="635">
        <v>-29</v>
      </c>
      <c r="O83" s="635">
        <v>-33</v>
      </c>
      <c r="P83" s="635">
        <v>-35</v>
      </c>
      <c r="Q83" s="635">
        <v>-35</v>
      </c>
      <c r="R83" s="635">
        <v>-35</v>
      </c>
      <c r="S83" s="635">
        <v>-35</v>
      </c>
      <c r="T83" s="635">
        <v>-35</v>
      </c>
      <c r="U83" s="635">
        <v>-35</v>
      </c>
      <c r="V83" s="635">
        <v>-35</v>
      </c>
      <c r="X83" s="241"/>
    </row>
    <row r="84" spans="2:24" s="606" customFormat="1" outlineLevel="1">
      <c r="C84" s="647" t="s">
        <v>733</v>
      </c>
      <c r="D84" s="648"/>
      <c r="E84" s="649"/>
      <c r="F84" s="649"/>
      <c r="G84" s="648"/>
      <c r="H84" s="648"/>
      <c r="I84" s="648"/>
      <c r="J84" s="648"/>
      <c r="K84" s="648"/>
      <c r="L84" s="649"/>
      <c r="M84" s="635">
        <v>-0.68099082999999994</v>
      </c>
      <c r="N84" s="635">
        <v>2.2581284099999999</v>
      </c>
      <c r="O84" s="635">
        <v>3.6939941599999995</v>
      </c>
      <c r="P84" s="635">
        <v>0</v>
      </c>
      <c r="Q84" s="635">
        <v>0</v>
      </c>
      <c r="R84" s="635">
        <v>0</v>
      </c>
      <c r="S84" s="635">
        <v>0</v>
      </c>
      <c r="T84" s="635">
        <v>0</v>
      </c>
      <c r="U84" s="635">
        <v>0</v>
      </c>
      <c r="V84" s="635">
        <v>0</v>
      </c>
      <c r="X84" s="241"/>
    </row>
    <row r="85" spans="2:24" s="606" customFormat="1" outlineLevel="1">
      <c r="C85" s="647" t="s">
        <v>734</v>
      </c>
      <c r="D85" s="648"/>
      <c r="E85" s="656"/>
      <c r="F85" s="656"/>
      <c r="G85" s="648"/>
      <c r="H85" s="648"/>
      <c r="I85" s="648"/>
      <c r="J85" s="648"/>
      <c r="K85" s="648"/>
      <c r="L85" s="648"/>
      <c r="M85" s="635">
        <v>0</v>
      </c>
      <c r="N85" s="635">
        <v>0</v>
      </c>
      <c r="O85" s="635">
        <v>0</v>
      </c>
      <c r="P85" s="635">
        <v>0</v>
      </c>
      <c r="Q85" s="635">
        <v>0</v>
      </c>
      <c r="R85" s="635">
        <v>0</v>
      </c>
      <c r="S85" s="635">
        <v>0</v>
      </c>
      <c r="T85" s="635">
        <v>0</v>
      </c>
      <c r="U85" s="635">
        <v>0</v>
      </c>
      <c r="V85" s="635">
        <v>0</v>
      </c>
      <c r="X85" s="241"/>
    </row>
    <row r="86" spans="2:24" s="606" customFormat="1" outlineLevel="1">
      <c r="C86" s="654" t="s">
        <v>716</v>
      </c>
      <c r="D86" s="655"/>
      <c r="E86" s="656"/>
      <c r="F86" s="656"/>
      <c r="G86" s="648"/>
      <c r="H86" s="648"/>
      <c r="I86" s="648"/>
      <c r="J86" s="648"/>
      <c r="K86" s="648"/>
      <c r="L86" s="649"/>
      <c r="M86" s="635">
        <v>-0.16517507999999997</v>
      </c>
      <c r="N86" s="635">
        <v>-5.4610124200000003</v>
      </c>
      <c r="O86" s="635">
        <v>-25.441515750000001</v>
      </c>
      <c r="P86" s="635">
        <v>-34.462000000000003</v>
      </c>
      <c r="Q86" s="635">
        <v>-2.7540472468890598</v>
      </c>
      <c r="R86" s="635">
        <v>-0.95583592665683836</v>
      </c>
      <c r="S86" s="635">
        <v>-1.4013225</v>
      </c>
      <c r="T86" s="635">
        <v>-1.41024375</v>
      </c>
      <c r="U86" s="635">
        <v>-1.44568125</v>
      </c>
      <c r="V86" s="635">
        <v>-1.49961375</v>
      </c>
      <c r="X86" s="241"/>
    </row>
    <row r="87" spans="2:24" s="606" customFormat="1" outlineLevel="1">
      <c r="C87" s="657" t="s">
        <v>735</v>
      </c>
      <c r="D87" s="648"/>
      <c r="E87" s="649"/>
      <c r="F87" s="649"/>
      <c r="G87" s="648"/>
      <c r="H87" s="648"/>
      <c r="I87" s="648"/>
      <c r="J87" s="648"/>
      <c r="K87" s="648"/>
      <c r="L87" s="649"/>
      <c r="M87" s="700">
        <v>-9.8461659099999999</v>
      </c>
      <c r="N87" s="701">
        <v>-32.202884009999998</v>
      </c>
      <c r="O87" s="701">
        <v>-54.747521590000005</v>
      </c>
      <c r="P87" s="701">
        <v>-69.462000000000003</v>
      </c>
      <c r="Q87" s="701">
        <v>-37.754047246889058</v>
      </c>
      <c r="R87" s="701">
        <v>-35.955835926656839</v>
      </c>
      <c r="S87" s="702">
        <v>-36.401322499999999</v>
      </c>
      <c r="T87" s="703">
        <v>-36.410243749999999</v>
      </c>
      <c r="U87" s="704">
        <v>-36.44568125</v>
      </c>
      <c r="V87" s="701">
        <v>-36.499613750000002</v>
      </c>
      <c r="X87" s="658">
        <v>0</v>
      </c>
    </row>
    <row r="88" spans="2:24" s="606" customFormat="1" outlineLevel="1">
      <c r="C88" s="669"/>
      <c r="D88" s="661"/>
      <c r="E88" s="662"/>
      <c r="F88" s="662"/>
      <c r="G88" s="661"/>
      <c r="H88" s="661"/>
      <c r="I88" s="661"/>
      <c r="J88" s="661"/>
      <c r="K88" s="661"/>
      <c r="L88" s="662"/>
      <c r="M88" s="663"/>
      <c r="N88" s="663"/>
      <c r="O88" s="663"/>
      <c r="P88" s="663"/>
      <c r="Q88" s="663"/>
      <c r="R88" s="663"/>
      <c r="S88" s="663"/>
      <c r="T88" s="664"/>
      <c r="U88" s="663"/>
      <c r="V88" s="663"/>
      <c r="X88" s="663"/>
    </row>
    <row r="89" spans="2:24" s="606" customFormat="1" outlineLevel="1">
      <c r="C89" s="670" t="s">
        <v>736</v>
      </c>
      <c r="D89" s="671"/>
      <c r="E89" s="671"/>
      <c r="F89" s="671"/>
      <c r="G89" s="666"/>
      <c r="H89" s="666"/>
      <c r="I89" s="666"/>
      <c r="J89" s="666"/>
      <c r="K89" s="666"/>
      <c r="L89" s="667"/>
      <c r="T89" s="638"/>
    </row>
    <row r="90" spans="2:24" s="606" customFormat="1" outlineLevel="1">
      <c r="C90" s="672" t="s">
        <v>737</v>
      </c>
      <c r="D90" s="672"/>
      <c r="E90" s="672"/>
      <c r="F90" s="672"/>
      <c r="G90" s="648"/>
      <c r="H90" s="648"/>
      <c r="I90" s="648"/>
      <c r="J90" s="648"/>
      <c r="K90" s="648"/>
      <c r="L90" s="648"/>
      <c r="M90" s="733">
        <v>326.19963403999992</v>
      </c>
      <c r="N90" s="734">
        <v>237.17787835999985</v>
      </c>
      <c r="O90" s="734">
        <v>257.60564151473545</v>
      </c>
      <c r="P90" s="734">
        <v>251.14656240652562</v>
      </c>
      <c r="Q90" s="734">
        <v>226.56789880071332</v>
      </c>
      <c r="R90" s="734">
        <v>232.43731138831836</v>
      </c>
      <c r="S90" s="735">
        <v>227.74372531908963</v>
      </c>
      <c r="T90" s="736">
        <v>218.23748804703223</v>
      </c>
      <c r="U90" s="737">
        <v>192.14084798363774</v>
      </c>
      <c r="V90" s="734">
        <v>160.95236830507957</v>
      </c>
      <c r="X90" s="652">
        <v>0</v>
      </c>
    </row>
    <row r="91" spans="2:24" s="606" customFormat="1" ht="12.75" customHeight="1" outlineLevel="1">
      <c r="C91" s="672" t="s">
        <v>738</v>
      </c>
      <c r="D91" s="673"/>
      <c r="E91" s="673"/>
      <c r="F91" s="673"/>
      <c r="G91" s="648"/>
      <c r="H91" s="648"/>
      <c r="I91" s="648"/>
      <c r="J91" s="648"/>
      <c r="K91" s="648"/>
      <c r="L91" s="648"/>
      <c r="M91" s="712">
        <v>-9.8461659099999999</v>
      </c>
      <c r="N91" s="713">
        <v>-32.202884009999998</v>
      </c>
      <c r="O91" s="713">
        <v>-54.747521590000005</v>
      </c>
      <c r="P91" s="713">
        <v>-69.462000000000003</v>
      </c>
      <c r="Q91" s="713">
        <v>-37.754047246889058</v>
      </c>
      <c r="R91" s="713">
        <v>-35.955835926656839</v>
      </c>
      <c r="S91" s="714">
        <v>-36.401322499999999</v>
      </c>
      <c r="T91" s="715">
        <v>-36.410243749999999</v>
      </c>
      <c r="U91" s="716">
        <v>-36.44568125</v>
      </c>
      <c r="V91" s="713">
        <v>-36.499613750000002</v>
      </c>
      <c r="X91" s="652">
        <v>0</v>
      </c>
    </row>
    <row r="92" spans="2:24" s="606" customFormat="1" outlineLevel="1">
      <c r="C92" s="672" t="s">
        <v>739</v>
      </c>
      <c r="D92" s="672"/>
      <c r="E92" s="672"/>
      <c r="F92" s="672"/>
      <c r="G92" s="648"/>
      <c r="H92" s="648"/>
      <c r="I92" s="648"/>
      <c r="J92" s="648"/>
      <c r="K92" s="648"/>
      <c r="L92" s="648"/>
      <c r="M92" s="705">
        <v>316.3534681299999</v>
      </c>
      <c r="N92" s="706">
        <v>204.97499434999986</v>
      </c>
      <c r="O92" s="706">
        <v>202.85811992473543</v>
      </c>
      <c r="P92" s="706">
        <v>181.68456240652563</v>
      </c>
      <c r="Q92" s="706">
        <v>188.81385155382426</v>
      </c>
      <c r="R92" s="706">
        <v>196.48147546166152</v>
      </c>
      <c r="S92" s="707">
        <v>191.34240281908964</v>
      </c>
      <c r="T92" s="708">
        <v>181.82724429703222</v>
      </c>
      <c r="U92" s="709">
        <v>155.69516673363773</v>
      </c>
      <c r="V92" s="706">
        <v>124.45275455507957</v>
      </c>
      <c r="X92" s="658">
        <v>0</v>
      </c>
    </row>
    <row r="93" spans="2:24" s="606" customFormat="1" outlineLevel="1">
      <c r="C93" s="661"/>
      <c r="D93" s="661"/>
      <c r="E93" s="661"/>
      <c r="F93" s="661"/>
      <c r="G93" s="661"/>
      <c r="H93" s="661"/>
      <c r="I93" s="661"/>
      <c r="J93" s="661"/>
      <c r="K93" s="661"/>
      <c r="L93" s="661"/>
      <c r="T93" s="638"/>
    </row>
    <row r="94" spans="2:24" s="606" customFormat="1" outlineLevel="1">
      <c r="B94" s="674"/>
      <c r="C94" s="675" t="s">
        <v>740</v>
      </c>
      <c r="D94" s="675"/>
      <c r="E94" s="666"/>
      <c r="F94" s="666"/>
      <c r="G94" s="666"/>
      <c r="H94" s="666"/>
      <c r="I94" s="666"/>
      <c r="J94" s="666"/>
      <c r="K94" s="666"/>
      <c r="L94" s="666"/>
      <c r="T94" s="638"/>
    </row>
    <row r="95" spans="2:24" s="606" customFormat="1" outlineLevel="1">
      <c r="B95" s="674"/>
      <c r="C95" s="648" t="s">
        <v>741</v>
      </c>
      <c r="D95" s="648"/>
      <c r="E95" s="648"/>
      <c r="F95" s="648"/>
      <c r="G95" s="648"/>
      <c r="H95" s="648"/>
      <c r="I95" s="648"/>
      <c r="J95" s="648"/>
      <c r="K95" s="648"/>
      <c r="L95" s="648"/>
      <c r="M95" s="635">
        <v>0</v>
      </c>
      <c r="N95" s="635">
        <v>0</v>
      </c>
      <c r="O95" s="635">
        <v>0</v>
      </c>
      <c r="P95" s="635">
        <v>0</v>
      </c>
      <c r="Q95" s="635">
        <v>0</v>
      </c>
      <c r="R95" s="635">
        <v>0</v>
      </c>
      <c r="S95" s="635">
        <v>0</v>
      </c>
      <c r="T95" s="635">
        <v>0</v>
      </c>
      <c r="U95" s="635">
        <v>0</v>
      </c>
      <c r="V95" s="635">
        <v>0</v>
      </c>
    </row>
    <row r="96" spans="2:24" s="606" customFormat="1" outlineLevel="1">
      <c r="B96" s="674"/>
      <c r="C96" s="648" t="s">
        <v>742</v>
      </c>
      <c r="D96" s="648"/>
      <c r="E96" s="648"/>
      <c r="F96" s="648"/>
      <c r="G96" s="648"/>
      <c r="H96" s="648"/>
      <c r="I96" s="648"/>
      <c r="J96" s="648"/>
      <c r="K96" s="648"/>
      <c r="L96" s="648"/>
      <c r="M96" s="55">
        <v>1</v>
      </c>
      <c r="N96" s="56">
        <v>1</v>
      </c>
      <c r="O96" s="56">
        <v>1</v>
      </c>
      <c r="P96" s="56">
        <v>1</v>
      </c>
      <c r="Q96" s="56">
        <v>1</v>
      </c>
      <c r="R96" s="56">
        <v>1</v>
      </c>
      <c r="S96" s="57">
        <v>1</v>
      </c>
      <c r="T96" s="320">
        <v>1</v>
      </c>
      <c r="U96" s="318">
        <v>1</v>
      </c>
      <c r="V96" s="56">
        <v>1</v>
      </c>
    </row>
    <row r="97" spans="3:22" s="606" customFormat="1" outlineLevel="1">
      <c r="C97" s="661"/>
      <c r="D97" s="661"/>
      <c r="E97" s="661"/>
      <c r="F97" s="661"/>
      <c r="G97" s="661"/>
      <c r="H97" s="661"/>
      <c r="I97" s="661"/>
      <c r="J97" s="661"/>
      <c r="K97" s="661"/>
      <c r="L97" s="661"/>
      <c r="T97" s="638"/>
    </row>
    <row r="98" spans="3:22" s="606" customFormat="1" outlineLevel="1">
      <c r="C98" s="670" t="s">
        <v>743</v>
      </c>
      <c r="D98" s="671"/>
      <c r="E98" s="671"/>
      <c r="F98" s="671"/>
      <c r="G98" s="666"/>
      <c r="H98" s="666"/>
      <c r="I98" s="666"/>
      <c r="J98" s="666"/>
      <c r="K98" s="666"/>
      <c r="L98" s="666"/>
      <c r="T98" s="638"/>
    </row>
    <row r="99" spans="3:22" s="606" customFormat="1" outlineLevel="1">
      <c r="C99" s="672" t="s">
        <v>739</v>
      </c>
      <c r="D99" s="672"/>
      <c r="E99" s="672"/>
      <c r="F99" s="672"/>
      <c r="G99" s="648"/>
      <c r="H99" s="648"/>
      <c r="I99" s="648"/>
      <c r="J99" s="648"/>
      <c r="K99" s="648"/>
      <c r="L99" s="648"/>
      <c r="M99" s="733">
        <v>316.3534681299999</v>
      </c>
      <c r="N99" s="734">
        <v>204.97499434999986</v>
      </c>
      <c r="O99" s="734">
        <v>202.85811992473543</v>
      </c>
      <c r="P99" s="734">
        <v>181.68456240652563</v>
      </c>
      <c r="Q99" s="734">
        <v>188.81385155382426</v>
      </c>
      <c r="R99" s="734">
        <v>196.48147546166152</v>
      </c>
      <c r="S99" s="735">
        <v>191.34240281908964</v>
      </c>
      <c r="T99" s="736">
        <v>181.82724429703222</v>
      </c>
      <c r="U99" s="737">
        <v>155.69516673363773</v>
      </c>
      <c r="V99" s="734">
        <v>124.45275455507957</v>
      </c>
    </row>
    <row r="100" spans="3:22" s="606" customFormat="1" ht="12.75" customHeight="1" outlineLevel="1">
      <c r="C100" s="672" t="s">
        <v>744</v>
      </c>
      <c r="D100" s="673"/>
      <c r="E100" s="673"/>
      <c r="F100" s="673"/>
      <c r="G100" s="648"/>
      <c r="H100" s="648"/>
      <c r="I100" s="648"/>
      <c r="J100" s="648"/>
      <c r="K100" s="648"/>
      <c r="L100" s="648"/>
      <c r="M100" s="635">
        <v>0</v>
      </c>
      <c r="N100" s="635">
        <v>0</v>
      </c>
      <c r="O100" s="635">
        <v>0</v>
      </c>
      <c r="P100" s="635">
        <v>0</v>
      </c>
      <c r="Q100" s="635">
        <v>0</v>
      </c>
      <c r="R100" s="635">
        <v>0</v>
      </c>
      <c r="S100" s="635">
        <v>0</v>
      </c>
      <c r="T100" s="635">
        <v>0</v>
      </c>
      <c r="U100" s="635">
        <v>0</v>
      </c>
      <c r="V100" s="635">
        <v>0</v>
      </c>
    </row>
    <row r="101" spans="3:22" s="606" customFormat="1" ht="12.75" customHeight="1" outlineLevel="1">
      <c r="C101" s="672" t="s">
        <v>745</v>
      </c>
      <c r="D101" s="673"/>
      <c r="E101" s="673"/>
      <c r="F101" s="673"/>
      <c r="G101" s="648"/>
      <c r="H101" s="648"/>
      <c r="I101" s="648"/>
      <c r="J101" s="648"/>
      <c r="K101" s="648"/>
      <c r="L101" s="648"/>
      <c r="M101" s="635">
        <v>13.819698439999998</v>
      </c>
      <c r="N101" s="635">
        <v>14.963229609999999</v>
      </c>
      <c r="O101" s="635">
        <v>15.535199629999999</v>
      </c>
      <c r="P101" s="635">
        <v>3.7789985591600463</v>
      </c>
      <c r="Q101" s="635">
        <v>3.2317871291445792</v>
      </c>
      <c r="R101" s="635">
        <v>4.0239993791731523</v>
      </c>
      <c r="S101" s="635">
        <v>5.3863195624922664</v>
      </c>
      <c r="T101" s="635">
        <v>6.5059967502672222</v>
      </c>
      <c r="U101" s="635">
        <v>7.838763557430573</v>
      </c>
      <c r="V101" s="635">
        <v>9.1375961505129712</v>
      </c>
    </row>
    <row r="102" spans="3:22" s="606" customFormat="1" ht="12.75" customHeight="1" outlineLevel="1">
      <c r="C102" s="672" t="s">
        <v>746</v>
      </c>
      <c r="D102" s="673"/>
      <c r="E102" s="673"/>
      <c r="F102" s="673"/>
      <c r="G102" s="648"/>
      <c r="H102" s="648"/>
      <c r="I102" s="648"/>
      <c r="J102" s="648"/>
      <c r="K102" s="648"/>
      <c r="L102" s="648"/>
      <c r="M102" s="635">
        <v>0</v>
      </c>
      <c r="N102" s="635">
        <v>0</v>
      </c>
      <c r="O102" s="635">
        <v>0</v>
      </c>
      <c r="P102" s="635">
        <v>0</v>
      </c>
      <c r="Q102" s="635">
        <v>0</v>
      </c>
      <c r="R102" s="635">
        <v>0</v>
      </c>
      <c r="S102" s="635">
        <v>0</v>
      </c>
      <c r="T102" s="635">
        <v>0</v>
      </c>
      <c r="U102" s="635">
        <v>0</v>
      </c>
      <c r="V102" s="635">
        <v>0</v>
      </c>
    </row>
    <row r="103" spans="3:22" s="606" customFormat="1" ht="12.75" customHeight="1" outlineLevel="1">
      <c r="C103" s="672" t="s">
        <v>747</v>
      </c>
      <c r="D103" s="673"/>
      <c r="E103" s="673"/>
      <c r="F103" s="673"/>
      <c r="G103" s="648"/>
      <c r="H103" s="648"/>
      <c r="I103" s="648"/>
      <c r="J103" s="648"/>
      <c r="K103" s="648"/>
      <c r="L103" s="648"/>
      <c r="M103" s="635">
        <v>0</v>
      </c>
      <c r="N103" s="635">
        <v>0</v>
      </c>
      <c r="O103" s="635">
        <v>0</v>
      </c>
      <c r="P103" s="635">
        <v>0</v>
      </c>
      <c r="Q103" s="635">
        <v>0</v>
      </c>
      <c r="R103" s="635">
        <v>0</v>
      </c>
      <c r="S103" s="635">
        <v>0</v>
      </c>
      <c r="T103" s="635">
        <v>0</v>
      </c>
      <c r="U103" s="635">
        <v>0</v>
      </c>
      <c r="V103" s="635">
        <v>0</v>
      </c>
    </row>
    <row r="104" spans="3:22" s="606" customFormat="1" ht="12.75" customHeight="1" outlineLevel="1">
      <c r="C104" s="672" t="s">
        <v>748</v>
      </c>
      <c r="D104" s="673"/>
      <c r="E104" s="673"/>
      <c r="F104" s="673"/>
      <c r="G104" s="648"/>
      <c r="H104" s="648"/>
      <c r="I104" s="648"/>
      <c r="J104" s="648"/>
      <c r="K104" s="648"/>
      <c r="L104" s="648"/>
      <c r="M104" s="635">
        <v>0</v>
      </c>
      <c r="N104" s="635">
        <v>0</v>
      </c>
      <c r="O104" s="635">
        <v>0</v>
      </c>
      <c r="P104" s="635">
        <v>0</v>
      </c>
      <c r="Q104" s="635">
        <v>0</v>
      </c>
      <c r="R104" s="635">
        <v>0</v>
      </c>
      <c r="S104" s="635">
        <v>0</v>
      </c>
      <c r="T104" s="635">
        <v>0</v>
      </c>
      <c r="U104" s="635">
        <v>0</v>
      </c>
      <c r="V104" s="635">
        <v>0</v>
      </c>
    </row>
    <row r="105" spans="3:22" s="606" customFormat="1" ht="12.75" customHeight="1" outlineLevel="1">
      <c r="C105" s="672" t="s">
        <v>749</v>
      </c>
      <c r="D105" s="673"/>
      <c r="E105" s="673"/>
      <c r="F105" s="673"/>
      <c r="G105" s="648"/>
      <c r="H105" s="648"/>
      <c r="I105" s="648"/>
      <c r="J105" s="648"/>
      <c r="K105" s="648"/>
      <c r="L105" s="648"/>
      <c r="M105" s="635">
        <v>9</v>
      </c>
      <c r="N105" s="635">
        <v>29</v>
      </c>
      <c r="O105" s="635">
        <v>33</v>
      </c>
      <c r="P105" s="635">
        <v>35</v>
      </c>
      <c r="Q105" s="635">
        <v>35</v>
      </c>
      <c r="R105" s="635">
        <v>35</v>
      </c>
      <c r="S105" s="635">
        <v>35</v>
      </c>
      <c r="T105" s="635">
        <v>35</v>
      </c>
      <c r="U105" s="635">
        <v>35</v>
      </c>
      <c r="V105" s="635">
        <v>35</v>
      </c>
    </row>
    <row r="106" spans="3:22" s="606" customFormat="1" ht="12.75" customHeight="1" outlineLevel="1">
      <c r="C106" s="672" t="s">
        <v>750</v>
      </c>
      <c r="D106" s="673"/>
      <c r="E106" s="673"/>
      <c r="F106" s="673"/>
      <c r="G106" s="648"/>
      <c r="H106" s="648"/>
      <c r="I106" s="648"/>
      <c r="J106" s="648"/>
      <c r="K106" s="648"/>
      <c r="L106" s="648"/>
      <c r="M106" s="635">
        <v>-4.5332836099999936</v>
      </c>
      <c r="N106" s="635">
        <v>-7.2766104899999995</v>
      </c>
      <c r="O106" s="635">
        <v>3.9201389299999989</v>
      </c>
      <c r="P106" s="635">
        <v>-5.5044040992774139</v>
      </c>
      <c r="Q106" s="635">
        <v>-5.1790534673784503</v>
      </c>
      <c r="R106" s="635">
        <v>-5.1883390077982217</v>
      </c>
      <c r="S106" s="635">
        <v>-5.5204261543034203</v>
      </c>
      <c r="T106" s="635">
        <v>-5.2119876466639026</v>
      </c>
      <c r="U106" s="635">
        <v>-5.9718338146528334</v>
      </c>
      <c r="V106" s="635">
        <v>-5.7424762039101314</v>
      </c>
    </row>
    <row r="107" spans="3:22" s="606" customFormat="1" ht="12.75" customHeight="1" outlineLevel="1">
      <c r="C107" s="672" t="s">
        <v>751</v>
      </c>
      <c r="D107" s="673"/>
      <c r="E107" s="673"/>
      <c r="F107" s="673"/>
      <c r="G107" s="648"/>
      <c r="H107" s="648"/>
      <c r="I107" s="648"/>
      <c r="J107" s="648"/>
      <c r="K107" s="648"/>
      <c r="L107" s="648"/>
      <c r="M107" s="635">
        <v>-0.2824158799999999</v>
      </c>
      <c r="N107" s="635">
        <v>-3.0097344699999997</v>
      </c>
      <c r="O107" s="635">
        <v>-1.9666726999999986</v>
      </c>
      <c r="P107" s="635">
        <v>-0.57600000000000007</v>
      </c>
      <c r="Q107" s="635">
        <v>-0.57600000000000007</v>
      </c>
      <c r="R107" s="635">
        <v>-0.57600000000000007</v>
      </c>
      <c r="S107" s="635">
        <v>-0.57600000000000007</v>
      </c>
      <c r="T107" s="635">
        <v>-0.57600000000000007</v>
      </c>
      <c r="U107" s="635">
        <v>-0.57600000000000007</v>
      </c>
      <c r="V107" s="635">
        <v>-0.57600000000000007</v>
      </c>
    </row>
    <row r="108" spans="3:22" s="606" customFormat="1" outlineLevel="1">
      <c r="C108" s="647" t="s">
        <v>1233</v>
      </c>
      <c r="D108" s="648"/>
      <c r="E108" s="297"/>
      <c r="F108" s="297"/>
      <c r="G108" s="648"/>
      <c r="H108" s="648"/>
      <c r="I108" s="648"/>
      <c r="J108" s="648"/>
      <c r="K108" s="648"/>
      <c r="L108" s="648"/>
      <c r="M108" s="635">
        <v>-0.28329284999999998</v>
      </c>
      <c r="N108" s="635">
        <v>-0.30700746999999995</v>
      </c>
      <c r="O108" s="635">
        <v>-0.28404590000000002</v>
      </c>
      <c r="P108" s="635">
        <v>-0.27436445682940558</v>
      </c>
      <c r="Q108" s="635">
        <v>0</v>
      </c>
      <c r="R108" s="635">
        <v>-0.1</v>
      </c>
      <c r="S108" s="635">
        <v>-0.1</v>
      </c>
      <c r="T108" s="635">
        <v>-0.1</v>
      </c>
      <c r="U108" s="635">
        <v>-0.1</v>
      </c>
      <c r="V108" s="635">
        <v>-0.1</v>
      </c>
    </row>
    <row r="109" spans="3:22" s="606" customFormat="1" outlineLevel="1">
      <c r="C109" s="647" t="s">
        <v>1234</v>
      </c>
      <c r="D109" s="648"/>
      <c r="E109" s="297"/>
      <c r="F109" s="297"/>
      <c r="G109" s="648"/>
      <c r="H109" s="648"/>
      <c r="I109" s="648"/>
      <c r="J109" s="648"/>
      <c r="K109" s="648"/>
      <c r="L109" s="648"/>
      <c r="M109" s="635">
        <v>-2.0715935500000002</v>
      </c>
      <c r="N109" s="635">
        <v>-0.47992902999999987</v>
      </c>
      <c r="O109" s="635">
        <v>0</v>
      </c>
      <c r="P109" s="635">
        <v>-1.3724999999999998</v>
      </c>
      <c r="Q109" s="635">
        <v>-1.3724999999999998</v>
      </c>
      <c r="R109" s="635">
        <v>-1.3724999999999998</v>
      </c>
      <c r="S109" s="635">
        <v>-1.3724999999999998</v>
      </c>
      <c r="T109" s="635">
        <v>-1.2374999999999998</v>
      </c>
      <c r="U109" s="635">
        <v>-1.9375</v>
      </c>
      <c r="V109" s="635">
        <v>-1.9375</v>
      </c>
    </row>
    <row r="110" spans="3:22" s="606" customFormat="1" outlineLevel="1">
      <c r="C110" s="647" t="s">
        <v>1235</v>
      </c>
      <c r="D110" s="648"/>
      <c r="E110" s="297"/>
      <c r="F110" s="297"/>
      <c r="G110" s="648"/>
      <c r="H110" s="648"/>
      <c r="I110" s="648"/>
      <c r="J110" s="648"/>
      <c r="K110" s="648"/>
      <c r="L110" s="648"/>
      <c r="M110" s="635">
        <v>-77.819520879999999</v>
      </c>
      <c r="N110" s="635">
        <v>158</v>
      </c>
      <c r="O110" s="635">
        <v>27.193917420000091</v>
      </c>
      <c r="P110" s="635">
        <v>0</v>
      </c>
      <c r="Q110" s="635">
        <v>0</v>
      </c>
      <c r="R110" s="635">
        <v>0</v>
      </c>
      <c r="S110" s="635">
        <v>0</v>
      </c>
      <c r="T110" s="635">
        <v>0</v>
      </c>
      <c r="U110" s="635">
        <v>0</v>
      </c>
      <c r="V110" s="635">
        <v>0</v>
      </c>
    </row>
    <row r="111" spans="3:22" s="606" customFormat="1" outlineLevel="1">
      <c r="C111" s="647" t="s">
        <v>1236</v>
      </c>
      <c r="D111" s="648"/>
      <c r="E111" s="297"/>
      <c r="F111" s="297"/>
      <c r="G111" s="648"/>
      <c r="H111" s="648"/>
      <c r="I111" s="648"/>
      <c r="J111" s="648"/>
      <c r="K111" s="648"/>
      <c r="L111" s="648"/>
      <c r="M111" s="635">
        <v>0</v>
      </c>
      <c r="N111" s="635">
        <v>0</v>
      </c>
      <c r="O111" s="635">
        <v>0</v>
      </c>
      <c r="P111" s="635">
        <v>0</v>
      </c>
      <c r="Q111" s="635">
        <v>0</v>
      </c>
      <c r="R111" s="635">
        <v>0</v>
      </c>
      <c r="S111" s="635">
        <v>0</v>
      </c>
      <c r="T111" s="635">
        <v>0</v>
      </c>
      <c r="U111" s="635">
        <v>0</v>
      </c>
      <c r="V111" s="635">
        <v>0</v>
      </c>
    </row>
    <row r="112" spans="3:22" s="606" customFormat="1" outlineLevel="1">
      <c r="C112" s="647" t="s">
        <v>1237</v>
      </c>
      <c r="D112" s="648"/>
      <c r="E112" s="297"/>
      <c r="F112" s="297"/>
      <c r="G112" s="648"/>
      <c r="H112" s="648"/>
      <c r="I112" s="648"/>
      <c r="J112" s="648"/>
      <c r="K112" s="648"/>
      <c r="L112" s="648"/>
      <c r="M112" s="635">
        <v>-192.98837177675031</v>
      </c>
      <c r="N112" s="635">
        <v>-300.86308336866887</v>
      </c>
      <c r="O112" s="635">
        <v>-213.24580371181162</v>
      </c>
      <c r="P112" s="635">
        <v>-162.13020349160146</v>
      </c>
      <c r="Q112" s="635">
        <v>-167.65314188551105</v>
      </c>
      <c r="R112" s="635">
        <v>-174.01913059497247</v>
      </c>
      <c r="S112" s="635">
        <v>-170.88678307233178</v>
      </c>
      <c r="T112" s="635">
        <v>-164.82459422147903</v>
      </c>
      <c r="U112" s="635">
        <v>-144.80609434551673</v>
      </c>
      <c r="V112" s="635">
        <v>-122.15364778631789</v>
      </c>
    </row>
    <row r="113" spans="3:23" s="606" customFormat="1" outlineLevel="1">
      <c r="C113" s="647" t="s">
        <v>755</v>
      </c>
      <c r="D113" s="648"/>
      <c r="E113" s="297"/>
      <c r="F113" s="297"/>
      <c r="G113" s="648"/>
      <c r="H113" s="648"/>
      <c r="I113" s="648"/>
      <c r="J113" s="648"/>
      <c r="K113" s="648"/>
      <c r="L113" s="648"/>
      <c r="M113" s="635">
        <v>0</v>
      </c>
      <c r="N113" s="635">
        <v>0</v>
      </c>
      <c r="O113" s="635">
        <v>0</v>
      </c>
      <c r="P113" s="635">
        <v>0</v>
      </c>
      <c r="Q113" s="635">
        <v>0</v>
      </c>
      <c r="R113" s="635">
        <v>0</v>
      </c>
      <c r="S113" s="635">
        <v>0</v>
      </c>
      <c r="T113" s="635">
        <v>0</v>
      </c>
      <c r="U113" s="635">
        <v>0</v>
      </c>
      <c r="V113" s="635">
        <v>0</v>
      </c>
    </row>
    <row r="114" spans="3:23" s="606" customFormat="1" outlineLevel="1">
      <c r="C114" s="647" t="s">
        <v>755</v>
      </c>
      <c r="D114" s="648"/>
      <c r="E114" s="297"/>
      <c r="F114" s="297"/>
      <c r="G114" s="648"/>
      <c r="H114" s="648"/>
      <c r="I114" s="648"/>
      <c r="J114" s="648"/>
      <c r="K114" s="648"/>
      <c r="L114" s="648"/>
      <c r="M114" s="635">
        <v>0</v>
      </c>
      <c r="N114" s="635">
        <v>0</v>
      </c>
      <c r="O114" s="635">
        <v>0</v>
      </c>
      <c r="P114" s="635">
        <v>0</v>
      </c>
      <c r="Q114" s="635">
        <v>0</v>
      </c>
      <c r="R114" s="635">
        <v>0</v>
      </c>
      <c r="S114" s="635">
        <v>0</v>
      </c>
      <c r="T114" s="635">
        <v>0</v>
      </c>
      <c r="U114" s="635">
        <v>0</v>
      </c>
      <c r="V114" s="635">
        <v>0</v>
      </c>
    </row>
    <row r="115" spans="3:23" s="606" customFormat="1" outlineLevel="1">
      <c r="C115" s="647" t="s">
        <v>755</v>
      </c>
      <c r="D115" s="648"/>
      <c r="E115" s="297"/>
      <c r="F115" s="297"/>
      <c r="G115" s="648"/>
      <c r="H115" s="648"/>
      <c r="I115" s="648"/>
      <c r="J115" s="648"/>
      <c r="K115" s="648"/>
      <c r="L115" s="648"/>
      <c r="M115" s="635">
        <v>0</v>
      </c>
      <c r="N115" s="635">
        <v>0</v>
      </c>
      <c r="O115" s="635">
        <v>0</v>
      </c>
      <c r="P115" s="635">
        <v>0</v>
      </c>
      <c r="Q115" s="635">
        <v>0</v>
      </c>
      <c r="R115" s="635">
        <v>0</v>
      </c>
      <c r="S115" s="635">
        <v>0</v>
      </c>
      <c r="T115" s="635">
        <v>0</v>
      </c>
      <c r="U115" s="635">
        <v>0</v>
      </c>
      <c r="V115" s="635">
        <v>0</v>
      </c>
    </row>
    <row r="116" spans="3:23" s="606" customFormat="1" outlineLevel="1">
      <c r="C116" s="647" t="s">
        <v>755</v>
      </c>
      <c r="D116" s="648"/>
      <c r="E116" s="297"/>
      <c r="F116" s="297"/>
      <c r="G116" s="648"/>
      <c r="H116" s="648"/>
      <c r="I116" s="648"/>
      <c r="J116" s="648"/>
      <c r="K116" s="648"/>
      <c r="L116" s="648"/>
      <c r="M116" s="635">
        <v>0</v>
      </c>
      <c r="N116" s="635">
        <v>0</v>
      </c>
      <c r="O116" s="635">
        <v>0</v>
      </c>
      <c r="P116" s="635">
        <v>0</v>
      </c>
      <c r="Q116" s="635">
        <v>0</v>
      </c>
      <c r="R116" s="635">
        <v>0</v>
      </c>
      <c r="S116" s="635">
        <v>0</v>
      </c>
      <c r="T116" s="635">
        <v>0</v>
      </c>
      <c r="U116" s="635">
        <v>0</v>
      </c>
      <c r="V116" s="635">
        <v>0</v>
      </c>
    </row>
    <row r="117" spans="3:23" s="606" customFormat="1" ht="12.75" customHeight="1" outlineLevel="1">
      <c r="C117" s="677" t="s">
        <v>579</v>
      </c>
      <c r="D117" s="678"/>
      <c r="E117" s="678"/>
      <c r="F117" s="678"/>
      <c r="G117" s="648"/>
      <c r="H117" s="648"/>
      <c r="I117" s="648"/>
      <c r="J117" s="648"/>
      <c r="K117" s="648"/>
      <c r="L117" s="648"/>
      <c r="M117" s="700">
        <v>61.194688023249626</v>
      </c>
      <c r="N117" s="701">
        <v>95.001859131331003</v>
      </c>
      <c r="O117" s="701">
        <v>67.010853592923922</v>
      </c>
      <c r="P117" s="701">
        <v>50.606088917977388</v>
      </c>
      <c r="Q117" s="701">
        <v>52.264943330079348</v>
      </c>
      <c r="R117" s="701">
        <v>54.249505238063989</v>
      </c>
      <c r="S117" s="702">
        <v>53.273013154946739</v>
      </c>
      <c r="T117" s="703">
        <v>51.383159179156507</v>
      </c>
      <c r="U117" s="704">
        <v>45.142502130898777</v>
      </c>
      <c r="V117" s="701">
        <v>38.080726715364506</v>
      </c>
    </row>
    <row r="118" spans="3:23" s="606" customFormat="1" outlineLevel="1">
      <c r="C118" s="679"/>
      <c r="D118" s="680"/>
      <c r="E118" s="680"/>
      <c r="F118" s="680"/>
      <c r="G118" s="661"/>
      <c r="H118" s="661"/>
      <c r="I118" s="661"/>
      <c r="J118" s="661"/>
      <c r="K118" s="661"/>
      <c r="L118" s="661"/>
      <c r="T118" s="638"/>
    </row>
    <row r="119" spans="3:23" s="606" customFormat="1" outlineLevel="1">
      <c r="C119" s="672" t="s">
        <v>752</v>
      </c>
      <c r="D119" s="672"/>
      <c r="E119" s="672"/>
      <c r="F119" s="672"/>
      <c r="M119" s="738">
        <v>4.5332836099999936</v>
      </c>
      <c r="N119" s="738">
        <v>7.2766104899999995</v>
      </c>
      <c r="O119" s="738">
        <v>-3.9201389299999989</v>
      </c>
      <c r="P119" s="738">
        <v>5.5044040992774139</v>
      </c>
      <c r="Q119" s="738">
        <v>5.1790534673784503</v>
      </c>
      <c r="R119" s="738">
        <v>5.1883390077982217</v>
      </c>
      <c r="S119" s="739">
        <v>5.5204261543034203</v>
      </c>
      <c r="T119" s="740">
        <v>5.2119876466639026</v>
      </c>
      <c r="U119" s="741">
        <v>5.9718338146528334</v>
      </c>
      <c r="V119" s="738">
        <v>5.7424762039101314</v>
      </c>
    </row>
    <row r="120" spans="3:23" s="606" customFormat="1" ht="12.75" customHeight="1" outlineLevel="1">
      <c r="C120" s="672" t="s">
        <v>753</v>
      </c>
      <c r="D120" s="673"/>
      <c r="E120" s="673"/>
      <c r="F120" s="673"/>
      <c r="G120" s="648"/>
      <c r="H120" s="648"/>
      <c r="I120" s="648"/>
      <c r="J120" s="648"/>
      <c r="K120" s="648"/>
      <c r="L120" s="648"/>
      <c r="M120" s="635">
        <v>0</v>
      </c>
      <c r="N120" s="635">
        <v>0</v>
      </c>
      <c r="O120" s="635">
        <v>0</v>
      </c>
      <c r="P120" s="635">
        <v>0</v>
      </c>
      <c r="Q120" s="635">
        <v>0</v>
      </c>
      <c r="R120" s="635">
        <v>0</v>
      </c>
      <c r="S120" s="635">
        <v>0</v>
      </c>
      <c r="T120" s="635">
        <v>0</v>
      </c>
      <c r="U120" s="635">
        <v>0</v>
      </c>
      <c r="V120" s="635">
        <v>0</v>
      </c>
    </row>
    <row r="121" spans="3:23" s="606" customFormat="1" outlineLevel="1">
      <c r="C121" s="672" t="s">
        <v>754</v>
      </c>
      <c r="D121" s="672"/>
      <c r="E121" s="672"/>
      <c r="F121" s="672"/>
      <c r="G121" s="648"/>
      <c r="H121" s="648"/>
      <c r="I121" s="648"/>
      <c r="J121" s="648"/>
      <c r="K121" s="648"/>
      <c r="L121" s="648"/>
      <c r="M121" s="635">
        <v>0</v>
      </c>
      <c r="N121" s="635">
        <v>0</v>
      </c>
      <c r="O121" s="635">
        <v>0</v>
      </c>
      <c r="P121" s="635">
        <v>0</v>
      </c>
      <c r="Q121" s="635">
        <v>0</v>
      </c>
      <c r="R121" s="635">
        <v>0</v>
      </c>
      <c r="S121" s="635">
        <v>0</v>
      </c>
      <c r="T121" s="635">
        <v>0</v>
      </c>
      <c r="U121" s="635">
        <v>0</v>
      </c>
      <c r="V121" s="635">
        <v>0</v>
      </c>
    </row>
    <row r="122" spans="3:23" s="606" customFormat="1" outlineLevel="1">
      <c r="C122" s="647" t="s">
        <v>1238</v>
      </c>
      <c r="D122" s="648"/>
      <c r="E122" s="681"/>
      <c r="F122" s="681"/>
      <c r="M122" s="635">
        <v>-3.4418935053520339</v>
      </c>
      <c r="N122" s="635">
        <v>-5.530329244788331</v>
      </c>
      <c r="O122" s="635">
        <v>2.9828129145237106</v>
      </c>
      <c r="P122" s="635">
        <v>-4.1950066281951859</v>
      </c>
      <c r="Q122" s="635">
        <v>-3.9482181965519088</v>
      </c>
      <c r="R122" s="635">
        <v>-3.9552969687408965</v>
      </c>
      <c r="S122" s="635">
        <v>-4.2084614751379519</v>
      </c>
      <c r="T122" s="635">
        <v>-3.9733253569167051</v>
      </c>
      <c r="U122" s="635">
        <v>-4.5525892100378629</v>
      </c>
      <c r="V122" s="635">
        <v>-4.3777399064043205</v>
      </c>
    </row>
    <row r="123" spans="3:23" s="606" customFormat="1" outlineLevel="1">
      <c r="C123" s="298" t="s">
        <v>755</v>
      </c>
      <c r="D123" s="676"/>
      <c r="E123" s="681"/>
      <c r="F123" s="681"/>
      <c r="M123" s="635">
        <v>0</v>
      </c>
      <c r="N123" s="635">
        <v>0</v>
      </c>
      <c r="O123" s="635">
        <v>0</v>
      </c>
      <c r="P123" s="635">
        <v>0</v>
      </c>
      <c r="Q123" s="635">
        <v>0</v>
      </c>
      <c r="R123" s="635">
        <v>0</v>
      </c>
      <c r="S123" s="635">
        <v>0</v>
      </c>
      <c r="T123" s="635">
        <v>0</v>
      </c>
      <c r="U123" s="635">
        <v>0</v>
      </c>
      <c r="V123" s="635">
        <v>0</v>
      </c>
    </row>
    <row r="124" spans="3:23" s="606" customFormat="1" outlineLevel="1">
      <c r="C124" s="298" t="s">
        <v>755</v>
      </c>
      <c r="D124" s="676"/>
      <c r="E124" s="681"/>
      <c r="F124" s="681"/>
      <c r="M124" s="635">
        <v>0</v>
      </c>
      <c r="N124" s="635">
        <v>0</v>
      </c>
      <c r="O124" s="635">
        <v>0</v>
      </c>
      <c r="P124" s="635">
        <v>0</v>
      </c>
      <c r="Q124" s="635">
        <v>0</v>
      </c>
      <c r="R124" s="635">
        <v>0</v>
      </c>
      <c r="S124" s="635">
        <v>0</v>
      </c>
      <c r="T124" s="635">
        <v>0</v>
      </c>
      <c r="U124" s="635">
        <v>0</v>
      </c>
      <c r="V124" s="635">
        <v>0</v>
      </c>
    </row>
    <row r="125" spans="3:23" s="606" customFormat="1" outlineLevel="1">
      <c r="C125" s="298" t="s">
        <v>755</v>
      </c>
      <c r="D125" s="298"/>
      <c r="E125" s="296"/>
      <c r="F125" s="296"/>
      <c r="M125" s="635">
        <v>0</v>
      </c>
      <c r="N125" s="635">
        <v>0</v>
      </c>
      <c r="O125" s="635">
        <v>0</v>
      </c>
      <c r="P125" s="635">
        <v>0</v>
      </c>
      <c r="Q125" s="635">
        <v>0</v>
      </c>
      <c r="R125" s="635">
        <v>0</v>
      </c>
      <c r="S125" s="635">
        <v>0</v>
      </c>
      <c r="T125" s="635">
        <v>0</v>
      </c>
      <c r="U125" s="635">
        <v>0</v>
      </c>
      <c r="V125" s="635">
        <v>0</v>
      </c>
    </row>
    <row r="126" spans="3:23" s="683" customFormat="1" outlineLevel="1">
      <c r="C126" s="682" t="s">
        <v>682</v>
      </c>
      <c r="D126" s="99"/>
      <c r="E126" s="99"/>
      <c r="F126" s="99"/>
      <c r="M126" s="700">
        <v>1.0913901046479597</v>
      </c>
      <c r="N126" s="700">
        <v>1.7462812452116685</v>
      </c>
      <c r="O126" s="700">
        <v>-0.93732601547628835</v>
      </c>
      <c r="P126" s="700">
        <v>1.309397471082228</v>
      </c>
      <c r="Q126" s="700">
        <v>1.2308352708265415</v>
      </c>
      <c r="R126" s="700">
        <v>1.2330420390573251</v>
      </c>
      <c r="S126" s="742">
        <v>1.3119646791654684</v>
      </c>
      <c r="T126" s="743">
        <v>1.2386622897471975</v>
      </c>
      <c r="U126" s="704">
        <v>1.4192446046149705</v>
      </c>
      <c r="V126" s="700">
        <v>1.3647362975058108</v>
      </c>
      <c r="W126" s="606"/>
    </row>
    <row r="127" spans="3:23" s="683" customFormat="1" outlineLevel="1">
      <c r="C127" s="682"/>
      <c r="D127" s="99"/>
      <c r="E127" s="99"/>
      <c r="F127" s="99"/>
      <c r="M127" s="684"/>
      <c r="N127" s="684"/>
      <c r="O127" s="684"/>
      <c r="P127" s="684"/>
      <c r="Q127" s="684"/>
      <c r="R127" s="684"/>
      <c r="S127" s="684"/>
      <c r="T127" s="685"/>
      <c r="U127" s="684"/>
      <c r="V127" s="684"/>
      <c r="W127" s="606"/>
    </row>
    <row r="128" spans="3:23" s="606" customFormat="1" outlineLevel="1">
      <c r="C128" s="675" t="s">
        <v>756</v>
      </c>
      <c r="D128" s="666"/>
      <c r="E128" s="666"/>
      <c r="F128" s="666"/>
      <c r="G128" s="666"/>
      <c r="H128" s="666"/>
      <c r="I128" s="666"/>
      <c r="J128" s="666"/>
      <c r="K128" s="666"/>
      <c r="L128" s="666"/>
      <c r="T128" s="638"/>
    </row>
    <row r="129" spans="2:22" s="606" customFormat="1" outlineLevel="1">
      <c r="C129" s="648" t="s">
        <v>757</v>
      </c>
      <c r="D129" s="648"/>
      <c r="E129" s="648"/>
      <c r="F129" s="648"/>
      <c r="G129" s="648"/>
      <c r="H129" s="648"/>
      <c r="I129" s="648"/>
      <c r="J129" s="648"/>
      <c r="K129" s="648"/>
      <c r="L129" s="648"/>
      <c r="M129" s="635">
        <v>0</v>
      </c>
      <c r="N129" s="635">
        <v>0</v>
      </c>
      <c r="O129" s="635">
        <v>0</v>
      </c>
      <c r="P129" s="635">
        <v>0</v>
      </c>
      <c r="Q129" s="635">
        <v>0</v>
      </c>
      <c r="R129" s="635">
        <v>0</v>
      </c>
      <c r="S129" s="635">
        <v>0</v>
      </c>
      <c r="T129" s="635">
        <v>0</v>
      </c>
      <c r="U129" s="635">
        <v>0</v>
      </c>
      <c r="V129" s="635">
        <v>0</v>
      </c>
    </row>
    <row r="130" spans="2:22" s="606" customFormat="1" outlineLevel="1">
      <c r="C130" s="648" t="s">
        <v>742</v>
      </c>
      <c r="D130" s="648"/>
      <c r="E130" s="648"/>
      <c r="F130" s="648"/>
      <c r="G130" s="648"/>
      <c r="H130" s="648"/>
      <c r="I130" s="648"/>
      <c r="J130" s="648"/>
      <c r="K130" s="648"/>
      <c r="L130" s="648"/>
      <c r="M130" s="55">
        <v>1</v>
      </c>
      <c r="N130" s="56">
        <v>1</v>
      </c>
      <c r="O130" s="56">
        <v>1</v>
      </c>
      <c r="P130" s="56">
        <v>1</v>
      </c>
      <c r="Q130" s="56">
        <v>1</v>
      </c>
      <c r="R130" s="56">
        <v>1</v>
      </c>
      <c r="S130" s="57">
        <v>1</v>
      </c>
      <c r="T130" s="320">
        <v>1</v>
      </c>
      <c r="U130" s="318">
        <v>1</v>
      </c>
      <c r="V130" s="56">
        <v>1</v>
      </c>
    </row>
    <row r="131" spans="2:22" s="606" customFormat="1" outlineLevel="1">
      <c r="C131" s="679"/>
      <c r="D131" s="680"/>
      <c r="E131" s="680"/>
      <c r="F131" s="680"/>
      <c r="G131" s="661"/>
      <c r="H131" s="661"/>
      <c r="I131" s="661"/>
      <c r="J131" s="661"/>
      <c r="K131" s="661"/>
      <c r="L131" s="661"/>
      <c r="T131" s="638"/>
    </row>
    <row r="132" spans="2:22" s="606" customFormat="1" outlineLevel="1">
      <c r="C132" s="670" t="s">
        <v>758</v>
      </c>
      <c r="D132" s="671"/>
      <c r="E132" s="671"/>
      <c r="F132" s="671"/>
      <c r="G132" s="666"/>
      <c r="H132" s="666"/>
      <c r="I132" s="666"/>
      <c r="J132" s="666"/>
      <c r="K132" s="666"/>
      <c r="L132" s="666"/>
      <c r="T132" s="638"/>
    </row>
    <row r="133" spans="2:22" s="606" customFormat="1" ht="12.75" customHeight="1" outlineLevel="1">
      <c r="C133" s="672" t="s">
        <v>759</v>
      </c>
      <c r="D133" s="673"/>
      <c r="E133" s="673"/>
      <c r="F133" s="673"/>
      <c r="G133" s="648"/>
      <c r="H133" s="648"/>
      <c r="I133" s="648"/>
      <c r="J133" s="648"/>
      <c r="K133" s="648"/>
      <c r="L133" s="648"/>
      <c r="M133" s="744">
        <v>1616.6324225600601</v>
      </c>
      <c r="N133" s="745">
        <v>1687.5920018337456</v>
      </c>
      <c r="O133" s="745">
        <v>1784.0083468713219</v>
      </c>
      <c r="P133" s="745">
        <v>1745.1207550546887</v>
      </c>
      <c r="Q133" s="745">
        <v>1787.7288899536488</v>
      </c>
      <c r="R133" s="745">
        <v>1706.3741755519459</v>
      </c>
      <c r="S133" s="746">
        <v>1717.2272123794883</v>
      </c>
      <c r="T133" s="747">
        <v>1525.3590103672595</v>
      </c>
      <c r="U133" s="748">
        <v>1281.3973735465706</v>
      </c>
      <c r="V133" s="745">
        <v>1164.9665091010274</v>
      </c>
    </row>
    <row r="134" spans="2:22" s="606" customFormat="1" ht="12.75" customHeight="1" outlineLevel="1">
      <c r="C134" s="672" t="s">
        <v>579</v>
      </c>
      <c r="D134" s="673"/>
      <c r="E134" s="673"/>
      <c r="F134" s="673"/>
      <c r="G134" s="648"/>
      <c r="H134" s="648"/>
      <c r="I134" s="648"/>
      <c r="J134" s="648"/>
      <c r="K134" s="648"/>
      <c r="L134" s="648"/>
      <c r="M134" s="749">
        <v>61.194688023249626</v>
      </c>
      <c r="N134" s="750">
        <v>95.001859131331003</v>
      </c>
      <c r="O134" s="750">
        <v>67.010853592923922</v>
      </c>
      <c r="P134" s="750">
        <v>50.606088917977388</v>
      </c>
      <c r="Q134" s="750">
        <v>52.264943330079348</v>
      </c>
      <c r="R134" s="750">
        <v>54.249505238063989</v>
      </c>
      <c r="S134" s="751">
        <v>53.273013154946739</v>
      </c>
      <c r="T134" s="752">
        <v>51.383159179156507</v>
      </c>
      <c r="U134" s="753">
        <v>45.142502130898777</v>
      </c>
      <c r="V134" s="750">
        <v>38.080726715364506</v>
      </c>
    </row>
    <row r="135" spans="2:22" s="606" customFormat="1">
      <c r="C135" s="661"/>
      <c r="D135" s="661"/>
      <c r="E135" s="661"/>
      <c r="F135" s="661"/>
      <c r="G135" s="661"/>
      <c r="H135" s="661"/>
      <c r="I135" s="661"/>
      <c r="J135" s="661"/>
      <c r="K135" s="661"/>
      <c r="L135" s="661"/>
      <c r="T135" s="638"/>
    </row>
    <row r="136" spans="2:22" s="606" customFormat="1">
      <c r="T136" s="638"/>
    </row>
    <row r="137" spans="2:22" s="606" customFormat="1" ht="15">
      <c r="B137" s="621" t="s">
        <v>760</v>
      </c>
      <c r="C137" s="622"/>
      <c r="D137" s="622"/>
      <c r="E137" s="622"/>
      <c r="F137" s="622"/>
      <c r="G137" s="622"/>
      <c r="H137" s="622"/>
      <c r="I137" s="622"/>
      <c r="J137" s="622"/>
      <c r="K137" s="622"/>
      <c r="L137" s="622"/>
      <c r="M137" s="622"/>
      <c r="N137" s="622"/>
      <c r="O137" s="622"/>
      <c r="P137" s="622"/>
      <c r="Q137" s="622"/>
      <c r="R137" s="622"/>
      <c r="S137" s="622"/>
      <c r="T137" s="624"/>
      <c r="U137" s="622"/>
      <c r="V137" s="622"/>
    </row>
    <row r="138" spans="2:22" s="606" customFormat="1" outlineLevel="1">
      <c r="B138" s="641" t="s">
        <v>761</v>
      </c>
      <c r="T138" s="638"/>
    </row>
    <row r="139" spans="2:22" s="606" customFormat="1" outlineLevel="1">
      <c r="C139" s="665" t="s">
        <v>762</v>
      </c>
      <c r="D139" s="666"/>
      <c r="E139" s="665"/>
      <c r="F139" s="667"/>
      <c r="G139" s="666"/>
      <c r="H139" s="666"/>
      <c r="I139" s="666"/>
      <c r="J139" s="666"/>
      <c r="K139" s="666"/>
      <c r="L139" s="666"/>
      <c r="M139" s="663"/>
      <c r="N139" s="663"/>
      <c r="O139" s="663"/>
      <c r="P139" s="663"/>
      <c r="Q139" s="663"/>
      <c r="R139" s="663"/>
      <c r="S139" s="663"/>
      <c r="T139" s="664"/>
      <c r="U139" s="663"/>
      <c r="V139" s="663"/>
    </row>
    <row r="140" spans="2:22" s="606" customFormat="1" outlineLevel="1">
      <c r="C140" s="647" t="s">
        <v>712</v>
      </c>
      <c r="D140" s="648"/>
      <c r="E140" s="649"/>
      <c r="F140" s="648"/>
      <c r="G140" s="648"/>
      <c r="H140" s="648"/>
      <c r="I140" s="648"/>
      <c r="J140" s="648"/>
      <c r="K140" s="648"/>
      <c r="L140" s="648"/>
      <c r="M140" s="635">
        <v>0</v>
      </c>
      <c r="N140" s="635">
        <v>0</v>
      </c>
      <c r="O140" s="635">
        <v>0</v>
      </c>
      <c r="P140" s="635">
        <v>0</v>
      </c>
      <c r="Q140" s="635">
        <v>0</v>
      </c>
      <c r="R140" s="635">
        <v>0</v>
      </c>
      <c r="S140" s="635">
        <v>0</v>
      </c>
      <c r="T140" s="635">
        <v>0</v>
      </c>
      <c r="U140" s="635">
        <v>0</v>
      </c>
      <c r="V140" s="635">
        <v>0</v>
      </c>
    </row>
    <row r="141" spans="2:22" s="606" customFormat="1" outlineLevel="1">
      <c r="C141" s="647" t="s">
        <v>713</v>
      </c>
      <c r="D141" s="648"/>
      <c r="E141" s="649"/>
      <c r="F141" s="649"/>
      <c r="G141" s="648"/>
      <c r="H141" s="648"/>
      <c r="I141" s="648"/>
      <c r="J141" s="648"/>
      <c r="K141" s="648"/>
      <c r="L141" s="648"/>
      <c r="M141" s="635">
        <v>0</v>
      </c>
      <c r="N141" s="635">
        <v>0</v>
      </c>
      <c r="O141" s="635">
        <v>0</v>
      </c>
      <c r="P141" s="635">
        <v>0</v>
      </c>
      <c r="Q141" s="635">
        <v>0</v>
      </c>
      <c r="R141" s="635">
        <v>0</v>
      </c>
      <c r="S141" s="635">
        <v>0</v>
      </c>
      <c r="T141" s="635">
        <v>0</v>
      </c>
      <c r="U141" s="635">
        <v>0</v>
      </c>
      <c r="V141" s="635">
        <v>0</v>
      </c>
    </row>
    <row r="142" spans="2:22" s="606" customFormat="1" outlineLevel="1">
      <c r="B142" s="629" t="s">
        <v>839</v>
      </c>
      <c r="C142" s="650" t="s">
        <v>840</v>
      </c>
      <c r="D142" s="650"/>
      <c r="E142" s="651"/>
      <c r="F142" s="651"/>
      <c r="G142" s="648"/>
      <c r="H142" s="648"/>
      <c r="I142" s="648"/>
      <c r="J142" s="648"/>
      <c r="K142" s="648"/>
      <c r="L142" s="648"/>
      <c r="M142" s="754">
        <v>0</v>
      </c>
      <c r="N142" s="754">
        <v>0</v>
      </c>
      <c r="O142" s="754">
        <v>0</v>
      </c>
      <c r="P142" s="754">
        <v>0</v>
      </c>
      <c r="Q142" s="754">
        <v>0</v>
      </c>
      <c r="R142" s="754">
        <v>0</v>
      </c>
      <c r="S142" s="755">
        <v>0</v>
      </c>
      <c r="T142" s="756">
        <v>0</v>
      </c>
      <c r="U142" s="757">
        <v>0</v>
      </c>
      <c r="V142" s="754">
        <v>0</v>
      </c>
    </row>
    <row r="143" spans="2:22" s="606" customFormat="1" outlineLevel="1">
      <c r="B143" s="629" t="s">
        <v>843</v>
      </c>
      <c r="C143" s="653" t="s">
        <v>844</v>
      </c>
      <c r="D143" s="650"/>
      <c r="E143" s="651"/>
      <c r="F143" s="651"/>
      <c r="G143" s="648"/>
      <c r="H143" s="648"/>
      <c r="I143" s="648"/>
      <c r="J143" s="648"/>
      <c r="K143" s="648"/>
      <c r="L143" s="648"/>
      <c r="M143" s="754">
        <v>9.8337062500000023</v>
      </c>
      <c r="N143" s="754">
        <v>18.42896189</v>
      </c>
      <c r="O143" s="754">
        <v>29.072996990000004</v>
      </c>
      <c r="P143" s="754">
        <v>43.006661150000006</v>
      </c>
      <c r="Q143" s="754">
        <v>37.215538970000004</v>
      </c>
      <c r="R143" s="754">
        <v>34.326546749999999</v>
      </c>
      <c r="S143" s="755">
        <v>14.47966884</v>
      </c>
      <c r="T143" s="756">
        <v>14.28971617</v>
      </c>
      <c r="U143" s="757">
        <v>14.2349742</v>
      </c>
      <c r="V143" s="754">
        <v>9.4195763100000001</v>
      </c>
    </row>
    <row r="144" spans="2:22" s="606" customFormat="1" outlineLevel="1">
      <c r="B144" s="629" t="s">
        <v>846</v>
      </c>
      <c r="C144" s="653" t="s">
        <v>847</v>
      </c>
      <c r="D144" s="650"/>
      <c r="E144" s="651"/>
      <c r="F144" s="651"/>
      <c r="G144" s="648"/>
      <c r="H144" s="648"/>
      <c r="I144" s="648"/>
      <c r="J144" s="648"/>
      <c r="K144" s="648"/>
      <c r="L144" s="648"/>
      <c r="M144" s="754">
        <v>0</v>
      </c>
      <c r="N144" s="754">
        <v>0</v>
      </c>
      <c r="O144" s="754">
        <v>0</v>
      </c>
      <c r="P144" s="754">
        <v>0</v>
      </c>
      <c r="Q144" s="754">
        <v>0</v>
      </c>
      <c r="R144" s="754">
        <v>0</v>
      </c>
      <c r="S144" s="755">
        <v>0</v>
      </c>
      <c r="T144" s="756">
        <v>0</v>
      </c>
      <c r="U144" s="757">
        <v>0</v>
      </c>
      <c r="V144" s="754">
        <v>0</v>
      </c>
    </row>
    <row r="145" spans="2:22" s="606" customFormat="1" outlineLevel="1">
      <c r="B145" s="629" t="s">
        <v>852</v>
      </c>
      <c r="C145" s="653" t="s">
        <v>853</v>
      </c>
      <c r="D145" s="650"/>
      <c r="E145" s="651"/>
      <c r="F145" s="651"/>
      <c r="G145" s="648"/>
      <c r="H145" s="648"/>
      <c r="I145" s="648"/>
      <c r="J145" s="648"/>
      <c r="K145" s="648"/>
      <c r="L145" s="648"/>
      <c r="M145" s="754">
        <v>0</v>
      </c>
      <c r="N145" s="754">
        <v>0</v>
      </c>
      <c r="O145" s="754">
        <v>0</v>
      </c>
      <c r="P145" s="754">
        <v>0</v>
      </c>
      <c r="Q145" s="754">
        <v>0</v>
      </c>
      <c r="R145" s="754">
        <v>0</v>
      </c>
      <c r="S145" s="755">
        <v>0</v>
      </c>
      <c r="T145" s="756">
        <v>0</v>
      </c>
      <c r="U145" s="757">
        <v>0</v>
      </c>
      <c r="V145" s="754">
        <v>0</v>
      </c>
    </row>
    <row r="146" spans="2:22" s="606" customFormat="1" outlineLevel="1">
      <c r="B146" s="629" t="s">
        <v>855</v>
      </c>
      <c r="C146" s="653" t="s">
        <v>856</v>
      </c>
      <c r="D146" s="650"/>
      <c r="E146" s="651"/>
      <c r="F146" s="651"/>
      <c r="G146" s="648"/>
      <c r="H146" s="648"/>
      <c r="I146" s="648"/>
      <c r="J146" s="648"/>
      <c r="K146" s="648"/>
      <c r="L146" s="648"/>
      <c r="M146" s="754">
        <v>119.88925359999999</v>
      </c>
      <c r="N146" s="754">
        <v>119.12272179</v>
      </c>
      <c r="O146" s="754">
        <v>151.09334562999999</v>
      </c>
      <c r="P146" s="754">
        <v>190.7003993661036</v>
      </c>
      <c r="Q146" s="754">
        <v>209.43415302659395</v>
      </c>
      <c r="R146" s="754">
        <v>209.94995120659399</v>
      </c>
      <c r="S146" s="755">
        <v>210.467545316594</v>
      </c>
      <c r="T146" s="756">
        <v>211.02149393659397</v>
      </c>
      <c r="U146" s="757">
        <v>193.53148605659399</v>
      </c>
      <c r="V146" s="754">
        <v>162.34880791660402</v>
      </c>
    </row>
    <row r="147" spans="2:22" s="606" customFormat="1" outlineLevel="1">
      <c r="B147" s="605" t="s">
        <v>714</v>
      </c>
      <c r="C147" s="647" t="s">
        <v>715</v>
      </c>
      <c r="D147" s="648"/>
      <c r="E147" s="649"/>
      <c r="F147" s="649"/>
      <c r="G147" s="648"/>
      <c r="H147" s="648"/>
      <c r="I147" s="648"/>
      <c r="J147" s="648"/>
      <c r="K147" s="648"/>
      <c r="L147" s="648"/>
      <c r="M147" s="754">
        <v>-0.69450592999999117</v>
      </c>
      <c r="N147" s="754">
        <v>-32.087439259999996</v>
      </c>
      <c r="O147" s="754">
        <v>-32.222831320000004</v>
      </c>
      <c r="P147" s="754">
        <v>-25.097100306103528</v>
      </c>
      <c r="Q147" s="754">
        <v>-29.415379306594048</v>
      </c>
      <c r="R147" s="754">
        <v>208.06651342340606</v>
      </c>
      <c r="S147" s="755">
        <v>27.196430873405973</v>
      </c>
      <c r="T147" s="756">
        <v>71.611202253405935</v>
      </c>
      <c r="U147" s="757">
        <v>-12.038463636594017</v>
      </c>
      <c r="V147" s="754">
        <v>172.79525299339599</v>
      </c>
    </row>
    <row r="148" spans="2:22" s="606" customFormat="1" outlineLevel="1">
      <c r="B148" s="629" t="s">
        <v>865</v>
      </c>
      <c r="C148" s="653" t="s">
        <v>216</v>
      </c>
      <c r="D148" s="650"/>
      <c r="E148" s="651"/>
      <c r="F148" s="651"/>
      <c r="G148" s="648"/>
      <c r="H148" s="648"/>
      <c r="I148" s="648"/>
      <c r="J148" s="648"/>
      <c r="K148" s="648"/>
      <c r="L148" s="648"/>
      <c r="M148" s="758">
        <v>0</v>
      </c>
      <c r="N148" s="759">
        <v>0</v>
      </c>
      <c r="O148" s="759">
        <v>6.6242929490685748E-2</v>
      </c>
      <c r="P148" s="759">
        <v>3.8688810708036904E-2</v>
      </c>
      <c r="Q148" s="759">
        <v>1.1134691925388037E-2</v>
      </c>
      <c r="R148" s="759">
        <v>0</v>
      </c>
      <c r="S148" s="760">
        <v>0</v>
      </c>
      <c r="T148" s="761">
        <v>0</v>
      </c>
      <c r="U148" s="759">
        <v>0</v>
      </c>
      <c r="V148" s="759">
        <v>0</v>
      </c>
    </row>
    <row r="149" spans="2:22" s="606" customFormat="1" outlineLevel="1">
      <c r="C149" s="654" t="s">
        <v>716</v>
      </c>
      <c r="D149" s="655"/>
      <c r="E149" s="686"/>
      <c r="F149" s="686"/>
      <c r="G149" s="648"/>
      <c r="H149" s="648"/>
      <c r="I149" s="648"/>
      <c r="J149" s="648"/>
      <c r="K149" s="648"/>
      <c r="L149" s="648"/>
      <c r="M149" s="635">
        <v>0</v>
      </c>
      <c r="N149" s="635">
        <v>0</v>
      </c>
      <c r="O149" s="635">
        <v>0</v>
      </c>
      <c r="P149" s="635">
        <v>0</v>
      </c>
      <c r="Q149" s="635">
        <v>0</v>
      </c>
      <c r="R149" s="635">
        <v>0</v>
      </c>
      <c r="S149" s="635">
        <v>0</v>
      </c>
      <c r="T149" s="635">
        <v>0</v>
      </c>
      <c r="U149" s="635">
        <v>0</v>
      </c>
      <c r="V149" s="635">
        <v>0</v>
      </c>
    </row>
    <row r="150" spans="2:22" s="606" customFormat="1" outlineLevel="1">
      <c r="C150" s="657" t="s">
        <v>763</v>
      </c>
      <c r="D150" s="648"/>
      <c r="E150" s="649"/>
      <c r="F150" s="649"/>
      <c r="G150" s="648"/>
      <c r="H150" s="648"/>
      <c r="I150" s="648"/>
      <c r="J150" s="648"/>
      <c r="K150" s="648"/>
      <c r="L150" s="648"/>
      <c r="M150" s="723">
        <v>129.02845392</v>
      </c>
      <c r="N150" s="724">
        <v>105.46424442</v>
      </c>
      <c r="O150" s="724">
        <v>148.00975422949068</v>
      </c>
      <c r="P150" s="724">
        <v>208.64864902070812</v>
      </c>
      <c r="Q150" s="724">
        <v>217.24544738192529</v>
      </c>
      <c r="R150" s="724">
        <v>452.34301138000006</v>
      </c>
      <c r="S150" s="725">
        <v>252.14364502999996</v>
      </c>
      <c r="T150" s="726">
        <v>296.9224123599999</v>
      </c>
      <c r="U150" s="727">
        <v>195.72799662</v>
      </c>
      <c r="V150" s="724">
        <v>344.56363722000003</v>
      </c>
    </row>
    <row r="151" spans="2:22" s="606" customFormat="1" outlineLevel="1">
      <c r="C151" s="647" t="s">
        <v>720</v>
      </c>
      <c r="D151" s="648"/>
      <c r="E151" s="649"/>
      <c r="F151" s="649"/>
      <c r="G151" s="648"/>
      <c r="H151" s="648"/>
      <c r="I151" s="648"/>
      <c r="J151" s="648"/>
      <c r="K151" s="648"/>
      <c r="L151" s="648"/>
      <c r="M151" s="635">
        <v>0</v>
      </c>
      <c r="N151" s="635">
        <v>0</v>
      </c>
      <c r="O151" s="635">
        <v>0</v>
      </c>
      <c r="P151" s="635">
        <v>0</v>
      </c>
      <c r="Q151" s="635">
        <v>0</v>
      </c>
      <c r="R151" s="635">
        <v>0</v>
      </c>
      <c r="S151" s="635">
        <v>0</v>
      </c>
      <c r="T151" s="635">
        <v>0</v>
      </c>
      <c r="U151" s="635">
        <v>0</v>
      </c>
      <c r="V151" s="635">
        <v>0</v>
      </c>
    </row>
    <row r="152" spans="2:22" s="606" customFormat="1" outlineLevel="1">
      <c r="C152" s="647" t="s">
        <v>764</v>
      </c>
      <c r="D152" s="648"/>
      <c r="E152" s="649"/>
      <c r="F152" s="649"/>
      <c r="G152" s="648"/>
      <c r="H152" s="648"/>
      <c r="I152" s="648"/>
      <c r="J152" s="648"/>
      <c r="K152" s="648"/>
      <c r="L152" s="648"/>
      <c r="M152" s="635">
        <v>0</v>
      </c>
      <c r="N152" s="635">
        <v>0</v>
      </c>
      <c r="O152" s="635">
        <v>0</v>
      </c>
      <c r="P152" s="635">
        <v>0</v>
      </c>
      <c r="Q152" s="635">
        <v>0</v>
      </c>
      <c r="R152" s="635">
        <v>0</v>
      </c>
      <c r="S152" s="635">
        <v>0</v>
      </c>
      <c r="T152" s="635">
        <v>0</v>
      </c>
      <c r="U152" s="635">
        <v>0</v>
      </c>
      <c r="V152" s="635">
        <v>0</v>
      </c>
    </row>
    <row r="153" spans="2:22" s="606" customFormat="1" outlineLevel="1">
      <c r="C153" s="647" t="s">
        <v>734</v>
      </c>
      <c r="D153" s="648"/>
      <c r="E153" s="656"/>
      <c r="F153" s="656"/>
      <c r="G153" s="648"/>
      <c r="H153" s="648"/>
      <c r="I153" s="648"/>
      <c r="J153" s="648"/>
      <c r="K153" s="648"/>
      <c r="L153" s="648"/>
      <c r="M153" s="635">
        <v>0</v>
      </c>
      <c r="N153" s="635">
        <v>0</v>
      </c>
      <c r="O153" s="635">
        <v>0</v>
      </c>
      <c r="P153" s="635">
        <v>0</v>
      </c>
      <c r="Q153" s="635">
        <v>0</v>
      </c>
      <c r="R153" s="635">
        <v>0</v>
      </c>
      <c r="S153" s="635">
        <v>0</v>
      </c>
      <c r="T153" s="635">
        <v>0</v>
      </c>
      <c r="U153" s="635">
        <v>0</v>
      </c>
      <c r="V153" s="635">
        <v>0</v>
      </c>
    </row>
    <row r="154" spans="2:22" s="606" customFormat="1" outlineLevel="1">
      <c r="B154" s="1277"/>
      <c r="C154" s="647" t="s">
        <v>765</v>
      </c>
      <c r="D154" s="648"/>
      <c r="E154" s="656"/>
      <c r="F154" s="656"/>
      <c r="G154" s="648"/>
      <c r="H154" s="648"/>
      <c r="I154" s="648"/>
      <c r="J154" s="648"/>
      <c r="K154" s="648"/>
      <c r="L154" s="648"/>
      <c r="M154" s="635">
        <v>0</v>
      </c>
      <c r="N154" s="635">
        <v>0</v>
      </c>
      <c r="O154" s="635">
        <v>0</v>
      </c>
      <c r="P154" s="635">
        <v>0</v>
      </c>
      <c r="Q154" s="635">
        <v>0</v>
      </c>
      <c r="R154" s="635">
        <v>0</v>
      </c>
      <c r="S154" s="635">
        <v>0</v>
      </c>
      <c r="T154" s="635">
        <v>0</v>
      </c>
      <c r="U154" s="635">
        <v>0</v>
      </c>
      <c r="V154" s="635">
        <v>0</v>
      </c>
    </row>
    <row r="155" spans="2:22" s="606" customFormat="1" outlineLevel="1">
      <c r="C155" s="654" t="s">
        <v>716</v>
      </c>
      <c r="D155" s="655"/>
      <c r="E155" s="686"/>
      <c r="F155" s="686"/>
      <c r="G155" s="648"/>
      <c r="H155" s="648"/>
      <c r="I155" s="648"/>
      <c r="J155" s="648"/>
      <c r="K155" s="648"/>
      <c r="L155" s="648"/>
      <c r="M155" s="635">
        <v>-97.964794563749535</v>
      </c>
      <c r="N155" s="635">
        <v>-80.154351534546763</v>
      </c>
      <c r="O155" s="635">
        <v>-112.61983676461315</v>
      </c>
      <c r="P155" s="635">
        <v>-159.01493600746781</v>
      </c>
      <c r="Q155" s="635">
        <v>-165.61567357317657</v>
      </c>
      <c r="R155" s="635">
        <v>-344.84079375948608</v>
      </c>
      <c r="S155" s="635">
        <v>-192.22009074107621</v>
      </c>
      <c r="T155" s="635">
        <v>-226.35689683992524</v>
      </c>
      <c r="U155" s="635">
        <v>-149.21198298053122</v>
      </c>
      <c r="V155" s="635">
        <v>-262.67587907925821</v>
      </c>
    </row>
    <row r="156" spans="2:22" s="606" customFormat="1" outlineLevel="1">
      <c r="C156" s="657" t="s">
        <v>766</v>
      </c>
      <c r="D156" s="648"/>
      <c r="E156" s="649"/>
      <c r="F156" s="649"/>
      <c r="G156" s="648"/>
      <c r="H156" s="648"/>
      <c r="I156" s="648"/>
      <c r="J156" s="648"/>
      <c r="K156" s="648"/>
      <c r="L156" s="648"/>
      <c r="M156" s="700">
        <v>31.063659356250469</v>
      </c>
      <c r="N156" s="1263">
        <v>25.309892885453237</v>
      </c>
      <c r="O156" s="1263">
        <v>35.389917464877527</v>
      </c>
      <c r="P156" s="1263">
        <v>49.63371301324031</v>
      </c>
      <c r="Q156" s="1263">
        <v>51.629773808748723</v>
      </c>
      <c r="R156" s="1263">
        <v>107.50221762051399</v>
      </c>
      <c r="S156" s="1262">
        <v>59.923554288923754</v>
      </c>
      <c r="T156" s="1261">
        <v>70.565515520074655</v>
      </c>
      <c r="U156" s="1260">
        <v>46.516013639468781</v>
      </c>
      <c r="V156" s="1263">
        <v>81.887758140741823</v>
      </c>
    </row>
    <row r="157" spans="2:22" s="606" customFormat="1" outlineLevel="1">
      <c r="C157" s="661"/>
      <c r="D157" s="661"/>
      <c r="E157" s="661"/>
      <c r="F157" s="661"/>
      <c r="G157" s="661"/>
      <c r="H157" s="661"/>
      <c r="I157" s="661"/>
      <c r="J157" s="661"/>
      <c r="K157" s="661"/>
      <c r="L157" s="661"/>
      <c r="M157" s="687"/>
      <c r="N157" s="687"/>
      <c r="O157" s="687"/>
      <c r="P157" s="687"/>
      <c r="Q157" s="687"/>
      <c r="R157" s="687"/>
      <c r="S157" s="687"/>
      <c r="T157" s="688"/>
      <c r="U157" s="687"/>
      <c r="V157" s="687"/>
    </row>
    <row r="158" spans="2:22" s="606" customFormat="1" outlineLevel="1">
      <c r="M158" s="687"/>
      <c r="N158" s="687"/>
      <c r="O158" s="687"/>
      <c r="P158" s="687"/>
      <c r="Q158" s="687"/>
      <c r="R158" s="687"/>
      <c r="S158" s="687"/>
      <c r="T158" s="688"/>
      <c r="U158" s="687"/>
      <c r="V158" s="687"/>
    </row>
    <row r="159" spans="2:22" s="606" customFormat="1" outlineLevel="1">
      <c r="C159" s="665" t="s">
        <v>767</v>
      </c>
      <c r="D159" s="666"/>
      <c r="E159" s="665"/>
      <c r="F159" s="667"/>
      <c r="G159" s="666"/>
      <c r="H159" s="666"/>
      <c r="I159" s="666"/>
      <c r="J159" s="666"/>
      <c r="K159" s="666"/>
      <c r="L159" s="666"/>
      <c r="M159" s="689"/>
      <c r="N159" s="689"/>
      <c r="O159" s="689"/>
      <c r="P159" s="689"/>
      <c r="Q159" s="689"/>
      <c r="R159" s="689"/>
      <c r="S159" s="689"/>
      <c r="T159" s="690"/>
      <c r="U159" s="689"/>
      <c r="V159" s="689"/>
    </row>
    <row r="160" spans="2:22" s="606" customFormat="1" outlineLevel="1">
      <c r="C160" s="647" t="s">
        <v>728</v>
      </c>
      <c r="D160" s="648"/>
      <c r="E160" s="649"/>
      <c r="F160" s="649"/>
      <c r="G160" s="648"/>
      <c r="H160" s="648"/>
      <c r="I160" s="648"/>
      <c r="J160" s="648"/>
      <c r="K160" s="648"/>
      <c r="L160" s="648"/>
      <c r="M160" s="635">
        <v>0</v>
      </c>
      <c r="N160" s="635">
        <v>0</v>
      </c>
      <c r="O160" s="635">
        <v>0</v>
      </c>
      <c r="P160" s="635">
        <v>0</v>
      </c>
      <c r="Q160" s="635">
        <v>0</v>
      </c>
      <c r="R160" s="635">
        <v>0</v>
      </c>
      <c r="S160" s="635">
        <v>0</v>
      </c>
      <c r="T160" s="635">
        <v>0</v>
      </c>
      <c r="U160" s="635">
        <v>0</v>
      </c>
      <c r="V160" s="635">
        <v>0</v>
      </c>
    </row>
    <row r="161" spans="2:22" s="606" customFormat="1" outlineLevel="1">
      <c r="C161" s="649" t="s">
        <v>729</v>
      </c>
      <c r="D161" s="648"/>
      <c r="E161" s="649"/>
      <c r="F161" s="649"/>
      <c r="G161" s="648"/>
      <c r="H161" s="648"/>
      <c r="I161" s="648"/>
      <c r="J161" s="648"/>
      <c r="K161" s="648"/>
      <c r="L161" s="648"/>
      <c r="M161" s="635">
        <v>0</v>
      </c>
      <c r="N161" s="635">
        <v>0</v>
      </c>
      <c r="O161" s="635">
        <v>0</v>
      </c>
      <c r="P161" s="635">
        <v>0</v>
      </c>
      <c r="Q161" s="635">
        <v>0</v>
      </c>
      <c r="R161" s="635">
        <v>0</v>
      </c>
      <c r="S161" s="635">
        <v>0</v>
      </c>
      <c r="T161" s="635">
        <v>0</v>
      </c>
      <c r="U161" s="635">
        <v>0</v>
      </c>
      <c r="V161" s="635">
        <v>0</v>
      </c>
    </row>
    <row r="162" spans="2:22" s="606" customFormat="1" outlineLevel="1">
      <c r="C162" s="649" t="s">
        <v>730</v>
      </c>
      <c r="D162" s="648"/>
      <c r="E162" s="649"/>
      <c r="F162" s="649"/>
      <c r="G162" s="648"/>
      <c r="H162" s="648"/>
      <c r="I162" s="648"/>
      <c r="J162" s="648"/>
      <c r="K162" s="648"/>
      <c r="L162" s="648"/>
      <c r="M162" s="635">
        <v>0</v>
      </c>
      <c r="N162" s="635">
        <v>0</v>
      </c>
      <c r="O162" s="635">
        <v>0</v>
      </c>
      <c r="P162" s="635">
        <v>0</v>
      </c>
      <c r="Q162" s="635">
        <v>0</v>
      </c>
      <c r="R162" s="635">
        <v>0</v>
      </c>
      <c r="S162" s="635">
        <v>0</v>
      </c>
      <c r="T162" s="635">
        <v>0</v>
      </c>
      <c r="U162" s="635">
        <v>0</v>
      </c>
      <c r="V162" s="635">
        <v>0</v>
      </c>
    </row>
    <row r="163" spans="2:22" s="606" customFormat="1" outlineLevel="1">
      <c r="B163" s="629" t="s">
        <v>849</v>
      </c>
      <c r="C163" s="653" t="s">
        <v>850</v>
      </c>
      <c r="D163" s="650"/>
      <c r="E163" s="651"/>
      <c r="F163" s="651"/>
      <c r="G163" s="648"/>
      <c r="H163" s="648"/>
      <c r="I163" s="648"/>
      <c r="J163" s="648"/>
      <c r="K163" s="648"/>
      <c r="L163" s="648"/>
      <c r="M163" s="754">
        <v>0</v>
      </c>
      <c r="N163" s="762">
        <v>0</v>
      </c>
      <c r="O163" s="762">
        <v>0</v>
      </c>
      <c r="P163" s="762">
        <v>0</v>
      </c>
      <c r="Q163" s="762">
        <v>0</v>
      </c>
      <c r="R163" s="762">
        <v>0</v>
      </c>
      <c r="S163" s="763">
        <v>0</v>
      </c>
      <c r="T163" s="764">
        <v>0</v>
      </c>
      <c r="U163" s="757">
        <v>0</v>
      </c>
      <c r="V163" s="762">
        <v>0</v>
      </c>
    </row>
    <row r="164" spans="2:22" s="606" customFormat="1" outlineLevel="1">
      <c r="C164" s="657" t="s">
        <v>768</v>
      </c>
      <c r="D164" s="648"/>
      <c r="E164" s="649"/>
      <c r="F164" s="649"/>
      <c r="G164" s="648"/>
      <c r="H164" s="648"/>
      <c r="I164" s="648"/>
      <c r="J164" s="648"/>
      <c r="K164" s="648"/>
      <c r="L164" s="648"/>
      <c r="M164" s="723">
        <v>0</v>
      </c>
      <c r="N164" s="724">
        <v>0</v>
      </c>
      <c r="O164" s="724">
        <v>0</v>
      </c>
      <c r="P164" s="724">
        <v>0</v>
      </c>
      <c r="Q164" s="724">
        <v>0</v>
      </c>
      <c r="R164" s="724">
        <v>0</v>
      </c>
      <c r="S164" s="725">
        <v>0</v>
      </c>
      <c r="T164" s="726">
        <v>0</v>
      </c>
      <c r="U164" s="727">
        <v>0</v>
      </c>
      <c r="V164" s="724">
        <v>0</v>
      </c>
    </row>
    <row r="165" spans="2:22" s="606" customFormat="1" outlineLevel="1">
      <c r="C165" s="647" t="s">
        <v>769</v>
      </c>
      <c r="D165" s="648"/>
      <c r="E165" s="649"/>
      <c r="F165" s="649"/>
      <c r="G165" s="648"/>
      <c r="H165" s="648"/>
      <c r="I165" s="648"/>
      <c r="J165" s="648"/>
      <c r="K165" s="648"/>
      <c r="L165" s="648"/>
      <c r="M165" s="635">
        <v>0</v>
      </c>
      <c r="N165" s="635">
        <v>0</v>
      </c>
      <c r="O165" s="635">
        <v>0</v>
      </c>
      <c r="P165" s="635">
        <v>0</v>
      </c>
      <c r="Q165" s="635">
        <v>0</v>
      </c>
      <c r="R165" s="635">
        <v>0</v>
      </c>
      <c r="S165" s="635">
        <v>0</v>
      </c>
      <c r="T165" s="635">
        <v>0</v>
      </c>
      <c r="U165" s="635">
        <v>0</v>
      </c>
      <c r="V165" s="635">
        <v>0</v>
      </c>
    </row>
    <row r="166" spans="2:22" s="606" customFormat="1" outlineLevel="1">
      <c r="C166" s="647" t="s">
        <v>733</v>
      </c>
      <c r="D166" s="648"/>
      <c r="E166" s="649"/>
      <c r="F166" s="649"/>
      <c r="G166" s="648"/>
      <c r="H166" s="648"/>
      <c r="I166" s="648"/>
      <c r="J166" s="648"/>
      <c r="K166" s="648"/>
      <c r="L166" s="648"/>
      <c r="M166" s="635">
        <v>0</v>
      </c>
      <c r="N166" s="635">
        <v>0</v>
      </c>
      <c r="O166" s="635">
        <v>0</v>
      </c>
      <c r="P166" s="635">
        <v>0</v>
      </c>
      <c r="Q166" s="635">
        <v>0</v>
      </c>
      <c r="R166" s="635">
        <v>0</v>
      </c>
      <c r="S166" s="635">
        <v>0</v>
      </c>
      <c r="T166" s="635">
        <v>0</v>
      </c>
      <c r="U166" s="635">
        <v>0</v>
      </c>
      <c r="V166" s="635">
        <v>0</v>
      </c>
    </row>
    <row r="167" spans="2:22" s="606" customFormat="1" outlineLevel="1">
      <c r="C167" s="647" t="s">
        <v>770</v>
      </c>
      <c r="D167" s="648"/>
      <c r="E167" s="649"/>
      <c r="F167" s="649"/>
      <c r="G167" s="648"/>
      <c r="H167" s="648"/>
      <c r="I167" s="648"/>
      <c r="J167" s="648"/>
      <c r="K167" s="648"/>
      <c r="L167" s="648"/>
      <c r="M167" s="635">
        <v>0</v>
      </c>
      <c r="N167" s="635">
        <v>0</v>
      </c>
      <c r="O167" s="635">
        <v>0</v>
      </c>
      <c r="P167" s="635">
        <v>0</v>
      </c>
      <c r="Q167" s="635">
        <v>0</v>
      </c>
      <c r="R167" s="635">
        <v>0</v>
      </c>
      <c r="S167" s="635">
        <v>0</v>
      </c>
      <c r="T167" s="635">
        <v>0</v>
      </c>
      <c r="U167" s="635">
        <v>0</v>
      </c>
      <c r="V167" s="635">
        <v>0</v>
      </c>
    </row>
    <row r="168" spans="2:22" s="606" customFormat="1" outlineLevel="1">
      <c r="C168" s="654" t="s">
        <v>716</v>
      </c>
      <c r="D168" s="655"/>
      <c r="E168" s="686"/>
      <c r="F168" s="686"/>
      <c r="G168" s="648"/>
      <c r="H168" s="648"/>
      <c r="I168" s="648"/>
      <c r="J168" s="648"/>
      <c r="K168" s="648"/>
      <c r="L168" s="648"/>
      <c r="M168" s="635">
        <v>0</v>
      </c>
      <c r="N168" s="635">
        <v>0</v>
      </c>
      <c r="O168" s="635">
        <v>0</v>
      </c>
      <c r="P168" s="635">
        <v>0</v>
      </c>
      <c r="Q168" s="635">
        <v>0</v>
      </c>
      <c r="R168" s="635">
        <v>0</v>
      </c>
      <c r="S168" s="635">
        <v>0</v>
      </c>
      <c r="T168" s="635">
        <v>0</v>
      </c>
      <c r="U168" s="635">
        <v>0</v>
      </c>
      <c r="V168" s="635">
        <v>0</v>
      </c>
    </row>
    <row r="169" spans="2:22" s="606" customFormat="1" outlineLevel="1">
      <c r="C169" s="657" t="s">
        <v>771</v>
      </c>
      <c r="D169" s="648"/>
      <c r="E169" s="649"/>
      <c r="F169" s="649"/>
      <c r="G169" s="648"/>
      <c r="H169" s="648"/>
      <c r="I169" s="648"/>
      <c r="J169" s="648"/>
      <c r="K169" s="648"/>
      <c r="L169" s="648"/>
      <c r="M169" s="700">
        <v>0</v>
      </c>
      <c r="N169" s="701">
        <v>0</v>
      </c>
      <c r="O169" s="701">
        <v>0</v>
      </c>
      <c r="P169" s="701">
        <v>0</v>
      </c>
      <c r="Q169" s="701">
        <v>0</v>
      </c>
      <c r="R169" s="701">
        <v>0</v>
      </c>
      <c r="S169" s="702">
        <v>0</v>
      </c>
      <c r="T169" s="703">
        <v>0</v>
      </c>
      <c r="U169" s="704">
        <v>0</v>
      </c>
      <c r="V169" s="701">
        <v>0</v>
      </c>
    </row>
    <row r="170" spans="2:22" s="606" customFormat="1" outlineLevel="1">
      <c r="C170" s="661"/>
      <c r="D170" s="661"/>
      <c r="E170" s="661"/>
      <c r="F170" s="661"/>
      <c r="G170" s="661"/>
      <c r="H170" s="661"/>
      <c r="I170" s="661"/>
      <c r="J170" s="661"/>
      <c r="K170" s="661"/>
      <c r="L170" s="661"/>
      <c r="M170" s="687"/>
      <c r="N170" s="687"/>
      <c r="O170" s="687"/>
      <c r="P170" s="687"/>
      <c r="Q170" s="687"/>
      <c r="R170" s="687"/>
      <c r="S170" s="687"/>
      <c r="T170" s="688"/>
      <c r="U170" s="687"/>
      <c r="V170" s="687"/>
    </row>
    <row r="171" spans="2:22" s="606" customFormat="1" outlineLevel="1">
      <c r="C171" s="670" t="s">
        <v>772</v>
      </c>
      <c r="D171" s="671"/>
      <c r="E171" s="671"/>
      <c r="F171" s="671"/>
      <c r="G171" s="666"/>
      <c r="H171" s="666"/>
      <c r="I171" s="666"/>
      <c r="J171" s="666"/>
      <c r="K171" s="666"/>
      <c r="L171" s="667"/>
      <c r="M171" s="687"/>
      <c r="N171" s="687"/>
      <c r="O171" s="687"/>
      <c r="P171" s="687"/>
      <c r="Q171" s="687"/>
      <c r="R171" s="687"/>
      <c r="S171" s="687"/>
      <c r="T171" s="688"/>
      <c r="U171" s="687"/>
      <c r="V171" s="687"/>
    </row>
    <row r="172" spans="2:22" s="606" customFormat="1" outlineLevel="1">
      <c r="C172" s="672" t="s">
        <v>773</v>
      </c>
      <c r="D172" s="672"/>
      <c r="E172" s="672"/>
      <c r="F172" s="672"/>
      <c r="G172" s="648"/>
      <c r="H172" s="648"/>
      <c r="I172" s="648"/>
      <c r="J172" s="648"/>
      <c r="K172" s="648"/>
      <c r="L172" s="648"/>
      <c r="M172" s="738">
        <v>31.063659356250469</v>
      </c>
      <c r="N172" s="765">
        <v>25.309892885453237</v>
      </c>
      <c r="O172" s="765">
        <v>35.389917464877527</v>
      </c>
      <c r="P172" s="765">
        <v>49.63371301324031</v>
      </c>
      <c r="Q172" s="765">
        <v>51.629773808748723</v>
      </c>
      <c r="R172" s="765">
        <v>107.50221762051399</v>
      </c>
      <c r="S172" s="766">
        <v>59.923554288923754</v>
      </c>
      <c r="T172" s="767">
        <v>70.565515520074655</v>
      </c>
      <c r="U172" s="741">
        <v>46.516013639468781</v>
      </c>
      <c r="V172" s="765">
        <v>81.887758140741823</v>
      </c>
    </row>
    <row r="173" spans="2:22" s="606" customFormat="1" outlineLevel="1">
      <c r="C173" s="672" t="s">
        <v>774</v>
      </c>
      <c r="D173" s="673"/>
      <c r="E173" s="673"/>
      <c r="F173" s="673"/>
      <c r="G173" s="648"/>
      <c r="H173" s="648"/>
      <c r="I173" s="648"/>
      <c r="J173" s="648"/>
      <c r="K173" s="648"/>
      <c r="L173" s="648"/>
      <c r="M173" s="738">
        <v>0</v>
      </c>
      <c r="N173" s="765">
        <v>0</v>
      </c>
      <c r="O173" s="765">
        <v>0</v>
      </c>
      <c r="P173" s="765">
        <v>0</v>
      </c>
      <c r="Q173" s="765">
        <v>0</v>
      </c>
      <c r="R173" s="765">
        <v>0</v>
      </c>
      <c r="S173" s="766">
        <v>0</v>
      </c>
      <c r="T173" s="767">
        <v>0</v>
      </c>
      <c r="U173" s="741">
        <v>0</v>
      </c>
      <c r="V173" s="765">
        <v>0</v>
      </c>
    </row>
    <row r="174" spans="2:22" s="606" customFormat="1" outlineLevel="1">
      <c r="C174" s="672" t="s">
        <v>775</v>
      </c>
      <c r="D174" s="672"/>
      <c r="E174" s="672"/>
      <c r="F174" s="672"/>
      <c r="G174" s="648"/>
      <c r="H174" s="648"/>
      <c r="I174" s="648"/>
      <c r="J174" s="648"/>
      <c r="K174" s="648"/>
      <c r="L174" s="648"/>
      <c r="M174" s="700">
        <v>31.063659356250469</v>
      </c>
      <c r="N174" s="701">
        <v>25.309892885453237</v>
      </c>
      <c r="O174" s="701">
        <v>35.389917464877527</v>
      </c>
      <c r="P174" s="701">
        <v>49.63371301324031</v>
      </c>
      <c r="Q174" s="701">
        <v>51.629773808748723</v>
      </c>
      <c r="R174" s="701">
        <v>107.50221762051399</v>
      </c>
      <c r="S174" s="702">
        <v>59.923554288923754</v>
      </c>
      <c r="T174" s="703">
        <v>70.565515520074655</v>
      </c>
      <c r="U174" s="704">
        <v>46.516013639468781</v>
      </c>
      <c r="V174" s="701">
        <v>81.887758140741823</v>
      </c>
    </row>
    <row r="175" spans="2:22" s="606" customFormat="1" outlineLevel="1">
      <c r="C175" s="691"/>
      <c r="D175" s="691"/>
      <c r="E175" s="691"/>
      <c r="F175" s="691"/>
      <c r="G175" s="661"/>
      <c r="H175" s="661"/>
      <c r="I175" s="661"/>
      <c r="J175" s="661"/>
      <c r="K175" s="661"/>
      <c r="L175" s="661"/>
      <c r="M175" s="687"/>
      <c r="N175" s="687"/>
      <c r="O175" s="687"/>
      <c r="P175" s="687"/>
      <c r="Q175" s="687"/>
      <c r="R175" s="687"/>
      <c r="S175" s="687"/>
      <c r="T175" s="688"/>
      <c r="U175" s="687"/>
      <c r="V175" s="687"/>
    </row>
    <row r="176" spans="2:22" s="606" customFormat="1" outlineLevel="1">
      <c r="B176" s="674"/>
      <c r="C176" s="675" t="s">
        <v>776</v>
      </c>
      <c r="D176" s="675"/>
      <c r="E176" s="666"/>
      <c r="F176" s="666"/>
      <c r="G176" s="666"/>
      <c r="H176" s="666"/>
      <c r="I176" s="666"/>
      <c r="J176" s="666"/>
      <c r="K176" s="666"/>
      <c r="L176" s="666"/>
      <c r="M176" s="687"/>
      <c r="N176" s="687"/>
      <c r="O176" s="687"/>
      <c r="P176" s="687"/>
      <c r="Q176" s="687"/>
      <c r="R176" s="687"/>
      <c r="S176" s="687"/>
      <c r="T176" s="688"/>
      <c r="U176" s="687"/>
      <c r="V176" s="687"/>
    </row>
    <row r="177" spans="2:24" s="606" customFormat="1" outlineLevel="1">
      <c r="B177" s="674"/>
      <c r="C177" s="648" t="s">
        <v>757</v>
      </c>
      <c r="D177" s="648"/>
      <c r="E177" s="648"/>
      <c r="F177" s="648"/>
      <c r="G177" s="648"/>
      <c r="H177" s="648"/>
      <c r="I177" s="648"/>
      <c r="J177" s="648"/>
      <c r="K177" s="648"/>
      <c r="L177" s="648"/>
      <c r="M177" s="635">
        <v>0</v>
      </c>
      <c r="N177" s="635">
        <v>0</v>
      </c>
      <c r="O177" s="635">
        <v>0</v>
      </c>
      <c r="P177" s="635">
        <v>0</v>
      </c>
      <c r="Q177" s="635">
        <v>0</v>
      </c>
      <c r="R177" s="635">
        <v>0</v>
      </c>
      <c r="S177" s="635">
        <v>0</v>
      </c>
      <c r="T177" s="635">
        <v>0</v>
      </c>
      <c r="U177" s="635">
        <v>0</v>
      </c>
      <c r="V177" s="635">
        <v>0</v>
      </c>
    </row>
    <row r="178" spans="2:24" s="606" customFormat="1" outlineLevel="1">
      <c r="B178" s="674"/>
      <c r="C178" s="648" t="s">
        <v>742</v>
      </c>
      <c r="D178" s="648"/>
      <c r="E178" s="648"/>
      <c r="F178" s="648"/>
      <c r="G178" s="648"/>
      <c r="H178" s="648"/>
      <c r="I178" s="648"/>
      <c r="J178" s="648"/>
      <c r="K178" s="648"/>
      <c r="L178" s="648"/>
      <c r="M178" s="55">
        <v>1</v>
      </c>
      <c r="N178" s="56">
        <v>1</v>
      </c>
      <c r="O178" s="56">
        <v>1</v>
      </c>
      <c r="P178" s="56">
        <v>1</v>
      </c>
      <c r="Q178" s="56">
        <v>1</v>
      </c>
      <c r="R178" s="56">
        <v>1</v>
      </c>
      <c r="S178" s="57">
        <v>1</v>
      </c>
      <c r="T178" s="320">
        <v>1</v>
      </c>
      <c r="U178" s="318">
        <v>1</v>
      </c>
      <c r="V178" s="56">
        <v>1</v>
      </c>
    </row>
    <row r="179" spans="2:24" s="606" customFormat="1" outlineLevel="1">
      <c r="B179" s="674"/>
      <c r="T179" s="638"/>
    </row>
    <row r="180" spans="2:24" s="606" customFormat="1">
      <c r="B180" s="632"/>
      <c r="T180" s="638"/>
      <c r="X180" s="692"/>
    </row>
    <row r="181" spans="2:24" s="606" customFormat="1" ht="15">
      <c r="B181" s="621" t="s">
        <v>777</v>
      </c>
      <c r="C181" s="622"/>
      <c r="D181" s="622"/>
      <c r="E181" s="623"/>
      <c r="F181" s="623"/>
      <c r="G181" s="622"/>
      <c r="H181" s="622"/>
      <c r="I181" s="622"/>
      <c r="J181" s="622"/>
      <c r="K181" s="622"/>
      <c r="L181" s="622"/>
      <c r="M181" s="622"/>
      <c r="N181" s="622"/>
      <c r="O181" s="622"/>
      <c r="P181" s="622"/>
      <c r="Q181" s="622"/>
      <c r="R181" s="622"/>
      <c r="S181" s="622"/>
      <c r="T181" s="624"/>
      <c r="U181" s="622"/>
      <c r="V181" s="622"/>
    </row>
    <row r="182" spans="2:24" s="606" customFormat="1">
      <c r="B182" s="693"/>
      <c r="C182" s="632"/>
      <c r="T182" s="638"/>
    </row>
    <row r="183" spans="2:24" s="606" customFormat="1">
      <c r="B183" s="693"/>
      <c r="C183" s="605" t="s">
        <v>778</v>
      </c>
      <c r="T183" s="638"/>
    </row>
    <row r="184" spans="2:24" s="606" customFormat="1">
      <c r="B184" s="632"/>
      <c r="C184" s="606" t="s">
        <v>779</v>
      </c>
      <c r="M184" s="768">
        <v>111.08822882338443</v>
      </c>
      <c r="N184" s="768">
        <v>112.40961624743659</v>
      </c>
      <c r="O184" s="768">
        <v>159.22311614895656</v>
      </c>
      <c r="P184" s="768">
        <v>177.46672304856614</v>
      </c>
      <c r="Q184" s="768">
        <v>176.16363373489523</v>
      </c>
      <c r="R184" s="768">
        <v>176.16363373489523</v>
      </c>
      <c r="S184" s="769">
        <v>176.16363373489523</v>
      </c>
      <c r="T184" s="770">
        <v>166.50940779337654</v>
      </c>
      <c r="U184" s="771">
        <v>143.07296068590315</v>
      </c>
      <c r="V184" s="768">
        <v>123.92330523141159</v>
      </c>
    </row>
    <row r="185" spans="2:24" s="606" customFormat="1">
      <c r="B185" s="632"/>
      <c r="C185" s="606" t="s">
        <v>780</v>
      </c>
      <c r="M185" s="768">
        <v>4.3916395256916374</v>
      </c>
      <c r="N185" s="768">
        <v>12.874817529880467</v>
      </c>
      <c r="O185" s="768">
        <v>25.477692466591872</v>
      </c>
      <c r="P185" s="768">
        <v>32.9978607903764</v>
      </c>
      <c r="Q185" s="768">
        <v>30.449657252733076</v>
      </c>
      <c r="R185" s="768">
        <v>27.602731907270449</v>
      </c>
      <c r="S185" s="769">
        <v>7.5430769247301406</v>
      </c>
      <c r="T185" s="770">
        <v>7.384898207614798</v>
      </c>
      <c r="U185" s="771">
        <v>7.368272291113998</v>
      </c>
      <c r="V185" s="768">
        <v>4.0498515127013963</v>
      </c>
    </row>
    <row r="186" spans="2:24" s="606" customFormat="1">
      <c r="B186" s="632"/>
      <c r="C186" s="606" t="s">
        <v>781</v>
      </c>
      <c r="M186" s="768">
        <v>16.2278747935094</v>
      </c>
      <c r="N186" s="768">
        <v>18.288737493531606</v>
      </c>
      <c r="O186" s="768">
        <v>15.52124387096254</v>
      </c>
      <c r="P186" s="768">
        <v>13.487313323387326</v>
      </c>
      <c r="Q186" s="768">
        <v>13.315903802390338</v>
      </c>
      <c r="R186" s="768">
        <v>13.659541310361314</v>
      </c>
      <c r="S186" s="769">
        <v>14.069327549672163</v>
      </c>
      <c r="T186" s="770">
        <v>14.491407376162352</v>
      </c>
      <c r="U186" s="771">
        <v>14.926149597447235</v>
      </c>
      <c r="V186" s="768">
        <v>15.373934085370667</v>
      </c>
    </row>
    <row r="187" spans="2:24" s="606" customFormat="1">
      <c r="B187" s="632"/>
      <c r="C187" s="606" t="s">
        <v>782</v>
      </c>
      <c r="M187" s="768">
        <v>0</v>
      </c>
      <c r="N187" s="768">
        <v>0</v>
      </c>
      <c r="O187" s="768">
        <v>0</v>
      </c>
      <c r="P187" s="768">
        <v>0</v>
      </c>
      <c r="Q187" s="768">
        <v>0</v>
      </c>
      <c r="R187" s="768">
        <v>0</v>
      </c>
      <c r="S187" s="769">
        <v>0</v>
      </c>
      <c r="T187" s="770">
        <v>0</v>
      </c>
      <c r="U187" s="771">
        <v>0</v>
      </c>
      <c r="V187" s="768">
        <v>0</v>
      </c>
    </row>
    <row r="188" spans="2:24" s="606" customFormat="1">
      <c r="B188" s="632"/>
      <c r="C188" s="606" t="s">
        <v>783</v>
      </c>
      <c r="M188" s="768">
        <v>0</v>
      </c>
      <c r="N188" s="768">
        <v>0</v>
      </c>
      <c r="O188" s="768">
        <v>0</v>
      </c>
      <c r="P188" s="768">
        <v>0</v>
      </c>
      <c r="Q188" s="768">
        <v>0</v>
      </c>
      <c r="R188" s="768">
        <v>0</v>
      </c>
      <c r="S188" s="769">
        <v>0</v>
      </c>
      <c r="T188" s="770">
        <v>0</v>
      </c>
      <c r="U188" s="771">
        <v>0</v>
      </c>
      <c r="V188" s="768">
        <v>0</v>
      </c>
    </row>
    <row r="189" spans="2:24" s="606" customFormat="1">
      <c r="B189" s="632"/>
      <c r="C189" s="606" t="s">
        <v>784</v>
      </c>
      <c r="M189" s="768">
        <v>59.544049444111806</v>
      </c>
      <c r="N189" s="768">
        <v>127.88690236636197</v>
      </c>
      <c r="O189" s="768">
        <v>64.435002767359393</v>
      </c>
      <c r="P189" s="768">
        <v>19.055875145785215</v>
      </c>
      <c r="Q189" s="768">
        <v>12.58606126186239</v>
      </c>
      <c r="R189" s="768">
        <v>15.639916257372036</v>
      </c>
      <c r="S189" s="769">
        <v>18.650532370833226</v>
      </c>
      <c r="T189" s="770">
        <v>19.2100483419587</v>
      </c>
      <c r="U189" s="771">
        <v>19.78634979221707</v>
      </c>
      <c r="V189" s="768">
        <v>20.379940285983643</v>
      </c>
    </row>
    <row r="190" spans="2:24" s="606" customFormat="1">
      <c r="B190" s="632"/>
      <c r="C190" s="606" t="s">
        <v>785</v>
      </c>
      <c r="M190" s="768">
        <v>0</v>
      </c>
      <c r="N190" s="768">
        <v>0</v>
      </c>
      <c r="O190" s="768">
        <v>0</v>
      </c>
      <c r="P190" s="768">
        <v>0</v>
      </c>
      <c r="Q190" s="768">
        <v>0</v>
      </c>
      <c r="R190" s="768">
        <v>0</v>
      </c>
      <c r="S190" s="769">
        <v>0</v>
      </c>
      <c r="T190" s="770">
        <v>0</v>
      </c>
      <c r="U190" s="771">
        <v>0</v>
      </c>
      <c r="V190" s="768">
        <v>0</v>
      </c>
    </row>
    <row r="191" spans="2:24" s="606" customFormat="1">
      <c r="B191" s="632"/>
      <c r="C191" s="606" t="s">
        <v>786</v>
      </c>
      <c r="M191" s="768">
        <v>0</v>
      </c>
      <c r="N191" s="768">
        <v>0</v>
      </c>
      <c r="O191" s="768">
        <v>0</v>
      </c>
      <c r="P191" s="768">
        <v>0</v>
      </c>
      <c r="Q191" s="768">
        <v>0</v>
      </c>
      <c r="R191" s="768">
        <v>0</v>
      </c>
      <c r="S191" s="769">
        <v>0</v>
      </c>
      <c r="T191" s="770">
        <v>0</v>
      </c>
      <c r="U191" s="771">
        <v>0</v>
      </c>
      <c r="V191" s="768">
        <v>0</v>
      </c>
    </row>
    <row r="192" spans="2:24" s="606" customFormat="1">
      <c r="B192" s="632"/>
      <c r="C192" s="605" t="s">
        <v>613</v>
      </c>
      <c r="E192" s="605"/>
      <c r="F192" s="605"/>
      <c r="G192" s="605"/>
      <c r="H192" s="605"/>
      <c r="I192" s="605"/>
      <c r="J192" s="605"/>
      <c r="K192" s="605"/>
      <c r="L192" s="605"/>
      <c r="M192" s="772">
        <v>191.25179258669726</v>
      </c>
      <c r="N192" s="772">
        <v>271.4600736372106</v>
      </c>
      <c r="O192" s="772">
        <v>264.65705525387034</v>
      </c>
      <c r="P192" s="772">
        <v>243.00777230811508</v>
      </c>
      <c r="Q192" s="772">
        <v>232.51525605188104</v>
      </c>
      <c r="R192" s="772">
        <v>233.06582320989901</v>
      </c>
      <c r="S192" s="773">
        <v>216.42657058013074</v>
      </c>
      <c r="T192" s="774">
        <v>207.5957617191124</v>
      </c>
      <c r="U192" s="775">
        <v>185.15373236668145</v>
      </c>
      <c r="V192" s="772">
        <v>163.7270311154673</v>
      </c>
    </row>
    <row r="193" spans="2:22" s="606" customFormat="1">
      <c r="B193" s="632"/>
      <c r="T193" s="638"/>
    </row>
    <row r="194" spans="2:22" s="606" customFormat="1">
      <c r="B194" s="693"/>
      <c r="C194" s="605" t="s">
        <v>787</v>
      </c>
      <c r="T194" s="638"/>
    </row>
    <row r="195" spans="2:22" s="606" customFormat="1">
      <c r="B195" s="632"/>
      <c r="C195" s="606" t="s">
        <v>779</v>
      </c>
      <c r="M195" s="768">
        <v>-1.9562452597196707</v>
      </c>
      <c r="N195" s="768">
        <v>-7.5979875374986108</v>
      </c>
      <c r="O195" s="768">
        <v>-22.149591932214221</v>
      </c>
      <c r="P195" s="768">
        <v>-34.164885059127428</v>
      </c>
      <c r="Q195" s="768">
        <v>-36.469332722500226</v>
      </c>
      <c r="R195" s="768">
        <v>-36.469332722500226</v>
      </c>
      <c r="S195" s="769">
        <v>-36.402875360959129</v>
      </c>
      <c r="T195" s="770">
        <v>-31.071124788187515</v>
      </c>
      <c r="U195" s="771">
        <v>-26.42713698993802</v>
      </c>
      <c r="V195" s="768">
        <v>-31.87394815112814</v>
      </c>
    </row>
    <row r="196" spans="2:22" s="606" customFormat="1">
      <c r="B196" s="632"/>
      <c r="C196" s="606" t="s">
        <v>780</v>
      </c>
      <c r="M196" s="768">
        <v>-1.6756395256916967</v>
      </c>
      <c r="N196" s="768">
        <v>-10.158817529880524</v>
      </c>
      <c r="O196" s="768">
        <v>-1.0382830859856531</v>
      </c>
      <c r="P196" s="768">
        <v>11.848113045634477</v>
      </c>
      <c r="Q196" s="768">
        <v>11.907324029654626</v>
      </c>
      <c r="R196" s="768">
        <v>12.356930497773762</v>
      </c>
      <c r="S196" s="769">
        <v>28.220828125293355</v>
      </c>
      <c r="T196" s="770">
        <v>27.812495039684006</v>
      </c>
      <c r="U196" s="771">
        <v>20.611917774398709</v>
      </c>
      <c r="V196" s="768">
        <v>18.173018602351078</v>
      </c>
    </row>
    <row r="197" spans="2:22" s="606" customFormat="1">
      <c r="B197" s="632"/>
      <c r="C197" s="606" t="s">
        <v>781</v>
      </c>
      <c r="M197" s="768">
        <v>-8.3604402377386684</v>
      </c>
      <c r="N197" s="768">
        <v>-9.4814813272182619</v>
      </c>
      <c r="O197" s="768">
        <v>-9.9472660052414739</v>
      </c>
      <c r="P197" s="768">
        <v>-10.277636725026321</v>
      </c>
      <c r="Q197" s="768">
        <v>-10.514918792189981</v>
      </c>
      <c r="R197" s="768">
        <v>-10.544184117951222</v>
      </c>
      <c r="S197" s="769">
        <v>0</v>
      </c>
      <c r="T197" s="770">
        <v>0</v>
      </c>
      <c r="U197" s="771">
        <v>0</v>
      </c>
      <c r="V197" s="768">
        <v>0</v>
      </c>
    </row>
    <row r="198" spans="2:22" s="606" customFormat="1">
      <c r="B198" s="632"/>
      <c r="C198" s="606" t="s">
        <v>782</v>
      </c>
      <c r="M198" s="768">
        <v>-3.113400941462011</v>
      </c>
      <c r="N198" s="768">
        <v>-4.9891226283087606</v>
      </c>
      <c r="O198" s="768">
        <v>-5.1791844427205236</v>
      </c>
      <c r="P198" s="768">
        <v>-5.2905688365384282</v>
      </c>
      <c r="Q198" s="768">
        <v>-5.3739582453513526</v>
      </c>
      <c r="R198" s="768">
        <v>-5.4747408277922478</v>
      </c>
      <c r="S198" s="769">
        <v>-5.5772977682534499</v>
      </c>
      <c r="T198" s="770">
        <v>-4.861803959002768</v>
      </c>
      <c r="U198" s="771">
        <v>-4.445256269503683</v>
      </c>
      <c r="V198" s="768">
        <v>-4.5023214861456928</v>
      </c>
    </row>
    <row r="199" spans="2:22" s="606" customFormat="1">
      <c r="B199" s="632"/>
      <c r="C199" s="606" t="s">
        <v>783</v>
      </c>
      <c r="M199" s="768">
        <v>0</v>
      </c>
      <c r="N199" s="768">
        <v>0</v>
      </c>
      <c r="O199" s="768">
        <v>0</v>
      </c>
      <c r="P199" s="768">
        <v>0</v>
      </c>
      <c r="Q199" s="768">
        <v>0</v>
      </c>
      <c r="R199" s="768">
        <v>0</v>
      </c>
      <c r="S199" s="769">
        <v>0</v>
      </c>
      <c r="T199" s="770">
        <v>0</v>
      </c>
      <c r="U199" s="771">
        <v>0</v>
      </c>
      <c r="V199" s="768">
        <v>0</v>
      </c>
    </row>
    <row r="200" spans="2:22" s="606" customFormat="1">
      <c r="B200" s="632"/>
      <c r="C200" s="606" t="s">
        <v>784</v>
      </c>
      <c r="M200" s="768">
        <v>34.593785099213726</v>
      </c>
      <c r="N200" s="768">
        <v>63.796330962186467</v>
      </c>
      <c r="O200" s="768">
        <v>26.506926244852096</v>
      </c>
      <c r="P200" s="768">
        <v>18.800773653527543</v>
      </c>
      <c r="Q200" s="768">
        <v>13.503274260171549</v>
      </c>
      <c r="R200" s="768">
        <v>15.182377084399233</v>
      </c>
      <c r="S200" s="769">
        <v>0</v>
      </c>
      <c r="T200" s="770">
        <v>0</v>
      </c>
      <c r="U200" s="771">
        <v>0</v>
      </c>
      <c r="V200" s="768">
        <v>0</v>
      </c>
    </row>
    <row r="201" spans="2:22" s="606" customFormat="1">
      <c r="B201" s="632"/>
      <c r="C201" s="606" t="s">
        <v>785</v>
      </c>
      <c r="M201" s="768">
        <v>51.666926154564642</v>
      </c>
      <c r="N201" s="768">
        <v>96.600254915410574</v>
      </c>
      <c r="O201" s="768">
        <v>43.743511659808682</v>
      </c>
      <c r="P201" s="768">
        <v>25.635578323684069</v>
      </c>
      <c r="Q201" s="768">
        <v>19.19241688817063</v>
      </c>
      <c r="R201" s="768">
        <v>23.195527643221816</v>
      </c>
      <c r="S201" s="769">
        <v>24.987542511868593</v>
      </c>
      <c r="T201" s="770">
        <v>20.087942722575296</v>
      </c>
      <c r="U201" s="771">
        <v>18.302855183502011</v>
      </c>
      <c r="V201" s="768">
        <v>17.764161154720099</v>
      </c>
    </row>
    <row r="202" spans="2:22" s="606" customFormat="1">
      <c r="B202" s="632"/>
      <c r="C202" s="606" t="s">
        <v>786</v>
      </c>
      <c r="M202" s="768">
        <v>0</v>
      </c>
      <c r="N202" s="768">
        <v>0</v>
      </c>
      <c r="O202" s="768">
        <v>0</v>
      </c>
      <c r="P202" s="768">
        <v>0</v>
      </c>
      <c r="Q202" s="768">
        <v>0</v>
      </c>
      <c r="R202" s="768">
        <v>0</v>
      </c>
      <c r="S202" s="769">
        <v>0</v>
      </c>
      <c r="T202" s="770">
        <v>0</v>
      </c>
      <c r="U202" s="771">
        <v>0</v>
      </c>
      <c r="V202" s="768">
        <v>0</v>
      </c>
    </row>
    <row r="203" spans="2:22" s="606" customFormat="1">
      <c r="B203" s="632"/>
      <c r="C203" s="605" t="s">
        <v>613</v>
      </c>
      <c r="E203" s="605"/>
      <c r="F203" s="605"/>
      <c r="G203" s="605"/>
      <c r="H203" s="605"/>
      <c r="I203" s="605"/>
      <c r="J203" s="605"/>
      <c r="K203" s="605"/>
      <c r="L203" s="605"/>
      <c r="M203" s="772">
        <v>71.154985289166319</v>
      </c>
      <c r="N203" s="772">
        <v>128.16917685469087</v>
      </c>
      <c r="O203" s="772">
        <v>31.936112438498903</v>
      </c>
      <c r="P203" s="772">
        <v>6.5513744021539146</v>
      </c>
      <c r="Q203" s="772">
        <v>-7.755194582044755</v>
      </c>
      <c r="R203" s="772">
        <v>-1.7534224428488798</v>
      </c>
      <c r="S203" s="773">
        <v>11.228197507949369</v>
      </c>
      <c r="T203" s="774">
        <v>11.96750901506902</v>
      </c>
      <c r="U203" s="775">
        <v>8.0423796984590155</v>
      </c>
      <c r="V203" s="772">
        <v>-0.43908988020265483</v>
      </c>
    </row>
    <row r="204" spans="2:22" s="606" customFormat="1">
      <c r="B204" s="632"/>
      <c r="C204" s="605"/>
      <c r="T204" s="638"/>
    </row>
    <row r="205" spans="2:22" s="606" customFormat="1">
      <c r="B205" s="693"/>
      <c r="C205" s="605" t="s">
        <v>788</v>
      </c>
      <c r="T205" s="638"/>
    </row>
    <row r="206" spans="2:22" s="606" customFormat="1">
      <c r="B206" s="632"/>
      <c r="C206" s="606" t="s">
        <v>779</v>
      </c>
      <c r="M206" s="768">
        <v>109.13198356366476</v>
      </c>
      <c r="N206" s="768">
        <v>104.81162870993798</v>
      </c>
      <c r="O206" s="768">
        <v>137.07352421674233</v>
      </c>
      <c r="P206" s="768">
        <v>143.3018379894387</v>
      </c>
      <c r="Q206" s="768">
        <v>139.69430101239499</v>
      </c>
      <c r="R206" s="768">
        <v>139.69430101239499</v>
      </c>
      <c r="S206" s="769">
        <v>139.76075837393608</v>
      </c>
      <c r="T206" s="770">
        <v>135.43828300518902</v>
      </c>
      <c r="U206" s="771">
        <v>116.64582369596513</v>
      </c>
      <c r="V206" s="768">
        <v>92.049357080283443</v>
      </c>
    </row>
    <row r="207" spans="2:22" s="606" customFormat="1">
      <c r="B207" s="632"/>
      <c r="C207" s="606" t="s">
        <v>780</v>
      </c>
      <c r="M207" s="768">
        <v>2.7159999999999407</v>
      </c>
      <c r="N207" s="768">
        <v>2.7159999999999425</v>
      </c>
      <c r="O207" s="768">
        <v>24.439409380606218</v>
      </c>
      <c r="P207" s="768">
        <v>44.845973836010877</v>
      </c>
      <c r="Q207" s="768">
        <v>42.3569812823877</v>
      </c>
      <c r="R207" s="768">
        <v>39.959662405044213</v>
      </c>
      <c r="S207" s="769">
        <v>35.763905050023496</v>
      </c>
      <c r="T207" s="770">
        <v>35.197393247298805</v>
      </c>
      <c r="U207" s="771">
        <v>27.980190065512708</v>
      </c>
      <c r="V207" s="768">
        <v>22.222870115052473</v>
      </c>
    </row>
    <row r="208" spans="2:22" s="606" customFormat="1">
      <c r="B208" s="632"/>
      <c r="C208" s="606" t="s">
        <v>781</v>
      </c>
      <c r="M208" s="768">
        <v>7.8674345557707319</v>
      </c>
      <c r="N208" s="768">
        <v>8.8072561663133442</v>
      </c>
      <c r="O208" s="768">
        <v>5.5739778657210657</v>
      </c>
      <c r="P208" s="768">
        <v>3.2096765983610052</v>
      </c>
      <c r="Q208" s="768">
        <v>2.8009850102003568</v>
      </c>
      <c r="R208" s="768">
        <v>3.1153571924100927</v>
      </c>
      <c r="S208" s="769">
        <v>14.069327549672163</v>
      </c>
      <c r="T208" s="770">
        <v>14.491407376162352</v>
      </c>
      <c r="U208" s="771">
        <v>14.926149597447235</v>
      </c>
      <c r="V208" s="768">
        <v>15.373934085370667</v>
      </c>
    </row>
    <row r="209" spans="1:31" s="606" customFormat="1">
      <c r="B209" s="632"/>
      <c r="C209" s="606" t="s">
        <v>782</v>
      </c>
      <c r="M209" s="768">
        <v>-3.113400941462011</v>
      </c>
      <c r="N209" s="768">
        <v>-4.9891226283087606</v>
      </c>
      <c r="O209" s="768">
        <v>-5.1791844427205236</v>
      </c>
      <c r="P209" s="768">
        <v>-5.2905688365384282</v>
      </c>
      <c r="Q209" s="768">
        <v>-5.3739582453513526</v>
      </c>
      <c r="R209" s="768">
        <v>-5.4747408277922478</v>
      </c>
      <c r="S209" s="769">
        <v>-5.5772977682534499</v>
      </c>
      <c r="T209" s="770">
        <v>-4.861803959002768</v>
      </c>
      <c r="U209" s="771">
        <v>-4.445256269503683</v>
      </c>
      <c r="V209" s="768">
        <v>-4.5023214861456928</v>
      </c>
    </row>
    <row r="210" spans="1:31" s="606" customFormat="1">
      <c r="B210" s="632"/>
      <c r="C210" s="606" t="s">
        <v>783</v>
      </c>
      <c r="M210" s="768">
        <v>0</v>
      </c>
      <c r="N210" s="768">
        <v>0</v>
      </c>
      <c r="O210" s="768">
        <v>0</v>
      </c>
      <c r="P210" s="768">
        <v>0</v>
      </c>
      <c r="Q210" s="768">
        <v>0</v>
      </c>
      <c r="R210" s="768">
        <v>0</v>
      </c>
      <c r="S210" s="769">
        <v>0</v>
      </c>
      <c r="T210" s="770">
        <v>0</v>
      </c>
      <c r="U210" s="771">
        <v>0</v>
      </c>
      <c r="V210" s="768">
        <v>0</v>
      </c>
    </row>
    <row r="211" spans="1:31" s="606" customFormat="1">
      <c r="B211" s="632"/>
      <c r="C211" s="606" t="s">
        <v>784</v>
      </c>
      <c r="M211" s="768">
        <v>94.137834543325539</v>
      </c>
      <c r="N211" s="768">
        <v>191.68323332854843</v>
      </c>
      <c r="O211" s="768">
        <v>90.941929012211489</v>
      </c>
      <c r="P211" s="768">
        <v>37.856648799312758</v>
      </c>
      <c r="Q211" s="768">
        <v>26.089335522033942</v>
      </c>
      <c r="R211" s="768">
        <v>30.822293341771271</v>
      </c>
      <c r="S211" s="769">
        <v>18.650532370833226</v>
      </c>
      <c r="T211" s="770">
        <v>19.2100483419587</v>
      </c>
      <c r="U211" s="771">
        <v>19.78634979221707</v>
      </c>
      <c r="V211" s="768">
        <v>20.379940285983643</v>
      </c>
    </row>
    <row r="212" spans="1:31" s="606" customFormat="1">
      <c r="B212" s="632"/>
      <c r="C212" s="606" t="s">
        <v>785</v>
      </c>
      <c r="M212" s="768">
        <v>51.666926154564642</v>
      </c>
      <c r="N212" s="768">
        <v>96.600254915410574</v>
      </c>
      <c r="O212" s="768">
        <v>43.743511659808682</v>
      </c>
      <c r="P212" s="768">
        <v>25.635578323684069</v>
      </c>
      <c r="Q212" s="768">
        <v>19.19241688817063</v>
      </c>
      <c r="R212" s="768">
        <v>23.195527643221816</v>
      </c>
      <c r="S212" s="769">
        <v>24.987542511868593</v>
      </c>
      <c r="T212" s="770">
        <v>20.087942722575296</v>
      </c>
      <c r="U212" s="771">
        <v>18.302855183502011</v>
      </c>
      <c r="V212" s="768">
        <v>17.764161154720099</v>
      </c>
    </row>
    <row r="213" spans="1:31" s="606" customFormat="1">
      <c r="B213" s="632"/>
      <c r="C213" s="606" t="s">
        <v>786</v>
      </c>
      <c r="M213" s="768">
        <v>0</v>
      </c>
      <c r="N213" s="768">
        <v>0</v>
      </c>
      <c r="O213" s="768">
        <v>0</v>
      </c>
      <c r="P213" s="768">
        <v>0</v>
      </c>
      <c r="Q213" s="768">
        <v>0</v>
      </c>
      <c r="R213" s="768">
        <v>0</v>
      </c>
      <c r="S213" s="769">
        <v>0</v>
      </c>
      <c r="T213" s="770">
        <v>0</v>
      </c>
      <c r="U213" s="771">
        <v>0</v>
      </c>
      <c r="V213" s="768">
        <v>0</v>
      </c>
    </row>
    <row r="214" spans="1:31" s="606" customFormat="1">
      <c r="B214" s="632"/>
      <c r="C214" s="605" t="s">
        <v>613</v>
      </c>
      <c r="E214" s="605"/>
      <c r="F214" s="605"/>
      <c r="G214" s="605"/>
      <c r="H214" s="605"/>
      <c r="I214" s="605"/>
      <c r="J214" s="605"/>
      <c r="K214" s="605"/>
      <c r="L214" s="605"/>
      <c r="M214" s="772">
        <v>262.40677787586361</v>
      </c>
      <c r="N214" s="772">
        <v>399.62925049190153</v>
      </c>
      <c r="O214" s="772">
        <v>296.59316769236926</v>
      </c>
      <c r="P214" s="772">
        <v>249.55914671026895</v>
      </c>
      <c r="Q214" s="772">
        <v>224.76006146983624</v>
      </c>
      <c r="R214" s="772">
        <v>231.31240076705015</v>
      </c>
      <c r="S214" s="773">
        <v>227.65476808808006</v>
      </c>
      <c r="T214" s="774">
        <v>219.5632707341814</v>
      </c>
      <c r="U214" s="775">
        <v>193.19611206514048</v>
      </c>
      <c r="V214" s="772">
        <v>163.28794123526467</v>
      </c>
    </row>
    <row r="215" spans="1:31" s="606" customFormat="1">
      <c r="B215" s="632"/>
      <c r="C215" s="632"/>
      <c r="D215" s="605"/>
      <c r="T215" s="638"/>
    </row>
    <row r="216" spans="1:31" s="699" customFormat="1" ht="15" customHeight="1">
      <c r="A216" s="694"/>
      <c r="B216" s="695" t="s">
        <v>789</v>
      </c>
      <c r="C216" s="695"/>
      <c r="D216" s="695"/>
      <c r="E216" s="695"/>
      <c r="F216" s="695"/>
      <c r="G216" s="695"/>
      <c r="H216" s="695"/>
      <c r="I216" s="695"/>
      <c r="J216" s="695"/>
      <c r="K216" s="695"/>
      <c r="L216" s="695"/>
      <c r="M216" s="695"/>
      <c r="N216" s="695"/>
      <c r="O216" s="695"/>
      <c r="P216" s="695"/>
      <c r="Q216" s="695"/>
      <c r="R216" s="695"/>
      <c r="S216" s="695"/>
      <c r="T216" s="696"/>
      <c r="U216" s="695"/>
      <c r="V216" s="695"/>
      <c r="W216" s="697"/>
      <c r="X216" s="698"/>
      <c r="Y216" s="698"/>
      <c r="Z216" s="698"/>
      <c r="AA216" s="698"/>
      <c r="AB216" s="698"/>
      <c r="AC216" s="698"/>
      <c r="AD216" s="698"/>
      <c r="AE216" s="698"/>
    </row>
    <row r="217" spans="1:31" s="606" customFormat="1"/>
    <row r="218" spans="1:31" s="606" customFormat="1"/>
  </sheetData>
  <sheetProtection insertRows="0" sort="0" autoFilter="0" pivotTables="0"/>
  <mergeCells count="2">
    <mergeCell ref="M7:Q7"/>
    <mergeCell ref="R7:V7"/>
  </mergeCells>
  <conditionalFormatting sqref="M9:U9">
    <cfRule type="expression" dxfId="36" priority="3">
      <formula>AND(M$8="Actuals",N$8="Forecast")</formula>
    </cfRule>
  </conditionalFormatting>
  <conditionalFormatting sqref="M22:V22">
    <cfRule type="expression" dxfId="35" priority="1">
      <formula>M22&lt;&gt;"OK"</formula>
    </cfRule>
  </conditionalFormatting>
  <conditionalFormatting sqref="U9">
    <cfRule type="expression" dxfId="34" priority="4">
      <formula>AND(U$5="Actuals",V$5="Forecast")</formula>
    </cfRule>
  </conditionalFormatting>
  <conditionalFormatting sqref="V9">
    <cfRule type="expression" dxfId="33" priority="8">
      <formula>AND(V$5="Actuals",#REF!="Forecast")</formula>
    </cfRule>
    <cfRule type="expression" dxfId="32" priority="9">
      <formula>AND(V$8="Actuals",#REF!="Forecast")</formula>
    </cfRule>
  </conditionalFormatting>
  <dataValidations disablePrompts="1" count="2">
    <dataValidation type="decimal" operator="lessThanOrEqual" allowBlank="1" showInputMessage="1" showErrorMessage="1" sqref="X65" xr:uid="{4660EE2A-1E91-47E9-AA78-551F70256715}">
      <formula1>0</formula1>
    </dataValidation>
    <dataValidation type="decimal" operator="greaterThanOrEqual" allowBlank="1" showInputMessage="1" showErrorMessage="1" sqref="X60:X64" xr:uid="{1779CD54-EB60-4190-A2A8-111F70A0BAF6}">
      <formula1>0</formula1>
    </dataValidation>
  </dataValidations>
  <printOptions headings="1"/>
  <pageMargins left="0.35433070866141736" right="0.31496062992125984" top="1.5354330708661419" bottom="0.62992125984251968" header="0" footer="0.27559055118110237"/>
  <pageSetup paperSize="9" scale="32"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W113"/>
  <sheetViews>
    <sheetView zoomScaleNormal="100" workbookViewId="0">
      <selection activeCell="D13" sqref="D13"/>
    </sheetView>
  </sheetViews>
  <sheetFormatPr defaultColWidth="0" defaultRowHeight="13.5" zeroHeight="1"/>
  <cols>
    <col min="1" max="1" width="8.3828125" style="114" customWidth="1"/>
    <col min="2" max="2" width="85.765625" style="114" bestFit="1" customWidth="1"/>
    <col min="3" max="3" width="14.15234375" style="114" customWidth="1"/>
    <col min="4" max="8" width="11.15234375" style="114" customWidth="1"/>
    <col min="9" max="9" width="5" style="114" customWidth="1"/>
    <col min="10" max="10" width="12.84375" style="114" customWidth="1"/>
    <col min="11" max="23" width="9.23046875" style="114" customWidth="1"/>
    <col min="24" max="16384" width="9" style="114" hidden="1"/>
  </cols>
  <sheetData>
    <row r="1" spans="1:23" ht="20">
      <c r="A1" s="324" t="s">
        <v>266</v>
      </c>
      <c r="B1" s="326"/>
      <c r="C1" s="327"/>
      <c r="D1" s="327"/>
      <c r="E1" s="327"/>
      <c r="F1" s="327"/>
      <c r="G1" s="327"/>
      <c r="H1" s="327"/>
      <c r="I1" s="456"/>
    </row>
    <row r="2" spans="1:23" ht="20">
      <c r="A2" s="329" t="s">
        <v>4</v>
      </c>
      <c r="B2" s="331"/>
      <c r="C2" s="332"/>
      <c r="D2" s="332"/>
      <c r="E2" s="332"/>
      <c r="F2" s="332"/>
      <c r="G2" s="332"/>
      <c r="H2" s="332"/>
      <c r="I2" s="334"/>
    </row>
    <row r="3" spans="1:23" ht="20">
      <c r="A3" s="555">
        <v>2024</v>
      </c>
      <c r="B3" s="556" t="s">
        <v>1245</v>
      </c>
      <c r="C3" s="335"/>
      <c r="D3" s="335"/>
      <c r="E3" s="335"/>
      <c r="F3" s="335"/>
      <c r="G3" s="335"/>
      <c r="H3" s="335"/>
      <c r="I3" s="337"/>
    </row>
    <row r="4" spans="1:23" ht="12.75" customHeight="1">
      <c r="A4" s="557"/>
      <c r="B4" s="557"/>
      <c r="C4" s="557"/>
      <c r="D4" s="557"/>
      <c r="E4" s="557"/>
      <c r="F4" s="557"/>
      <c r="G4" s="557"/>
      <c r="H4" s="557"/>
      <c r="I4" s="558"/>
    </row>
    <row r="5" spans="1:23">
      <c r="A5" s="339"/>
      <c r="B5" s="480"/>
      <c r="C5" s="480"/>
      <c r="D5" s="338" t="s">
        <v>1246</v>
      </c>
      <c r="E5" s="338" t="s">
        <v>1246</v>
      </c>
      <c r="F5" s="338" t="s">
        <v>1246</v>
      </c>
      <c r="G5" s="338" t="s">
        <v>1247</v>
      </c>
      <c r="H5" s="338" t="s">
        <v>1247</v>
      </c>
      <c r="I5" s="339"/>
      <c r="J5" s="339"/>
      <c r="K5" s="339"/>
      <c r="L5" s="339"/>
      <c r="M5" s="339"/>
      <c r="N5" s="339"/>
      <c r="O5" s="339"/>
      <c r="P5" s="339"/>
      <c r="Q5" s="339"/>
      <c r="R5" s="339"/>
      <c r="S5" s="339"/>
      <c r="T5" s="339"/>
      <c r="U5" s="339"/>
      <c r="V5" s="339"/>
      <c r="W5" s="339"/>
    </row>
    <row r="6" spans="1:23">
      <c r="A6" s="339"/>
      <c r="B6" s="339"/>
      <c r="C6" s="339"/>
      <c r="D6" s="457">
        <v>2022</v>
      </c>
      <c r="E6" s="458">
        <v>2023</v>
      </c>
      <c r="F6" s="458">
        <v>2024</v>
      </c>
      <c r="G6" s="458">
        <v>2025</v>
      </c>
      <c r="H6" s="458">
        <v>2026</v>
      </c>
      <c r="I6" s="339"/>
      <c r="J6" s="339"/>
      <c r="K6" s="339"/>
      <c r="L6" s="339"/>
      <c r="M6" s="339"/>
      <c r="N6" s="339"/>
      <c r="O6" s="339"/>
      <c r="P6" s="339"/>
      <c r="Q6" s="339"/>
      <c r="R6" s="339"/>
      <c r="S6" s="339"/>
      <c r="T6" s="339"/>
      <c r="U6" s="339"/>
      <c r="V6" s="339"/>
      <c r="W6" s="339"/>
    </row>
    <row r="7" spans="1:23">
      <c r="A7" s="339"/>
      <c r="B7" s="339"/>
      <c r="C7" s="339"/>
      <c r="D7" s="457" t="s">
        <v>1249</v>
      </c>
      <c r="E7" s="457" t="s">
        <v>1250</v>
      </c>
      <c r="F7" s="457" t="s">
        <v>1251</v>
      </c>
      <c r="G7" s="457" t="s">
        <v>1252</v>
      </c>
      <c r="H7" s="562" t="s">
        <v>1253</v>
      </c>
      <c r="I7" s="339"/>
      <c r="J7" s="339"/>
      <c r="K7" s="339"/>
      <c r="L7" s="339"/>
      <c r="M7" s="339"/>
      <c r="N7" s="339"/>
      <c r="O7" s="339"/>
      <c r="P7" s="339"/>
      <c r="Q7" s="339"/>
      <c r="R7" s="339"/>
      <c r="S7" s="339"/>
      <c r="T7" s="339"/>
      <c r="U7" s="339"/>
      <c r="V7" s="339"/>
      <c r="W7" s="339"/>
    </row>
    <row r="8" spans="1:23">
      <c r="A8" s="339"/>
      <c r="B8" s="339"/>
      <c r="C8" s="339"/>
      <c r="D8" s="339"/>
      <c r="E8" s="339"/>
      <c r="F8" s="339"/>
      <c r="G8" s="339"/>
      <c r="H8" s="339"/>
      <c r="I8" s="339"/>
      <c r="J8" s="339"/>
      <c r="K8" s="339"/>
      <c r="L8" s="339"/>
      <c r="M8" s="339"/>
      <c r="N8" s="339"/>
      <c r="O8" s="339"/>
      <c r="P8" s="339"/>
      <c r="Q8" s="339"/>
      <c r="R8" s="339"/>
      <c r="S8" s="339"/>
      <c r="T8" s="339"/>
      <c r="U8" s="339"/>
      <c r="V8" s="339"/>
      <c r="W8" s="339"/>
    </row>
    <row r="9" spans="1:23">
      <c r="A9" s="339"/>
      <c r="B9" s="88" t="s">
        <v>790</v>
      </c>
      <c r="C9" s="29" t="s">
        <v>522</v>
      </c>
      <c r="D9" s="776">
        <v>-826.13110988999904</v>
      </c>
      <c r="E9" s="783">
        <v>-92</v>
      </c>
      <c r="F9" s="783">
        <v>-544</v>
      </c>
      <c r="G9" s="783">
        <v>-598</v>
      </c>
      <c r="H9" s="783">
        <v>-199.81253584425218</v>
      </c>
      <c r="I9" s="339"/>
      <c r="J9" s="339"/>
      <c r="K9" s="339"/>
      <c r="L9" s="339"/>
      <c r="M9" s="339"/>
      <c r="N9" s="339"/>
      <c r="O9" s="339"/>
      <c r="P9" s="339"/>
      <c r="Q9" s="339"/>
      <c r="R9" s="339"/>
      <c r="S9" s="339"/>
      <c r="T9" s="339"/>
      <c r="U9" s="339"/>
      <c r="V9" s="339"/>
      <c r="W9" s="339"/>
    </row>
    <row r="10" spans="1:23">
      <c r="A10" s="339"/>
      <c r="B10" s="88"/>
      <c r="C10" s="339"/>
      <c r="D10" s="339"/>
      <c r="E10" s="339"/>
      <c r="F10" s="339"/>
      <c r="G10" s="339"/>
      <c r="H10" s="339"/>
      <c r="I10" s="339"/>
      <c r="J10" s="339"/>
      <c r="K10" s="339"/>
      <c r="L10" s="339"/>
      <c r="M10" s="339"/>
      <c r="N10" s="339"/>
      <c r="O10" s="339"/>
      <c r="P10" s="339"/>
      <c r="Q10" s="339"/>
      <c r="R10" s="339"/>
      <c r="S10" s="339"/>
      <c r="T10" s="339"/>
      <c r="U10" s="339"/>
      <c r="V10" s="339"/>
      <c r="W10" s="339"/>
    </row>
    <row r="11" spans="1:23">
      <c r="B11" s="88" t="s">
        <v>791</v>
      </c>
      <c r="C11" s="29" t="s">
        <v>522</v>
      </c>
      <c r="D11" s="784">
        <v>-92</v>
      </c>
      <c r="E11" s="784">
        <v>-544</v>
      </c>
      <c r="F11" s="784">
        <v>-598</v>
      </c>
      <c r="G11" s="784">
        <v>-199.81253584425218</v>
      </c>
      <c r="H11" s="784">
        <v>-60</v>
      </c>
    </row>
    <row r="12" spans="1:23">
      <c r="B12" s="347" t="s">
        <v>840</v>
      </c>
      <c r="C12" s="29" t="s">
        <v>522</v>
      </c>
      <c r="D12" s="785">
        <v>0</v>
      </c>
      <c r="E12" s="785">
        <v>0</v>
      </c>
      <c r="F12" s="785">
        <v>0</v>
      </c>
      <c r="G12" s="785">
        <v>0</v>
      </c>
      <c r="H12" s="785">
        <v>0</v>
      </c>
    </row>
    <row r="13" spans="1:23">
      <c r="B13" s="347" t="s">
        <v>844</v>
      </c>
      <c r="C13" s="29" t="s">
        <v>522</v>
      </c>
      <c r="D13" s="785">
        <v>921.75888442691485</v>
      </c>
      <c r="E13" s="785">
        <v>991.7208878156041</v>
      </c>
      <c r="F13" s="785">
        <v>754.20039696012509</v>
      </c>
      <c r="G13" s="785">
        <v>550</v>
      </c>
      <c r="H13" s="785">
        <v>550</v>
      </c>
    </row>
    <row r="14" spans="1:23">
      <c r="B14" s="347" t="s">
        <v>847</v>
      </c>
      <c r="C14" s="29" t="s">
        <v>522</v>
      </c>
      <c r="D14" s="785">
        <v>0</v>
      </c>
      <c r="E14" s="785">
        <v>0</v>
      </c>
      <c r="F14" s="785">
        <v>0</v>
      </c>
      <c r="G14" s="785">
        <v>0</v>
      </c>
      <c r="H14" s="785">
        <v>0</v>
      </c>
    </row>
    <row r="15" spans="1:23">
      <c r="B15" s="347" t="s">
        <v>850</v>
      </c>
      <c r="C15" s="29" t="s">
        <v>522</v>
      </c>
      <c r="D15" s="785">
        <v>0</v>
      </c>
      <c r="E15" s="785">
        <v>0</v>
      </c>
      <c r="F15" s="785">
        <v>0</v>
      </c>
      <c r="G15" s="785">
        <v>0</v>
      </c>
      <c r="H15" s="785">
        <v>0</v>
      </c>
    </row>
    <row r="16" spans="1:23">
      <c r="B16" s="347" t="s">
        <v>853</v>
      </c>
      <c r="C16" s="29" t="s">
        <v>522</v>
      </c>
      <c r="D16" s="785">
        <v>0</v>
      </c>
      <c r="E16" s="785">
        <v>0</v>
      </c>
      <c r="F16" s="785">
        <v>0</v>
      </c>
      <c r="G16" s="785">
        <v>0</v>
      </c>
      <c r="H16" s="785">
        <v>0</v>
      </c>
    </row>
    <row r="17" spans="2:10">
      <c r="B17" s="347" t="s">
        <v>856</v>
      </c>
      <c r="C17" s="29" t="s">
        <v>522</v>
      </c>
      <c r="D17" s="785">
        <v>5744.0574474325094</v>
      </c>
      <c r="E17" s="785">
        <v>6276.6283464101834</v>
      </c>
      <c r="F17" s="785">
        <v>6918.0718850190706</v>
      </c>
      <c r="G17" s="785">
        <v>6553.4548375891245</v>
      </c>
      <c r="H17" s="785">
        <v>6566.0408988509871</v>
      </c>
    </row>
    <row r="18" spans="2:10">
      <c r="B18" s="347" t="s">
        <v>859</v>
      </c>
      <c r="C18" s="29" t="s">
        <v>522</v>
      </c>
      <c r="D18" s="785">
        <v>3235.982</v>
      </c>
      <c r="E18" s="785">
        <v>3235.982</v>
      </c>
      <c r="F18" s="785">
        <v>4209.076</v>
      </c>
      <c r="G18" s="785">
        <v>3828.5509999999995</v>
      </c>
      <c r="H18" s="785">
        <v>3828.5509999999995</v>
      </c>
    </row>
    <row r="19" spans="2:10">
      <c r="B19" s="347" t="s">
        <v>863</v>
      </c>
      <c r="C19" s="29" t="s">
        <v>522</v>
      </c>
      <c r="D19" s="785">
        <v>-3235.982</v>
      </c>
      <c r="E19" s="785">
        <v>-3235.982</v>
      </c>
      <c r="F19" s="785">
        <v>-4209.076</v>
      </c>
      <c r="G19" s="785">
        <v>-3828.5509999999995</v>
      </c>
      <c r="H19" s="785">
        <v>-3828.5509999999995</v>
      </c>
    </row>
    <row r="20" spans="2:10">
      <c r="B20" s="347" t="s">
        <v>216</v>
      </c>
      <c r="C20" s="29" t="s">
        <v>522</v>
      </c>
      <c r="D20" s="785">
        <v>0</v>
      </c>
      <c r="E20" s="785">
        <v>0</v>
      </c>
      <c r="F20" s="785">
        <v>0</v>
      </c>
      <c r="G20" s="785">
        <v>0</v>
      </c>
      <c r="H20" s="785">
        <v>0</v>
      </c>
    </row>
    <row r="21" spans="2:10">
      <c r="B21" s="429" t="s">
        <v>792</v>
      </c>
      <c r="C21" s="40" t="s">
        <v>522</v>
      </c>
      <c r="D21" s="786">
        <v>6573.8163318594234</v>
      </c>
      <c r="E21" s="786">
        <v>6724.3492342257887</v>
      </c>
      <c r="F21" s="786">
        <v>7074.272281979197</v>
      </c>
      <c r="G21" s="786">
        <v>6903.6423017448724</v>
      </c>
      <c r="H21" s="786">
        <v>7056.040898850988</v>
      </c>
      <c r="I21" s="339"/>
      <c r="J21" s="777"/>
    </row>
    <row r="22" spans="2:10">
      <c r="B22" s="429"/>
      <c r="C22" s="29"/>
      <c r="D22" s="41"/>
      <c r="E22" s="41"/>
      <c r="F22" s="41"/>
      <c r="G22" s="41"/>
      <c r="H22" s="41"/>
      <c r="I22" s="339"/>
      <c r="J22" s="339"/>
    </row>
    <row r="23" spans="2:10">
      <c r="B23" s="429" t="s">
        <v>793</v>
      </c>
      <c r="C23" s="564"/>
      <c r="D23" s="778"/>
      <c r="E23" s="778"/>
      <c r="F23" s="778"/>
      <c r="G23" s="778"/>
      <c r="H23" s="778"/>
      <c r="I23" s="339"/>
      <c r="J23" s="339"/>
    </row>
    <row r="24" spans="2:10">
      <c r="B24" s="566" t="s">
        <v>871</v>
      </c>
      <c r="C24" s="29" t="s">
        <v>522</v>
      </c>
      <c r="D24" s="787">
        <v>0</v>
      </c>
      <c r="E24" s="787">
        <v>0</v>
      </c>
      <c r="F24" s="787">
        <v>0</v>
      </c>
      <c r="G24" s="787">
        <v>0</v>
      </c>
      <c r="H24" s="787">
        <v>0</v>
      </c>
      <c r="J24" s="339"/>
    </row>
    <row r="25" spans="2:10">
      <c r="B25" s="566" t="s">
        <v>872</v>
      </c>
      <c r="C25" s="29" t="s">
        <v>522</v>
      </c>
      <c r="D25" s="787">
        <v>0</v>
      </c>
      <c r="E25" s="787">
        <v>0</v>
      </c>
      <c r="F25" s="787">
        <v>0</v>
      </c>
      <c r="G25" s="787">
        <v>0</v>
      </c>
      <c r="H25" s="787">
        <v>0</v>
      </c>
      <c r="J25" s="339"/>
    </row>
    <row r="26" spans="2:10">
      <c r="B26" s="566" t="s">
        <v>873</v>
      </c>
      <c r="C26" s="29" t="s">
        <v>522</v>
      </c>
      <c r="D26" s="787">
        <v>0</v>
      </c>
      <c r="E26" s="787">
        <v>0</v>
      </c>
      <c r="F26" s="787">
        <v>0</v>
      </c>
      <c r="G26" s="787">
        <v>0</v>
      </c>
      <c r="H26" s="787">
        <v>0</v>
      </c>
      <c r="J26" s="339"/>
    </row>
    <row r="27" spans="2:10">
      <c r="B27" s="566" t="s">
        <v>874</v>
      </c>
      <c r="C27" s="29" t="s">
        <v>522</v>
      </c>
      <c r="D27" s="787">
        <v>0</v>
      </c>
      <c r="E27" s="787">
        <v>0</v>
      </c>
      <c r="F27" s="787">
        <v>0</v>
      </c>
      <c r="G27" s="787">
        <v>0</v>
      </c>
      <c r="H27" s="787">
        <v>0</v>
      </c>
      <c r="J27" s="339"/>
    </row>
    <row r="28" spans="2:10">
      <c r="B28" s="566" t="s">
        <v>875</v>
      </c>
      <c r="C28" s="29" t="s">
        <v>522</v>
      </c>
      <c r="D28" s="787">
        <v>0</v>
      </c>
      <c r="E28" s="787">
        <v>0</v>
      </c>
      <c r="F28" s="787">
        <v>0</v>
      </c>
      <c r="G28" s="787">
        <v>0</v>
      </c>
      <c r="H28" s="787">
        <v>0</v>
      </c>
      <c r="J28" s="339"/>
    </row>
    <row r="29" spans="2:10">
      <c r="B29" s="566" t="s">
        <v>1241</v>
      </c>
      <c r="C29" s="29" t="s">
        <v>522</v>
      </c>
      <c r="D29" s="787">
        <v>126.27</v>
      </c>
      <c r="E29" s="787">
        <v>293.57299999999998</v>
      </c>
      <c r="F29" s="787">
        <v>367.62895997000004</v>
      </c>
      <c r="G29" s="787">
        <v>410.57710988605169</v>
      </c>
      <c r="H29" s="787">
        <v>445.21176663291527</v>
      </c>
      <c r="J29" s="339"/>
    </row>
    <row r="30" spans="2:10" ht="12.75" customHeight="1">
      <c r="B30" s="566" t="s">
        <v>1242</v>
      </c>
      <c r="C30" s="29" t="s">
        <v>522</v>
      </c>
      <c r="D30" s="787">
        <v>3.5</v>
      </c>
      <c r="E30" s="787">
        <v>2.75</v>
      </c>
      <c r="F30" s="787">
        <v>1.9035324566289009</v>
      </c>
      <c r="G30" s="787">
        <v>1.1117474341389915</v>
      </c>
      <c r="H30" s="787">
        <v>0.31996241164908157</v>
      </c>
      <c r="J30" s="339"/>
    </row>
    <row r="31" spans="2:10">
      <c r="B31" s="566" t="s">
        <v>1243</v>
      </c>
      <c r="C31" s="29" t="s">
        <v>522</v>
      </c>
      <c r="D31" s="787">
        <v>11.385</v>
      </c>
      <c r="E31" s="787">
        <v>11.385</v>
      </c>
      <c r="F31" s="787">
        <v>17.377841401050006</v>
      </c>
      <c r="G31" s="787">
        <v>20.752841401049949</v>
      </c>
      <c r="H31" s="787">
        <v>20.752841401049949</v>
      </c>
      <c r="J31" s="339"/>
    </row>
    <row r="32" spans="2:10">
      <c r="B32" s="566" t="s">
        <v>1244</v>
      </c>
      <c r="C32" s="29" t="s">
        <v>522</v>
      </c>
      <c r="D32" s="787">
        <v>-5098.3389092993639</v>
      </c>
      <c r="E32" s="787">
        <v>-5344.4652323920436</v>
      </c>
      <c r="F32" s="787">
        <v>-5677.1742689355542</v>
      </c>
      <c r="G32" s="787">
        <v>-5590.9632454114244</v>
      </c>
      <c r="H32" s="787">
        <v>-5734.5965793429532</v>
      </c>
      <c r="J32" s="339"/>
    </row>
    <row r="33" spans="2:11">
      <c r="B33" s="566" t="s">
        <v>835</v>
      </c>
      <c r="C33" s="29" t="s">
        <v>522</v>
      </c>
      <c r="D33" s="787">
        <v>0</v>
      </c>
      <c r="E33" s="787">
        <v>0</v>
      </c>
      <c r="F33" s="787">
        <v>0</v>
      </c>
      <c r="G33" s="787">
        <v>0</v>
      </c>
      <c r="H33" s="787">
        <v>0</v>
      </c>
      <c r="J33" s="339"/>
    </row>
    <row r="34" spans="2:11">
      <c r="B34" s="566" t="s">
        <v>835</v>
      </c>
      <c r="C34" s="29" t="s">
        <v>522</v>
      </c>
      <c r="D34" s="787">
        <v>0</v>
      </c>
      <c r="E34" s="787">
        <v>0</v>
      </c>
      <c r="F34" s="787">
        <v>0</v>
      </c>
      <c r="G34" s="787">
        <v>0</v>
      </c>
      <c r="H34" s="787">
        <v>0</v>
      </c>
      <c r="J34" s="339"/>
    </row>
    <row r="35" spans="2:11">
      <c r="B35" s="566" t="s">
        <v>836</v>
      </c>
      <c r="C35" s="29" t="s">
        <v>522</v>
      </c>
      <c r="D35" s="787">
        <v>0</v>
      </c>
      <c r="E35" s="787">
        <v>0</v>
      </c>
      <c r="F35" s="787">
        <v>0</v>
      </c>
      <c r="G35" s="787">
        <v>0</v>
      </c>
      <c r="H35" s="787">
        <v>0</v>
      </c>
      <c r="J35" s="339"/>
      <c r="K35" s="779"/>
    </row>
    <row r="36" spans="2:11">
      <c r="B36" s="566" t="s">
        <v>805</v>
      </c>
      <c r="C36" s="29" t="s">
        <v>522</v>
      </c>
      <c r="D36" s="787">
        <v>0</v>
      </c>
      <c r="E36" s="787">
        <v>0</v>
      </c>
      <c r="F36" s="787">
        <v>0</v>
      </c>
      <c r="G36" s="787">
        <v>0</v>
      </c>
      <c r="H36" s="787">
        <v>0</v>
      </c>
    </row>
    <row r="37" spans="2:11">
      <c r="B37" s="566" t="s">
        <v>806</v>
      </c>
      <c r="C37" s="29" t="s">
        <v>522</v>
      </c>
      <c r="D37" s="787">
        <v>0</v>
      </c>
      <c r="E37" s="787">
        <v>0</v>
      </c>
      <c r="F37" s="787">
        <v>0</v>
      </c>
      <c r="G37" s="787">
        <v>0</v>
      </c>
      <c r="H37" s="787">
        <v>0</v>
      </c>
    </row>
    <row r="38" spans="2:11">
      <c r="B38" s="566" t="s">
        <v>807</v>
      </c>
      <c r="C38" s="29" t="s">
        <v>522</v>
      </c>
      <c r="D38" s="787">
        <v>0</v>
      </c>
      <c r="E38" s="787">
        <v>0</v>
      </c>
      <c r="F38" s="787">
        <v>0</v>
      </c>
      <c r="G38" s="787">
        <v>0</v>
      </c>
      <c r="H38" s="787">
        <v>0</v>
      </c>
    </row>
    <row r="39" spans="2:11">
      <c r="B39" s="566" t="s">
        <v>876</v>
      </c>
      <c r="C39" s="29" t="s">
        <v>522</v>
      </c>
      <c r="D39" s="787">
        <v>0</v>
      </c>
      <c r="E39" s="787">
        <v>0</v>
      </c>
      <c r="F39" s="787">
        <v>0</v>
      </c>
      <c r="G39" s="787">
        <v>0</v>
      </c>
      <c r="H39" s="787">
        <v>0</v>
      </c>
    </row>
    <row r="40" spans="2:11">
      <c r="B40" s="567" t="s">
        <v>794</v>
      </c>
      <c r="C40" s="29" t="s">
        <v>522</v>
      </c>
      <c r="D40" s="85">
        <v>1616.6324225600601</v>
      </c>
      <c r="E40" s="85">
        <v>1687.5920018337456</v>
      </c>
      <c r="F40" s="85">
        <v>1784.0083468713219</v>
      </c>
      <c r="G40" s="85">
        <v>1745.1207550546887</v>
      </c>
      <c r="H40" s="85">
        <v>1787.7288899536488</v>
      </c>
    </row>
    <row r="41" spans="2:11">
      <c r="B41" s="568" t="s">
        <v>795</v>
      </c>
      <c r="C41" s="29" t="s">
        <v>522</v>
      </c>
      <c r="D41" s="413"/>
      <c r="E41" s="780"/>
      <c r="F41" s="780"/>
      <c r="G41" s="776">
        <v>130.59709982385033</v>
      </c>
      <c r="H41" s="776">
        <v>166.1218328265781</v>
      </c>
    </row>
    <row r="42" spans="2:11">
      <c r="B42" s="567" t="s">
        <v>796</v>
      </c>
      <c r="C42" s="29" t="s">
        <v>522</v>
      </c>
      <c r="D42" s="18">
        <v>1616.6324225600601</v>
      </c>
      <c r="E42" s="19">
        <v>1687.5920018337456</v>
      </c>
      <c r="F42" s="19">
        <v>1784.0083468713219</v>
      </c>
      <c r="G42" s="19">
        <v>1875.7178548785391</v>
      </c>
      <c r="H42" s="19">
        <v>1953.850722780227</v>
      </c>
    </row>
    <row r="43" spans="2:11">
      <c r="D43" s="592" t="s">
        <v>1254</v>
      </c>
      <c r="E43" s="592" t="s">
        <v>1254</v>
      </c>
      <c r="F43" s="592" t="s">
        <v>1254</v>
      </c>
      <c r="G43" s="592" t="s">
        <v>1254</v>
      </c>
      <c r="H43" s="592" t="s">
        <v>1254</v>
      </c>
    </row>
    <row r="44" spans="2:11"/>
    <row r="45" spans="2:11">
      <c r="B45" s="781" t="s">
        <v>797</v>
      </c>
      <c r="C45" s="29" t="s">
        <v>522</v>
      </c>
      <c r="D45" s="776">
        <v>1545.0836522235591</v>
      </c>
      <c r="E45" s="19">
        <v>1616.6324225600601</v>
      </c>
      <c r="F45" s="19">
        <v>1687.5920018337456</v>
      </c>
      <c r="G45" s="19">
        <v>1784.0083468713219</v>
      </c>
      <c r="H45" s="19">
        <v>1875.7178548785391</v>
      </c>
      <c r="I45" s="136"/>
    </row>
    <row r="46" spans="2:11">
      <c r="B46" s="781" t="s">
        <v>798</v>
      </c>
      <c r="C46" s="29" t="s">
        <v>522</v>
      </c>
      <c r="D46" s="789">
        <v>1616.6324225600601</v>
      </c>
      <c r="E46" s="788">
        <v>1687.5920018337456</v>
      </c>
      <c r="F46" s="788">
        <v>1784.0083468713219</v>
      </c>
      <c r="G46" s="788">
        <v>1875.7178548785391</v>
      </c>
      <c r="H46" s="788">
        <v>1953.850722780227</v>
      </c>
      <c r="I46" s="136"/>
    </row>
    <row r="47" spans="2:11">
      <c r="D47" s="782"/>
      <c r="E47" s="782"/>
      <c r="F47" s="782"/>
      <c r="G47" s="782"/>
      <c r="H47" s="782"/>
    </row>
    <row r="48" spans="2:11">
      <c r="B48" s="429" t="s">
        <v>799</v>
      </c>
      <c r="D48" s="782"/>
      <c r="E48" s="782"/>
      <c r="F48" s="782"/>
      <c r="G48" s="782"/>
      <c r="H48" s="782"/>
    </row>
    <row r="49" spans="2:10">
      <c r="B49" s="566" t="s">
        <v>800</v>
      </c>
      <c r="C49" s="29" t="s">
        <v>522</v>
      </c>
      <c r="D49" s="776">
        <v>65.468284127179516</v>
      </c>
      <c r="E49" s="776">
        <v>76.692212666498037</v>
      </c>
      <c r="F49" s="776">
        <v>62.867700606448928</v>
      </c>
      <c r="G49" s="776">
        <v>63.537442716963461</v>
      </c>
      <c r="H49" s="776">
        <v>63.20540150020053</v>
      </c>
    </row>
    <row r="50" spans="2:10">
      <c r="B50" s="566" t="s">
        <v>801</v>
      </c>
      <c r="C50" s="29" t="s">
        <v>522</v>
      </c>
      <c r="D50" s="776">
        <v>10.115193447410244</v>
      </c>
      <c r="E50" s="776">
        <v>11.099026896197211</v>
      </c>
      <c r="F50" s="776">
        <v>15.560392992897379</v>
      </c>
      <c r="G50" s="776">
        <v>16.915407210980447</v>
      </c>
      <c r="H50" s="776">
        <v>17.731178833969064</v>
      </c>
    </row>
    <row r="51" spans="2:10">
      <c r="B51" s="566" t="s">
        <v>802</v>
      </c>
      <c r="C51" s="29" t="s">
        <v>522</v>
      </c>
      <c r="D51" s="776">
        <v>20.728625807066837</v>
      </c>
      <c r="E51" s="776">
        <v>-16.0498701481092</v>
      </c>
      <c r="F51" s="776">
        <v>-22.504439549346369</v>
      </c>
      <c r="G51" s="776">
        <v>0</v>
      </c>
      <c r="H51" s="776">
        <v>0</v>
      </c>
    </row>
    <row r="52" spans="2:10">
      <c r="B52" s="566" t="s">
        <v>803</v>
      </c>
      <c r="C52" s="29" t="s">
        <v>522</v>
      </c>
      <c r="D52" s="776">
        <v>9.1999089704723005</v>
      </c>
      <c r="E52" s="776">
        <v>-4.7780902028490955</v>
      </c>
      <c r="F52" s="776">
        <v>4.329752089236643</v>
      </c>
      <c r="G52" s="776">
        <v>0</v>
      </c>
      <c r="H52" s="776">
        <v>0</v>
      </c>
    </row>
    <row r="53" spans="2:10">
      <c r="B53" s="566" t="s">
        <v>804</v>
      </c>
      <c r="C53" s="29" t="s">
        <v>522</v>
      </c>
      <c r="D53" s="776">
        <v>18.289348710537304</v>
      </c>
      <c r="E53" s="776">
        <v>22.858621996463555</v>
      </c>
      <c r="F53" s="776">
        <v>28.237491920790898</v>
      </c>
      <c r="G53" s="776">
        <v>27.188252103494541</v>
      </c>
      <c r="H53" s="776">
        <v>30.070662780669412</v>
      </c>
    </row>
    <row r="54" spans="2:10">
      <c r="B54" s="566" t="s">
        <v>1239</v>
      </c>
      <c r="C54" s="29" t="s">
        <v>522</v>
      </c>
      <c r="D54" s="776">
        <v>-3.6695339828003743</v>
      </c>
      <c r="E54" s="776">
        <v>-3.9553798460559069</v>
      </c>
      <c r="F54" s="776">
        <v>-3.6511608217989364</v>
      </c>
      <c r="G54" s="776">
        <v>-2.9459378213740397</v>
      </c>
      <c r="H54" s="776">
        <v>-2.5748261180104235</v>
      </c>
    </row>
    <row r="55" spans="2:10">
      <c r="B55" s="566" t="s">
        <v>1240</v>
      </c>
      <c r="C55" s="29" t="s">
        <v>522</v>
      </c>
      <c r="D55" s="776">
        <v>5477.1960692198645</v>
      </c>
      <c r="E55" s="776">
        <v>5616.3974515230748</v>
      </c>
      <c r="F55" s="776">
        <v>5947.1561746126272</v>
      </c>
      <c r="G55" s="776">
        <v>6344.7852352840009</v>
      </c>
      <c r="H55" s="776">
        <v>6615.29939212918</v>
      </c>
    </row>
    <row r="56" spans="2:10">
      <c r="B56" s="566" t="s">
        <v>805</v>
      </c>
      <c r="C56" s="29" t="s">
        <v>522</v>
      </c>
      <c r="D56" s="776">
        <v>0</v>
      </c>
      <c r="E56" s="776">
        <v>0</v>
      </c>
      <c r="F56" s="776">
        <v>0</v>
      </c>
      <c r="G56" s="776">
        <v>0</v>
      </c>
      <c r="H56" s="776">
        <v>0</v>
      </c>
    </row>
    <row r="57" spans="2:10">
      <c r="B57" s="566" t="s">
        <v>806</v>
      </c>
      <c r="C57" s="29" t="s">
        <v>522</v>
      </c>
      <c r="D57" s="776">
        <v>0</v>
      </c>
      <c r="E57" s="776">
        <v>0</v>
      </c>
      <c r="F57" s="776">
        <v>0</v>
      </c>
      <c r="G57" s="776">
        <v>0</v>
      </c>
      <c r="H57" s="776">
        <v>0</v>
      </c>
    </row>
    <row r="58" spans="2:10">
      <c r="B58" s="566" t="s">
        <v>807</v>
      </c>
      <c r="C58" s="29" t="s">
        <v>522</v>
      </c>
      <c r="D58" s="776">
        <v>0</v>
      </c>
      <c r="E58" s="776">
        <v>0</v>
      </c>
      <c r="F58" s="776">
        <v>0</v>
      </c>
      <c r="G58" s="776">
        <v>0</v>
      </c>
      <c r="H58" s="776">
        <v>0</v>
      </c>
    </row>
    <row r="59" spans="2:10">
      <c r="B59" s="566" t="s">
        <v>808</v>
      </c>
      <c r="C59" s="29" t="s">
        <v>522</v>
      </c>
      <c r="D59" s="18">
        <v>7213.9603188597903</v>
      </c>
      <c r="E59" s="18">
        <v>7389.8559747189647</v>
      </c>
      <c r="F59" s="18">
        <v>7816.0042587221778</v>
      </c>
      <c r="G59" s="18">
        <v>8325.1982543726044</v>
      </c>
      <c r="H59" s="18">
        <v>8677.5825319062351</v>
      </c>
      <c r="I59" s="1168"/>
    </row>
    <row r="60" spans="2:10">
      <c r="D60" s="782"/>
      <c r="E60" s="782"/>
      <c r="F60" s="782"/>
      <c r="G60" s="782"/>
      <c r="H60" s="782"/>
    </row>
    <row r="61" spans="2:10">
      <c r="B61" s="429" t="s">
        <v>809</v>
      </c>
    </row>
    <row r="62" spans="2:10">
      <c r="B62" s="114" t="s">
        <v>810</v>
      </c>
      <c r="C62" s="136" t="s">
        <v>486</v>
      </c>
      <c r="D62" s="790">
        <v>0</v>
      </c>
      <c r="E62" s="790">
        <v>0</v>
      </c>
      <c r="F62" s="790">
        <v>0</v>
      </c>
      <c r="G62" s="790">
        <v>0</v>
      </c>
      <c r="H62" s="790">
        <v>0</v>
      </c>
    </row>
    <row r="63" spans="2:10">
      <c r="B63" s="114" t="s">
        <v>742</v>
      </c>
      <c r="C63" s="136" t="s">
        <v>486</v>
      </c>
      <c r="D63" s="791">
        <v>1</v>
      </c>
      <c r="E63" s="792">
        <v>1</v>
      </c>
      <c r="F63" s="792">
        <v>1</v>
      </c>
      <c r="G63" s="792">
        <v>1</v>
      </c>
      <c r="H63" s="792">
        <v>1</v>
      </c>
      <c r="J63" s="779"/>
    </row>
    <row r="64" spans="2:10">
      <c r="C64" s="136"/>
      <c r="D64" s="136"/>
      <c r="E64" s="136"/>
      <c r="F64" s="136"/>
      <c r="G64" s="136"/>
      <c r="H64" s="136"/>
      <c r="I64" s="136"/>
    </row>
    <row r="65" spans="2:8">
      <c r="B65" s="114" t="s">
        <v>811</v>
      </c>
      <c r="C65" s="29" t="s">
        <v>522</v>
      </c>
      <c r="D65" s="793">
        <v>1580.8580373918096</v>
      </c>
      <c r="E65" s="794">
        <v>1652.1122121969029</v>
      </c>
      <c r="F65" s="794">
        <v>1735.8001743525338</v>
      </c>
      <c r="G65" s="794">
        <v>1829.8631008749305</v>
      </c>
      <c r="H65" s="794">
        <v>1914.7842888293831</v>
      </c>
    </row>
    <row r="66" spans="2:8">
      <c r="B66" s="114" t="s">
        <v>812</v>
      </c>
      <c r="C66" s="29" t="s">
        <v>522</v>
      </c>
      <c r="D66" s="795">
        <v>957.2474441584061</v>
      </c>
      <c r="E66" s="796">
        <v>1120.5426573218178</v>
      </c>
      <c r="F66" s="796">
        <v>1214.9867772102825</v>
      </c>
      <c r="G66" s="796">
        <v>1211.2923055176077</v>
      </c>
      <c r="H66" s="796">
        <v>1193.6714721525013</v>
      </c>
    </row>
    <row r="67" spans="2:8">
      <c r="B67" s="114" t="s">
        <v>813</v>
      </c>
      <c r="C67" s="29" t="s">
        <v>522</v>
      </c>
      <c r="D67" s="797">
        <v>2538.1054815502157</v>
      </c>
      <c r="E67" s="797">
        <v>2772.6548695187207</v>
      </c>
      <c r="F67" s="797">
        <v>2950.7869515628163</v>
      </c>
      <c r="G67" s="797">
        <v>3041.1554063925382</v>
      </c>
      <c r="H67" s="797">
        <v>3108.4557609818844</v>
      </c>
    </row>
    <row r="68" spans="2:8">
      <c r="B68" s="114" t="s">
        <v>814</v>
      </c>
      <c r="C68" s="29" t="s">
        <v>486</v>
      </c>
      <c r="D68" s="798">
        <v>0.62284962105919184</v>
      </c>
      <c r="E68" s="799">
        <v>0.59585930811636778</v>
      </c>
      <c r="F68" s="799">
        <v>0.58824991530927273</v>
      </c>
      <c r="G68" s="799">
        <v>0.60169996476620058</v>
      </c>
      <c r="H68" s="799">
        <v>0.61599213116179274</v>
      </c>
    </row>
    <row r="69" spans="2:8">
      <c r="B69" s="114" t="s">
        <v>24</v>
      </c>
      <c r="C69" s="29" t="s">
        <v>486</v>
      </c>
      <c r="D69" s="800">
        <v>0.6</v>
      </c>
      <c r="E69" s="801">
        <v>0.6</v>
      </c>
      <c r="F69" s="801">
        <v>0.6</v>
      </c>
      <c r="G69" s="801">
        <v>0.6</v>
      </c>
      <c r="H69" s="801">
        <v>0.6</v>
      </c>
    </row>
    <row r="70" spans="2:8">
      <c r="B70" s="114" t="s">
        <v>815</v>
      </c>
      <c r="C70" s="29" t="s">
        <v>486</v>
      </c>
      <c r="D70" s="802">
        <v>2.284962105919186E-2</v>
      </c>
      <c r="E70" s="803">
        <v>-4.1406918836321971E-3</v>
      </c>
      <c r="F70" s="803">
        <v>-1.1750084690727247E-2</v>
      </c>
      <c r="G70" s="803">
        <v>1.6999647662006012E-3</v>
      </c>
      <c r="H70" s="803">
        <v>1.5992131161792766E-2</v>
      </c>
    </row>
    <row r="71" spans="2:8"/>
    <row r="72" spans="2:8">
      <c r="B72" s="114" t="s">
        <v>816</v>
      </c>
      <c r="C72" s="468" t="s">
        <v>23</v>
      </c>
      <c r="D72" s="804">
        <v>1426.5346361505838</v>
      </c>
      <c r="E72" s="805">
        <v>1384.1472462654285</v>
      </c>
      <c r="F72" s="805">
        <v>1374.0142023792521</v>
      </c>
      <c r="G72" s="805">
        <v>1412.5565575190647</v>
      </c>
      <c r="H72" s="805">
        <v>1454.5996142734593</v>
      </c>
    </row>
    <row r="73" spans="2:8">
      <c r="B73" s="114" t="s">
        <v>817</v>
      </c>
      <c r="C73" s="468" t="s">
        <v>23</v>
      </c>
      <c r="D73" s="806">
        <v>863.80092466211931</v>
      </c>
      <c r="E73" s="807">
        <v>938.795816654909</v>
      </c>
      <c r="F73" s="807">
        <v>961.75188380346049</v>
      </c>
      <c r="G73" s="807">
        <v>935.05294926881493</v>
      </c>
      <c r="H73" s="807">
        <v>906.79356055494281</v>
      </c>
    </row>
    <row r="74" spans="2:8">
      <c r="B74" s="114" t="s">
        <v>818</v>
      </c>
      <c r="C74" s="468" t="s">
        <v>23</v>
      </c>
      <c r="D74" s="797">
        <v>2290.3355608127031</v>
      </c>
      <c r="E74" s="797">
        <v>2322.9430629203375</v>
      </c>
      <c r="F74" s="797">
        <v>2335.7660861827126</v>
      </c>
      <c r="G74" s="797">
        <v>2347.6095067878796</v>
      </c>
      <c r="H74" s="797">
        <v>2361.3931748284022</v>
      </c>
    </row>
    <row r="75" spans="2:8">
      <c r="B75" s="114" t="s">
        <v>814</v>
      </c>
      <c r="C75" s="29" t="s">
        <v>486</v>
      </c>
      <c r="D75" s="798">
        <v>0.62284962105919184</v>
      </c>
      <c r="E75" s="799">
        <v>0.59585930811636778</v>
      </c>
      <c r="F75" s="799">
        <v>0.58824991530927273</v>
      </c>
      <c r="G75" s="799">
        <v>0.60169996476620058</v>
      </c>
      <c r="H75" s="799">
        <v>0.61599213116179274</v>
      </c>
    </row>
    <row r="76" spans="2:8">
      <c r="B76" s="114" t="s">
        <v>24</v>
      </c>
      <c r="C76" s="29" t="s">
        <v>486</v>
      </c>
      <c r="D76" s="800">
        <v>0.6</v>
      </c>
      <c r="E76" s="801">
        <v>0.6</v>
      </c>
      <c r="F76" s="801">
        <v>0.6</v>
      </c>
      <c r="G76" s="801">
        <v>0.6</v>
      </c>
      <c r="H76" s="801">
        <v>0.6</v>
      </c>
    </row>
    <row r="77" spans="2:8">
      <c r="B77" s="114" t="s">
        <v>815</v>
      </c>
      <c r="C77" s="29" t="s">
        <v>486</v>
      </c>
      <c r="D77" s="802">
        <v>2.284962105919186E-2</v>
      </c>
      <c r="E77" s="803">
        <v>-4.1406918836321971E-3</v>
      </c>
      <c r="F77" s="803">
        <v>-1.1750084690727247E-2</v>
      </c>
      <c r="G77" s="803">
        <v>1.6999647662006012E-3</v>
      </c>
      <c r="H77" s="803">
        <v>1.5992131161792766E-2</v>
      </c>
    </row>
    <row r="78" spans="2:8"/>
    <row r="79" spans="2:8"/>
    <row r="80" spans="2:8"/>
    <row r="81"/>
    <row r="82"/>
    <row r="83"/>
    <row r="84"/>
    <row r="85"/>
    <row r="86"/>
    <row r="87"/>
    <row r="88"/>
    <row r="89"/>
    <row r="90"/>
    <row r="91"/>
    <row r="92"/>
    <row r="93"/>
    <row r="94"/>
    <row r="95"/>
    <row r="96"/>
    <row r="97"/>
    <row r="98"/>
    <row r="99"/>
    <row r="100"/>
    <row r="101"/>
    <row r="102"/>
    <row r="103"/>
    <row r="104"/>
    <row r="105"/>
    <row r="106"/>
    <row r="107"/>
    <row r="108"/>
    <row r="109"/>
    <row r="110"/>
    <row r="111"/>
    <row r="112"/>
    <row r="113"/>
  </sheetData>
  <sheetProtection insertRows="0" sort="0" autoFilter="0" pivotTables="0"/>
  <conditionalFormatting sqref="D41">
    <cfRule type="expression" dxfId="31" priority="2">
      <formula>D$5="Forecast"</formula>
    </cfRule>
    <cfRule type="expression" dxfId="30" priority="3">
      <formula>C$12="N/A"</formula>
    </cfRule>
  </conditionalFormatting>
  <conditionalFormatting sqref="D41:F41">
    <cfRule type="expression" dxfId="29" priority="1">
      <formula>D$5="Actuals"</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C20A9-B13A-470F-9AF7-62F39D25A559}">
  <sheetPr codeName="Sheet6">
    <tabColor rgb="FFFFFFCC"/>
  </sheetPr>
  <dimension ref="A1:AP146"/>
  <sheetViews>
    <sheetView showGridLines="0" zoomScale="50" zoomScaleNormal="50" workbookViewId="0">
      <selection activeCell="D13" sqref="D13"/>
    </sheetView>
  </sheetViews>
  <sheetFormatPr defaultColWidth="0" defaultRowHeight="13.5" zeroHeight="1" outlineLevelRow="1"/>
  <cols>
    <col min="1" max="1" width="8" customWidth="1"/>
    <col min="2" max="2" width="2.84375" customWidth="1"/>
    <col min="3" max="3" width="2.765625" customWidth="1"/>
    <col min="4" max="4" width="14.15234375" customWidth="1"/>
    <col min="5" max="11" width="6.84375" customWidth="1"/>
    <col min="12" max="14" width="8.23046875" customWidth="1"/>
    <col min="15" max="16" width="6.84375" customWidth="1"/>
    <col min="17" max="17" width="6" customWidth="1"/>
    <col min="18" max="19" width="17" customWidth="1"/>
    <col min="20" max="29" width="10.4609375" customWidth="1"/>
    <col min="30" max="30" width="8.61328125" customWidth="1"/>
    <col min="31" max="42" width="9.23046875" customWidth="1"/>
    <col min="43" max="16384" width="9" hidden="1"/>
  </cols>
  <sheetData>
    <row r="1" spans="1:42" ht="20">
      <c r="A1" s="257" t="s">
        <v>267</v>
      </c>
      <c r="B1" s="348"/>
      <c r="C1" s="348"/>
      <c r="D1" s="350"/>
      <c r="E1" s="350"/>
      <c r="F1" s="350"/>
      <c r="G1" s="350"/>
      <c r="H1" s="350"/>
      <c r="I1" s="1117"/>
      <c r="J1" s="1117"/>
      <c r="K1" s="351"/>
      <c r="L1" s="351"/>
      <c r="M1" s="351"/>
      <c r="N1" s="351"/>
      <c r="O1" s="351"/>
      <c r="P1" s="351"/>
      <c r="Q1" s="351"/>
      <c r="R1" s="351"/>
      <c r="S1" s="351"/>
      <c r="T1" s="351"/>
      <c r="U1" s="351"/>
      <c r="V1" s="351"/>
      <c r="W1" s="351"/>
      <c r="X1" s="351"/>
      <c r="Y1" s="351"/>
      <c r="Z1" s="351"/>
      <c r="AA1" s="351"/>
      <c r="AB1" s="351"/>
      <c r="AC1" s="351"/>
      <c r="AD1" s="351"/>
      <c r="AE1" s="351"/>
      <c r="AF1" s="351"/>
      <c r="AG1" s="351"/>
      <c r="AH1" s="351"/>
      <c r="AI1" s="351"/>
      <c r="AJ1" s="351"/>
      <c r="AK1" s="351"/>
      <c r="AL1" s="351"/>
      <c r="AM1" s="351"/>
      <c r="AN1" s="351"/>
      <c r="AO1" s="351"/>
      <c r="AP1" s="351"/>
    </row>
    <row r="2" spans="1:42" ht="20">
      <c r="A2" s="315" t="s">
        <v>4</v>
      </c>
      <c r="B2" s="353"/>
      <c r="C2" s="353"/>
      <c r="D2" s="6"/>
      <c r="E2" s="6"/>
      <c r="F2" s="6"/>
      <c r="G2" s="6"/>
      <c r="H2" s="6"/>
      <c r="I2" s="354"/>
      <c r="J2" s="354"/>
      <c r="K2" s="354"/>
      <c r="L2" s="354"/>
      <c r="M2" s="354"/>
      <c r="N2" s="354"/>
      <c r="O2" s="354"/>
      <c r="P2" s="354"/>
      <c r="Q2" s="354"/>
      <c r="R2" s="354"/>
      <c r="S2" s="354"/>
      <c r="T2" s="354"/>
      <c r="U2" s="354"/>
      <c r="V2" s="354"/>
      <c r="W2" s="354"/>
      <c r="X2" s="354"/>
      <c r="Y2" s="354"/>
      <c r="Z2" s="354"/>
      <c r="AA2" s="354"/>
      <c r="AB2" s="354"/>
      <c r="AC2" s="354"/>
      <c r="AD2" s="354"/>
      <c r="AE2" s="354"/>
      <c r="AF2" s="354"/>
      <c r="AG2" s="354"/>
      <c r="AH2" s="354"/>
      <c r="AI2" s="354"/>
      <c r="AJ2" s="354"/>
      <c r="AK2" s="354"/>
      <c r="AL2" s="354"/>
      <c r="AM2" s="354"/>
      <c r="AN2" s="354"/>
      <c r="AO2" s="354"/>
      <c r="AP2" s="354"/>
    </row>
    <row r="3" spans="1:42" ht="20">
      <c r="A3" s="1118">
        <v>2024</v>
      </c>
      <c r="B3" s="1119"/>
      <c r="C3" s="1119"/>
      <c r="D3" s="1119"/>
      <c r="E3" s="1119"/>
      <c r="F3" s="1119"/>
      <c r="G3" s="356"/>
      <c r="H3" s="356"/>
      <c r="I3" s="357"/>
      <c r="J3" s="357"/>
      <c r="K3" s="357"/>
      <c r="L3" s="357"/>
      <c r="M3" s="357"/>
      <c r="N3" s="357"/>
      <c r="O3" s="357"/>
      <c r="P3" s="357"/>
      <c r="Q3" s="357"/>
      <c r="R3" s="357"/>
      <c r="S3" s="357"/>
      <c r="T3" s="357"/>
      <c r="U3" s="357"/>
      <c r="V3" s="357"/>
      <c r="W3" s="357"/>
      <c r="X3" s="357"/>
      <c r="Y3" s="357"/>
      <c r="Z3" s="357"/>
      <c r="AA3" s="357"/>
      <c r="AB3" s="357"/>
      <c r="AC3" s="357"/>
      <c r="AD3" s="357"/>
      <c r="AE3" s="357"/>
      <c r="AF3" s="357"/>
      <c r="AG3" s="357"/>
      <c r="AH3" s="357"/>
      <c r="AI3" s="357"/>
      <c r="AJ3" s="357"/>
      <c r="AK3" s="357"/>
      <c r="AL3" s="357"/>
      <c r="AM3" s="357"/>
      <c r="AN3" s="357"/>
      <c r="AO3" s="357"/>
      <c r="AP3" s="357"/>
    </row>
    <row r="4" spans="1:42" ht="15">
      <c r="A4" s="1120"/>
      <c r="B4" s="1121"/>
      <c r="C4" s="1121"/>
      <c r="D4" s="1122"/>
      <c r="E4" s="1122"/>
      <c r="F4" s="1120"/>
      <c r="G4" s="1120"/>
      <c r="H4" s="1120"/>
      <c r="I4" s="1120"/>
      <c r="J4" s="1123"/>
      <c r="K4" s="1123"/>
      <c r="L4" s="1123"/>
      <c r="M4" s="1123"/>
      <c r="N4" s="1123"/>
      <c r="O4" s="1123"/>
      <c r="P4" s="1123"/>
      <c r="Q4" s="1123"/>
      <c r="R4" s="1124"/>
      <c r="S4" s="1124"/>
      <c r="T4" s="1124"/>
      <c r="U4" s="1124"/>
      <c r="V4" s="1124"/>
      <c r="W4" s="1124"/>
      <c r="X4" s="1122"/>
      <c r="Y4" s="1124"/>
      <c r="Z4" s="1122"/>
      <c r="AA4" s="1122"/>
      <c r="AB4" s="1122"/>
      <c r="AC4" s="1122"/>
      <c r="AD4" s="1122"/>
      <c r="AE4" s="1122"/>
      <c r="AF4" s="1122"/>
      <c r="AG4" s="1122"/>
      <c r="AH4" s="1122"/>
      <c r="AI4" s="1122"/>
      <c r="AJ4" s="1122"/>
      <c r="AK4" s="1122"/>
      <c r="AL4" s="1122"/>
      <c r="AM4" s="1122"/>
      <c r="AN4" s="1122"/>
      <c r="AO4" s="1122"/>
      <c r="AP4" s="1122"/>
    </row>
    <row r="5" spans="1:42" ht="16">
      <c r="A5" s="1120"/>
      <c r="B5" s="1125" t="s">
        <v>819</v>
      </c>
      <c r="C5" s="1125"/>
      <c r="D5" s="1126"/>
      <c r="E5" s="1126"/>
      <c r="F5" s="1126"/>
      <c r="G5" s="1126"/>
      <c r="H5" s="1126"/>
      <c r="I5" s="1126"/>
      <c r="J5" s="1126"/>
      <c r="K5" s="1126"/>
      <c r="L5" s="1126"/>
      <c r="M5" s="1126"/>
      <c r="N5" s="1126"/>
      <c r="O5" s="1126"/>
      <c r="P5" s="1126"/>
      <c r="Q5" s="1126"/>
      <c r="R5" s="1127"/>
      <c r="S5" s="1127"/>
      <c r="T5" s="1126" t="s">
        <v>820</v>
      </c>
      <c r="U5" s="1126"/>
      <c r="V5" s="1126"/>
      <c r="W5" s="1126"/>
      <c r="X5" s="1126"/>
      <c r="Y5" s="1126"/>
      <c r="Z5" s="1126"/>
      <c r="AA5" s="1126"/>
      <c r="AB5" s="1126"/>
      <c r="AC5" s="1126"/>
      <c r="AD5" s="1126"/>
      <c r="AE5" s="1126"/>
      <c r="AF5" s="1126"/>
      <c r="AG5" s="1126"/>
      <c r="AH5" s="1126"/>
      <c r="AI5" s="1126"/>
      <c r="AJ5" s="1126"/>
      <c r="AK5" s="1126"/>
      <c r="AL5" s="1126"/>
      <c r="AM5" s="1126"/>
      <c r="AN5" s="1126"/>
      <c r="AO5" s="1126"/>
      <c r="AP5" s="1126"/>
    </row>
    <row r="6" spans="1:42" ht="16">
      <c r="A6" s="1128"/>
      <c r="B6" s="1129"/>
      <c r="C6" s="1129"/>
      <c r="D6" s="1127"/>
      <c r="E6" s="1127"/>
      <c r="F6" s="1127"/>
      <c r="G6" s="1127"/>
      <c r="H6" s="1127"/>
      <c r="I6" s="1127"/>
      <c r="J6" s="1127"/>
      <c r="K6" s="1127"/>
      <c r="L6" s="1127"/>
      <c r="M6" s="1127"/>
      <c r="N6" s="1127"/>
      <c r="O6" s="1127"/>
      <c r="P6" s="1127"/>
      <c r="Q6" s="1127"/>
      <c r="R6" s="1127"/>
      <c r="S6" s="1127"/>
      <c r="T6" s="1127"/>
      <c r="U6" s="1127"/>
      <c r="V6" s="1127"/>
      <c r="W6" s="1127"/>
      <c r="X6" s="1127"/>
      <c r="Y6" s="1127"/>
      <c r="Z6" s="1127"/>
      <c r="AA6" s="1127"/>
      <c r="AB6" s="1127"/>
      <c r="AC6" s="1127"/>
      <c r="AD6" s="1127"/>
      <c r="AE6" s="1127"/>
      <c r="AF6" s="1127"/>
      <c r="AG6" s="1127"/>
      <c r="AH6" s="1127"/>
      <c r="AI6" s="1127"/>
      <c r="AJ6" s="1127"/>
      <c r="AK6" s="1127"/>
      <c r="AL6" s="1127"/>
      <c r="AM6" s="1127"/>
      <c r="AN6" s="1128"/>
      <c r="AO6" s="1128"/>
      <c r="AP6" s="1128"/>
    </row>
    <row r="7" spans="1:42" ht="16">
      <c r="A7" s="1128"/>
      <c r="B7" s="1120" t="s">
        <v>522</v>
      </c>
      <c r="C7" s="1120"/>
      <c r="D7" s="1127"/>
      <c r="E7" s="1127"/>
      <c r="F7" s="1127"/>
      <c r="G7" s="1127"/>
      <c r="H7" s="1127"/>
      <c r="I7" s="1127"/>
      <c r="J7" s="1127"/>
      <c r="K7" s="1127"/>
      <c r="L7" s="1127"/>
      <c r="M7" s="1127"/>
      <c r="N7" s="1127"/>
      <c r="O7" s="1127"/>
      <c r="P7" s="1127"/>
      <c r="Q7" s="1127"/>
      <c r="R7" s="1127"/>
      <c r="S7" s="1124"/>
      <c r="T7" s="1383" t="s">
        <v>702</v>
      </c>
      <c r="U7" s="1384"/>
      <c r="V7" s="1384"/>
      <c r="W7" s="1384"/>
      <c r="X7" s="1385"/>
      <c r="Y7" s="1386" t="s">
        <v>703</v>
      </c>
      <c r="Z7" s="1387"/>
      <c r="AA7" s="1387"/>
      <c r="AB7" s="1387"/>
      <c r="AC7" s="1388"/>
      <c r="AD7" s="1127"/>
      <c r="AE7" s="1127"/>
      <c r="AF7" s="1127"/>
      <c r="AG7" s="1127"/>
      <c r="AH7" s="1127"/>
      <c r="AI7" s="1127"/>
      <c r="AJ7" s="1127"/>
      <c r="AK7" s="1127"/>
      <c r="AL7" s="1127"/>
      <c r="AM7" s="1127"/>
      <c r="AN7" s="1128"/>
      <c r="AO7" s="1128"/>
      <c r="AP7" s="1128"/>
    </row>
    <row r="8" spans="1:42">
      <c r="A8" s="825"/>
      <c r="B8" s="1130"/>
      <c r="C8" s="1130"/>
      <c r="D8" s="1131"/>
      <c r="E8" s="1131"/>
      <c r="F8" s="825"/>
      <c r="G8" s="825"/>
      <c r="H8" s="825"/>
      <c r="I8" s="825"/>
      <c r="J8" s="825"/>
      <c r="K8" s="825"/>
      <c r="L8" s="825"/>
      <c r="M8" s="825"/>
      <c r="N8" s="825"/>
      <c r="O8" s="825"/>
      <c r="P8" s="825"/>
      <c r="Q8" s="825"/>
      <c r="R8" s="825"/>
      <c r="S8" s="825"/>
      <c r="T8" s="1132" t="s">
        <v>1246</v>
      </c>
      <c r="U8" s="1133" t="s">
        <v>1246</v>
      </c>
      <c r="V8" s="1133" t="s">
        <v>1246</v>
      </c>
      <c r="W8" s="1133" t="s">
        <v>1247</v>
      </c>
      <c r="X8" s="1133" t="s">
        <v>1247</v>
      </c>
      <c r="Y8" s="1133" t="s">
        <v>1247</v>
      </c>
      <c r="Z8" s="1133" t="s">
        <v>1247</v>
      </c>
      <c r="AA8" s="1133" t="s">
        <v>1247</v>
      </c>
      <c r="AB8" s="1134" t="s">
        <v>1247</v>
      </c>
      <c r="AC8" s="1135" t="s">
        <v>1247</v>
      </c>
      <c r="AD8" s="825"/>
      <c r="AE8" s="825"/>
      <c r="AF8" s="825"/>
      <c r="AG8" s="825"/>
      <c r="AH8" s="825"/>
      <c r="AI8" s="825"/>
      <c r="AJ8" s="825"/>
      <c r="AK8" s="825"/>
      <c r="AL8" s="825"/>
      <c r="AM8" s="825"/>
      <c r="AN8" s="825"/>
      <c r="AO8" s="825"/>
      <c r="AP8" s="825"/>
    </row>
    <row r="9" spans="1:42">
      <c r="A9" s="825"/>
      <c r="B9" s="1136"/>
      <c r="C9" s="1136"/>
      <c r="D9" s="1131"/>
      <c r="E9" s="1131"/>
      <c r="F9" s="825" t="s">
        <v>704</v>
      </c>
      <c r="G9" s="825"/>
      <c r="H9" s="825"/>
      <c r="I9" s="825"/>
      <c r="J9" s="825"/>
      <c r="K9" s="825"/>
      <c r="L9" s="825"/>
      <c r="M9" s="825"/>
      <c r="N9" s="825"/>
      <c r="O9" s="1137">
        <v>0</v>
      </c>
      <c r="P9" s="825"/>
      <c r="Q9" s="825"/>
      <c r="R9" s="825"/>
      <c r="S9" s="1138" t="s">
        <v>705</v>
      </c>
      <c r="T9" s="24">
        <v>2022</v>
      </c>
      <c r="U9" s="25">
        <v>2023</v>
      </c>
      <c r="V9" s="25">
        <v>2024</v>
      </c>
      <c r="W9" s="25">
        <v>2025</v>
      </c>
      <c r="X9" s="25">
        <v>2026</v>
      </c>
      <c r="Y9" s="25">
        <v>2027</v>
      </c>
      <c r="Z9" s="25">
        <v>2028</v>
      </c>
      <c r="AA9" s="1139">
        <v>2029</v>
      </c>
      <c r="AB9" s="1140">
        <v>2030</v>
      </c>
      <c r="AC9" s="1141">
        <v>2031</v>
      </c>
      <c r="AD9" s="825"/>
      <c r="AE9" s="825"/>
      <c r="AF9" s="825"/>
      <c r="AG9" s="825"/>
      <c r="AH9" s="825"/>
      <c r="AI9" s="825"/>
      <c r="AJ9" s="825"/>
      <c r="AK9" s="825"/>
      <c r="AL9" s="825"/>
      <c r="AM9" s="825"/>
      <c r="AN9" s="825"/>
      <c r="AO9" s="825"/>
      <c r="AP9" s="825"/>
    </row>
    <row r="10" spans="1:42">
      <c r="A10" s="825"/>
      <c r="B10" s="1136"/>
      <c r="C10" s="1136"/>
      <c r="D10" s="825"/>
      <c r="E10" s="825"/>
      <c r="F10" s="825"/>
      <c r="G10" s="825"/>
      <c r="H10" s="825"/>
      <c r="I10" s="825"/>
      <c r="J10" s="825"/>
      <c r="K10" s="825"/>
      <c r="L10" s="825"/>
      <c r="M10" s="825"/>
      <c r="N10" s="825"/>
      <c r="O10" s="825"/>
      <c r="P10" s="825"/>
      <c r="Q10" s="825"/>
      <c r="R10" s="825"/>
      <c r="S10" s="825" t="s">
        <v>821</v>
      </c>
      <c r="T10" s="1142">
        <v>44287</v>
      </c>
      <c r="U10" s="1142">
        <v>44652</v>
      </c>
      <c r="V10" s="1142">
        <v>45017</v>
      </c>
      <c r="W10" s="1142">
        <v>45383</v>
      </c>
      <c r="X10" s="1142">
        <v>45748</v>
      </c>
      <c r="Y10" s="1142">
        <v>46113</v>
      </c>
      <c r="Z10" s="1142">
        <v>46478</v>
      </c>
      <c r="AA10" s="1142">
        <v>46844</v>
      </c>
      <c r="AB10" s="1142">
        <v>47209</v>
      </c>
      <c r="AC10" s="1142">
        <v>47574</v>
      </c>
      <c r="AD10" s="825"/>
      <c r="AE10" s="825"/>
      <c r="AF10" s="825"/>
      <c r="AG10" s="825"/>
      <c r="AH10" s="825"/>
      <c r="AI10" s="825"/>
      <c r="AJ10" s="825"/>
      <c r="AK10" s="825"/>
      <c r="AL10" s="825"/>
      <c r="AM10" s="825"/>
      <c r="AN10" s="825"/>
      <c r="AO10" s="825"/>
      <c r="AP10" s="825"/>
    </row>
    <row r="11" spans="1:42">
      <c r="A11" s="825"/>
      <c r="B11" s="825"/>
      <c r="C11" s="825"/>
      <c r="D11" s="825"/>
      <c r="E11" s="825"/>
      <c r="F11" s="825"/>
      <c r="G11" s="825"/>
      <c r="H11" s="825"/>
      <c r="I11" s="825"/>
      <c r="J11" s="825"/>
      <c r="K11" s="825"/>
      <c r="L11" s="825"/>
      <c r="M11" s="825"/>
      <c r="N11" s="825"/>
      <c r="O11" s="825"/>
      <c r="P11" s="825"/>
      <c r="Q11" s="825"/>
      <c r="R11" s="825"/>
      <c r="S11" s="825" t="s">
        <v>35</v>
      </c>
      <c r="T11" s="1142">
        <v>44651</v>
      </c>
      <c r="U11" s="1142">
        <v>45016</v>
      </c>
      <c r="V11" s="1142">
        <v>45382</v>
      </c>
      <c r="W11" s="1142">
        <v>45747</v>
      </c>
      <c r="X11" s="1142">
        <v>46112</v>
      </c>
      <c r="Y11" s="1142">
        <v>46477</v>
      </c>
      <c r="Z11" s="1142">
        <v>46843</v>
      </c>
      <c r="AA11" s="1142">
        <v>47208</v>
      </c>
      <c r="AB11" s="1142">
        <v>47573</v>
      </c>
      <c r="AC11" s="1142">
        <v>47938</v>
      </c>
      <c r="AD11" s="825"/>
      <c r="AE11" s="825"/>
      <c r="AF11" s="825"/>
      <c r="AG11" s="825"/>
      <c r="AH11" s="825"/>
      <c r="AI11" s="825"/>
      <c r="AJ11" s="825"/>
      <c r="AK11" s="825"/>
      <c r="AL11" s="825"/>
      <c r="AM11" s="825"/>
      <c r="AN11" s="825"/>
      <c r="AO11" s="825"/>
      <c r="AP11" s="825"/>
    </row>
    <row r="12" spans="1:42">
      <c r="A12" s="825"/>
      <c r="B12" s="1143" t="s">
        <v>822</v>
      </c>
      <c r="C12" s="1143"/>
      <c r="D12" s="1131" t="s">
        <v>823</v>
      </c>
      <c r="E12" s="1131"/>
      <c r="F12" s="825"/>
      <c r="G12" s="825"/>
      <c r="H12" s="825"/>
      <c r="I12" s="825"/>
      <c r="J12" s="825"/>
      <c r="K12" s="825"/>
      <c r="L12" s="825"/>
      <c r="M12" s="825"/>
      <c r="N12" s="825"/>
      <c r="O12" s="825"/>
      <c r="P12" s="825"/>
      <c r="Q12" s="825"/>
      <c r="R12" s="825"/>
      <c r="S12" s="825"/>
      <c r="T12" s="825"/>
      <c r="U12" s="825"/>
      <c r="V12" s="825"/>
      <c r="W12" s="825"/>
      <c r="X12" s="825"/>
      <c r="Y12" s="825"/>
      <c r="Z12" s="825"/>
      <c r="AA12" s="825"/>
      <c r="AB12" s="825"/>
      <c r="AC12" s="825"/>
      <c r="AD12" s="825"/>
      <c r="AE12" s="825"/>
      <c r="AF12" s="825"/>
      <c r="AG12" s="825"/>
      <c r="AH12" s="825"/>
      <c r="AI12" s="825"/>
      <c r="AJ12" s="825"/>
      <c r="AK12" s="825"/>
      <c r="AL12" s="825"/>
      <c r="AM12" s="825"/>
      <c r="AN12" s="825"/>
      <c r="AO12" s="825"/>
      <c r="AP12" s="825"/>
    </row>
    <row r="13" spans="1:42" outlineLevel="1">
      <c r="A13" s="825"/>
      <c r="B13" s="1136"/>
      <c r="C13" s="1136"/>
      <c r="D13" s="825"/>
      <c r="E13" s="825"/>
      <c r="F13" s="1144"/>
      <c r="G13" s="1144"/>
      <c r="H13" s="1144"/>
      <c r="I13" s="1144"/>
      <c r="J13" s="825"/>
      <c r="K13" s="825"/>
      <c r="L13" s="825"/>
      <c r="M13" s="825"/>
      <c r="N13" s="825"/>
      <c r="O13" s="825"/>
      <c r="P13" s="825"/>
      <c r="Q13" s="825"/>
      <c r="R13" s="825"/>
      <c r="S13" s="825"/>
      <c r="T13" s="1145" t="s">
        <v>711</v>
      </c>
      <c r="U13" s="1146" t="s">
        <v>711</v>
      </c>
      <c r="V13" s="1146" t="s">
        <v>711</v>
      </c>
      <c r="W13" s="1146" t="s">
        <v>711</v>
      </c>
      <c r="X13" s="1146" t="s">
        <v>711</v>
      </c>
      <c r="Y13" s="1146" t="s">
        <v>711</v>
      </c>
      <c r="Z13" s="1146" t="s">
        <v>711</v>
      </c>
      <c r="AA13" s="1147" t="s">
        <v>711</v>
      </c>
      <c r="AB13" s="1148" t="s">
        <v>711</v>
      </c>
      <c r="AC13" s="1146" t="s">
        <v>711</v>
      </c>
      <c r="AD13" s="825"/>
      <c r="AE13" s="825"/>
      <c r="AF13" s="825"/>
      <c r="AG13" s="825"/>
      <c r="AH13" s="825"/>
      <c r="AI13" s="825"/>
      <c r="AJ13" s="825"/>
      <c r="AK13" s="825"/>
      <c r="AL13" s="825"/>
      <c r="AM13" s="825"/>
      <c r="AN13" s="825"/>
      <c r="AO13" s="825"/>
      <c r="AP13" s="825"/>
    </row>
    <row r="14" spans="1:42" outlineLevel="1">
      <c r="A14" s="825"/>
      <c r="B14" s="1136"/>
      <c r="C14" s="1136"/>
      <c r="D14" s="825"/>
      <c r="E14" s="825"/>
      <c r="F14" s="825" t="s">
        <v>824</v>
      </c>
      <c r="G14" s="825"/>
      <c r="H14" s="825"/>
      <c r="I14" s="825"/>
      <c r="J14" s="825"/>
      <c r="K14" s="825"/>
      <c r="L14" s="825"/>
      <c r="M14" s="825"/>
      <c r="N14" s="825"/>
      <c r="O14" s="825"/>
      <c r="P14" s="825"/>
      <c r="Q14" s="825"/>
      <c r="R14" s="825"/>
      <c r="S14" s="825"/>
      <c r="T14" s="90">
        <v>-13</v>
      </c>
      <c r="U14" s="90">
        <v>-21</v>
      </c>
      <c r="V14" s="90">
        <v>-29</v>
      </c>
      <c r="W14" s="90">
        <v>-199.81253584425218</v>
      </c>
      <c r="X14" s="90">
        <v>-60</v>
      </c>
      <c r="Y14" s="90">
        <v>-60</v>
      </c>
      <c r="Z14" s="90">
        <v>-60</v>
      </c>
      <c r="AA14" s="90">
        <v>-60</v>
      </c>
      <c r="AB14" s="90">
        <v>-60</v>
      </c>
      <c r="AC14" s="90">
        <v>-60</v>
      </c>
      <c r="AD14" s="825"/>
      <c r="AE14" s="825"/>
      <c r="AF14" s="825"/>
      <c r="AG14" s="825"/>
      <c r="AH14" s="825"/>
      <c r="AI14" s="825"/>
      <c r="AJ14" s="825"/>
      <c r="AK14" s="825"/>
      <c r="AL14" s="825"/>
      <c r="AM14" s="825"/>
      <c r="AN14" s="825"/>
      <c r="AO14" s="825"/>
      <c r="AP14" s="825"/>
    </row>
    <row r="15" spans="1:42" outlineLevel="1">
      <c r="A15" s="825"/>
      <c r="B15" s="1136"/>
      <c r="C15" s="1136"/>
      <c r="D15" s="825"/>
      <c r="E15" s="825"/>
      <c r="F15" s="825" t="s">
        <v>825</v>
      </c>
      <c r="G15" s="825"/>
      <c r="H15" s="825"/>
      <c r="I15" s="825"/>
      <c r="J15" s="825"/>
      <c r="K15" s="825"/>
      <c r="L15" s="825"/>
      <c r="M15" s="825"/>
      <c r="N15" s="825"/>
      <c r="O15" s="825"/>
      <c r="P15" s="825"/>
      <c r="Q15" s="825"/>
      <c r="R15" s="825"/>
      <c r="S15" s="825"/>
      <c r="T15" s="90">
        <v>0</v>
      </c>
      <c r="U15" s="90">
        <v>0</v>
      </c>
      <c r="V15" s="90">
        <v>0</v>
      </c>
      <c r="W15" s="90">
        <v>0</v>
      </c>
      <c r="X15" s="90">
        <v>0</v>
      </c>
      <c r="Y15" s="90">
        <v>0</v>
      </c>
      <c r="Z15" s="90">
        <v>0</v>
      </c>
      <c r="AA15" s="90">
        <v>0</v>
      </c>
      <c r="AB15" s="90">
        <v>0</v>
      </c>
      <c r="AC15" s="90">
        <v>0</v>
      </c>
      <c r="AD15" s="825"/>
      <c r="AE15" s="825"/>
      <c r="AF15" s="825"/>
      <c r="AG15" s="825"/>
      <c r="AH15" s="825"/>
      <c r="AI15" s="825"/>
      <c r="AJ15" s="825"/>
      <c r="AK15" s="825"/>
      <c r="AL15" s="825"/>
      <c r="AM15" s="825"/>
      <c r="AN15" s="825"/>
      <c r="AO15" s="825"/>
      <c r="AP15" s="825"/>
    </row>
    <row r="16" spans="1:42" outlineLevel="1">
      <c r="A16" s="825"/>
      <c r="B16" s="1136"/>
      <c r="C16" s="1136"/>
      <c r="D16" s="825"/>
      <c r="E16" s="825"/>
      <c r="F16" s="825" t="s">
        <v>826</v>
      </c>
      <c r="G16" s="825"/>
      <c r="H16" s="825"/>
      <c r="I16" s="825"/>
      <c r="J16" s="825"/>
      <c r="K16" s="825"/>
      <c r="L16" s="825"/>
      <c r="M16" s="825"/>
      <c r="N16" s="825"/>
      <c r="O16" s="825"/>
      <c r="P16" s="825"/>
      <c r="Q16" s="825"/>
      <c r="R16" s="825"/>
      <c r="S16" s="825"/>
      <c r="T16" s="90">
        <v>-80</v>
      </c>
      <c r="U16" s="90">
        <v>-523</v>
      </c>
      <c r="V16" s="90">
        <v>-569</v>
      </c>
      <c r="W16" s="90">
        <v>0</v>
      </c>
      <c r="X16" s="90">
        <v>0</v>
      </c>
      <c r="Y16" s="90">
        <v>0</v>
      </c>
      <c r="Z16" s="90">
        <v>0</v>
      </c>
      <c r="AA16" s="90">
        <v>0</v>
      </c>
      <c r="AB16" s="90">
        <v>0</v>
      </c>
      <c r="AC16" s="90">
        <v>0</v>
      </c>
      <c r="AD16" s="825"/>
      <c r="AE16" s="825"/>
      <c r="AF16" s="825"/>
      <c r="AG16" s="825"/>
      <c r="AH16" s="825"/>
      <c r="AI16" s="825"/>
      <c r="AJ16" s="825"/>
      <c r="AK16" s="825"/>
      <c r="AL16" s="825"/>
      <c r="AM16" s="825"/>
      <c r="AN16" s="825"/>
      <c r="AO16" s="825"/>
      <c r="AP16" s="825"/>
    </row>
    <row r="17" spans="1:42" outlineLevel="1">
      <c r="A17" s="825"/>
      <c r="B17" s="1136"/>
      <c r="C17" s="1136"/>
      <c r="D17" s="825"/>
      <c r="E17" s="825"/>
      <c r="F17" s="825" t="s">
        <v>827</v>
      </c>
      <c r="G17" s="825"/>
      <c r="H17" s="825"/>
      <c r="I17" s="825"/>
      <c r="J17" s="825"/>
      <c r="K17" s="825"/>
      <c r="L17" s="825"/>
      <c r="M17" s="825"/>
      <c r="N17" s="825"/>
      <c r="O17" s="825"/>
      <c r="P17" s="825"/>
      <c r="Q17" s="825"/>
      <c r="R17" s="825"/>
      <c r="S17" s="825"/>
      <c r="T17" s="90">
        <v>1</v>
      </c>
      <c r="U17" s="90">
        <v>0</v>
      </c>
      <c r="V17" s="90">
        <v>0</v>
      </c>
      <c r="W17" s="90">
        <v>0</v>
      </c>
      <c r="X17" s="90">
        <v>0</v>
      </c>
      <c r="Y17" s="90">
        <v>0</v>
      </c>
      <c r="Z17" s="90">
        <v>0</v>
      </c>
      <c r="AA17" s="90">
        <v>0</v>
      </c>
      <c r="AB17" s="90">
        <v>0</v>
      </c>
      <c r="AC17" s="90">
        <v>0</v>
      </c>
      <c r="AD17" s="825"/>
      <c r="AE17" s="825"/>
      <c r="AF17" s="825"/>
      <c r="AG17" s="825"/>
      <c r="AH17" s="825"/>
      <c r="AI17" s="825"/>
      <c r="AJ17" s="825"/>
      <c r="AK17" s="825"/>
      <c r="AL17" s="825"/>
      <c r="AM17" s="825"/>
      <c r="AN17" s="825"/>
      <c r="AO17" s="825"/>
      <c r="AP17" s="825"/>
    </row>
    <row r="18" spans="1:42" outlineLevel="1">
      <c r="A18" s="825"/>
      <c r="B18" s="1136"/>
      <c r="C18" s="1136"/>
      <c r="D18" s="825"/>
      <c r="E18" s="825"/>
      <c r="F18" s="825" t="s">
        <v>828</v>
      </c>
      <c r="G18" s="825"/>
      <c r="H18" s="825"/>
      <c r="I18" s="825"/>
      <c r="J18" s="825"/>
      <c r="K18" s="825"/>
      <c r="L18" s="825"/>
      <c r="M18" s="825"/>
      <c r="N18" s="825"/>
      <c r="O18" s="825"/>
      <c r="P18" s="825"/>
      <c r="Q18" s="825"/>
      <c r="R18" s="825"/>
      <c r="S18" s="825"/>
      <c r="T18" s="90">
        <v>0</v>
      </c>
      <c r="U18" s="90">
        <v>0</v>
      </c>
      <c r="V18" s="90">
        <v>0</v>
      </c>
      <c r="W18" s="90">
        <v>0</v>
      </c>
      <c r="X18" s="90">
        <v>0</v>
      </c>
      <c r="Y18" s="90">
        <v>0</v>
      </c>
      <c r="Z18" s="90">
        <v>0</v>
      </c>
      <c r="AA18" s="90">
        <v>0</v>
      </c>
      <c r="AB18" s="90">
        <v>0</v>
      </c>
      <c r="AC18" s="90">
        <v>0</v>
      </c>
      <c r="AD18" s="825"/>
      <c r="AE18" s="825"/>
      <c r="AF18" s="825"/>
      <c r="AG18" s="825"/>
      <c r="AH18" s="825"/>
      <c r="AI18" s="825"/>
      <c r="AJ18" s="825"/>
      <c r="AK18" s="825"/>
      <c r="AL18" s="825"/>
      <c r="AM18" s="825"/>
      <c r="AN18" s="825"/>
      <c r="AO18" s="825"/>
      <c r="AP18" s="825"/>
    </row>
    <row r="19" spans="1:42" outlineLevel="1">
      <c r="A19" s="825"/>
      <c r="B19" s="1136"/>
      <c r="C19" s="1136"/>
      <c r="D19" s="825"/>
      <c r="E19" s="825"/>
      <c r="F19" s="825" t="s">
        <v>829</v>
      </c>
      <c r="G19" s="825"/>
      <c r="H19" s="825"/>
      <c r="I19" s="825"/>
      <c r="J19" s="825"/>
      <c r="K19" s="825"/>
      <c r="L19" s="825"/>
      <c r="M19" s="825"/>
      <c r="N19" s="825"/>
      <c r="O19" s="825"/>
      <c r="P19" s="825"/>
      <c r="Q19" s="825"/>
      <c r="R19" s="825"/>
      <c r="S19" s="825"/>
      <c r="T19" s="90">
        <v>0</v>
      </c>
      <c r="U19" s="90">
        <v>0</v>
      </c>
      <c r="V19" s="90">
        <v>0</v>
      </c>
      <c r="W19" s="90">
        <v>0</v>
      </c>
      <c r="X19" s="90">
        <v>0</v>
      </c>
      <c r="Y19" s="90">
        <v>0</v>
      </c>
      <c r="Z19" s="90">
        <v>0</v>
      </c>
      <c r="AA19" s="90">
        <v>0</v>
      </c>
      <c r="AB19" s="90">
        <v>0</v>
      </c>
      <c r="AC19" s="90">
        <v>0</v>
      </c>
      <c r="AD19" s="825"/>
      <c r="AE19" s="825"/>
      <c r="AF19" s="825"/>
      <c r="AG19" s="825"/>
      <c r="AH19" s="825"/>
      <c r="AI19" s="825"/>
      <c r="AJ19" s="825"/>
      <c r="AK19" s="825"/>
      <c r="AL19" s="825"/>
      <c r="AM19" s="825"/>
      <c r="AN19" s="825"/>
      <c r="AO19" s="825"/>
      <c r="AP19" s="825"/>
    </row>
    <row r="20" spans="1:42" ht="12.75" customHeight="1" outlineLevel="1">
      <c r="A20" s="825"/>
      <c r="B20" s="1136"/>
      <c r="C20" s="1136"/>
      <c r="D20" s="825"/>
      <c r="E20" s="825"/>
      <c r="F20" s="1164" t="s">
        <v>830</v>
      </c>
      <c r="G20" s="1165"/>
      <c r="H20" s="1166"/>
      <c r="I20" s="1166"/>
      <c r="J20" s="1167"/>
      <c r="K20" s="1149"/>
      <c r="L20" s="1149"/>
      <c r="M20" s="1149"/>
      <c r="N20" s="1149"/>
      <c r="O20" s="1149"/>
      <c r="P20" s="825"/>
      <c r="Q20" s="1149"/>
      <c r="R20" s="1149"/>
      <c r="S20" s="1149"/>
      <c r="T20" s="90">
        <v>0</v>
      </c>
      <c r="U20" s="90">
        <v>0</v>
      </c>
      <c r="V20" s="90">
        <v>0</v>
      </c>
      <c r="W20" s="90">
        <v>0</v>
      </c>
      <c r="X20" s="90">
        <v>0</v>
      </c>
      <c r="Y20" s="90">
        <v>0</v>
      </c>
      <c r="Z20" s="90">
        <v>0</v>
      </c>
      <c r="AA20" s="90">
        <v>0</v>
      </c>
      <c r="AB20" s="90">
        <v>0</v>
      </c>
      <c r="AC20" s="90">
        <v>0</v>
      </c>
      <c r="AD20" s="825"/>
      <c r="AE20" s="825"/>
      <c r="AF20" s="825"/>
      <c r="AG20" s="825"/>
      <c r="AH20" s="825"/>
      <c r="AI20" s="825"/>
      <c r="AJ20" s="825"/>
      <c r="AK20" s="825"/>
      <c r="AL20" s="825"/>
      <c r="AM20" s="825"/>
      <c r="AN20" s="825"/>
      <c r="AO20" s="825"/>
      <c r="AP20" s="825"/>
    </row>
    <row r="21" spans="1:42" ht="12.75" customHeight="1" outlineLevel="1">
      <c r="A21" s="825"/>
      <c r="B21" s="1136"/>
      <c r="C21" s="1136"/>
      <c r="D21" s="825"/>
      <c r="E21" s="825"/>
      <c r="F21" s="1164" t="s">
        <v>831</v>
      </c>
      <c r="G21" s="1165"/>
      <c r="H21" s="1166"/>
      <c r="I21" s="1166"/>
      <c r="J21" s="1167"/>
      <c r="K21" s="1149"/>
      <c r="L21" s="1149"/>
      <c r="M21" s="1149"/>
      <c r="N21" s="1149"/>
      <c r="O21" s="1149"/>
      <c r="P21" s="825"/>
      <c r="Q21" s="1149"/>
      <c r="R21" s="1149"/>
      <c r="S21" s="1149"/>
      <c r="T21" s="90">
        <v>0</v>
      </c>
      <c r="U21" s="90">
        <v>0</v>
      </c>
      <c r="V21" s="90">
        <v>0</v>
      </c>
      <c r="W21" s="90">
        <v>0</v>
      </c>
      <c r="X21" s="90">
        <v>0</v>
      </c>
      <c r="Y21" s="90">
        <v>0</v>
      </c>
      <c r="Z21" s="90">
        <v>0</v>
      </c>
      <c r="AA21" s="90">
        <v>0</v>
      </c>
      <c r="AB21" s="90">
        <v>0</v>
      </c>
      <c r="AC21" s="90">
        <v>0</v>
      </c>
      <c r="AD21" s="825"/>
      <c r="AE21" s="825"/>
      <c r="AF21" s="825"/>
      <c r="AG21" s="825"/>
      <c r="AH21" s="825"/>
      <c r="AI21" s="825"/>
      <c r="AJ21" s="825"/>
      <c r="AK21" s="825"/>
      <c r="AL21" s="825"/>
      <c r="AM21" s="825"/>
      <c r="AN21" s="825"/>
      <c r="AO21" s="825"/>
      <c r="AP21" s="825"/>
    </row>
    <row r="22" spans="1:42" ht="12.75" customHeight="1" outlineLevel="1">
      <c r="A22" s="825"/>
      <c r="B22" s="1136"/>
      <c r="C22" s="1136"/>
      <c r="D22" s="825"/>
      <c r="E22" s="825"/>
      <c r="F22" s="1164" t="s">
        <v>832</v>
      </c>
      <c r="G22" s="1165"/>
      <c r="H22" s="1166"/>
      <c r="I22" s="1166"/>
      <c r="J22" s="1167"/>
      <c r="K22" s="1149"/>
      <c r="L22" s="1149"/>
      <c r="M22" s="1149"/>
      <c r="N22" s="1149"/>
      <c r="O22" s="1149"/>
      <c r="P22" s="825"/>
      <c r="Q22" s="1149"/>
      <c r="R22" s="1149"/>
      <c r="S22" s="1149"/>
      <c r="T22" s="90">
        <v>0</v>
      </c>
      <c r="U22" s="90">
        <v>0</v>
      </c>
      <c r="V22" s="90">
        <v>0</v>
      </c>
      <c r="W22" s="90">
        <v>0</v>
      </c>
      <c r="X22" s="90">
        <v>0</v>
      </c>
      <c r="Y22" s="90">
        <v>0</v>
      </c>
      <c r="Z22" s="90">
        <v>0</v>
      </c>
      <c r="AA22" s="90">
        <v>0</v>
      </c>
      <c r="AB22" s="90">
        <v>0</v>
      </c>
      <c r="AC22" s="90">
        <v>0</v>
      </c>
      <c r="AD22" s="825"/>
      <c r="AE22" s="825"/>
      <c r="AF22" s="825"/>
      <c r="AG22" s="825"/>
      <c r="AH22" s="825"/>
      <c r="AI22" s="825"/>
      <c r="AJ22" s="825"/>
      <c r="AK22" s="825"/>
      <c r="AL22" s="825"/>
      <c r="AM22" s="825"/>
      <c r="AN22" s="825"/>
      <c r="AO22" s="825"/>
      <c r="AP22" s="825"/>
    </row>
    <row r="23" spans="1:42" ht="12.75" customHeight="1" outlineLevel="1">
      <c r="A23" s="825"/>
      <c r="B23" s="1136"/>
      <c r="C23" s="1136"/>
      <c r="D23" s="825"/>
      <c r="E23" s="825"/>
      <c r="F23" s="1164" t="s">
        <v>833</v>
      </c>
      <c r="G23" s="1165"/>
      <c r="H23" s="1166"/>
      <c r="I23" s="1166"/>
      <c r="J23" s="1167"/>
      <c r="K23" s="1149"/>
      <c r="L23" s="1149"/>
      <c r="M23" s="1149"/>
      <c r="N23" s="1149"/>
      <c r="O23" s="1149"/>
      <c r="P23" s="825"/>
      <c r="Q23" s="1149"/>
      <c r="R23" s="1149"/>
      <c r="S23" s="1149"/>
      <c r="T23" s="90">
        <v>0</v>
      </c>
      <c r="U23" s="90">
        <v>0</v>
      </c>
      <c r="V23" s="90">
        <v>0</v>
      </c>
      <c r="W23" s="90">
        <v>0</v>
      </c>
      <c r="X23" s="90">
        <v>0</v>
      </c>
      <c r="Y23" s="90">
        <v>0</v>
      </c>
      <c r="Z23" s="90">
        <v>0</v>
      </c>
      <c r="AA23" s="90">
        <v>0</v>
      </c>
      <c r="AB23" s="90">
        <v>0</v>
      </c>
      <c r="AC23" s="90">
        <v>0</v>
      </c>
      <c r="AD23" s="825"/>
      <c r="AE23" s="825"/>
      <c r="AF23" s="825"/>
      <c r="AG23" s="825"/>
      <c r="AH23" s="825"/>
      <c r="AI23" s="825"/>
      <c r="AJ23" s="825"/>
      <c r="AK23" s="825"/>
      <c r="AL23" s="825"/>
      <c r="AM23" s="825"/>
      <c r="AN23" s="825"/>
      <c r="AO23" s="825"/>
      <c r="AP23" s="825"/>
    </row>
    <row r="24" spans="1:42" ht="12.75" customHeight="1" outlineLevel="1">
      <c r="A24" s="825"/>
      <c r="B24" s="1136"/>
      <c r="C24" s="1136"/>
      <c r="D24" s="825"/>
      <c r="E24" s="825"/>
      <c r="F24" s="1164" t="s">
        <v>834</v>
      </c>
      <c r="G24" s="1165"/>
      <c r="H24" s="1166"/>
      <c r="I24" s="1166"/>
      <c r="J24" s="1167"/>
      <c r="K24" s="1149"/>
      <c r="L24" s="1149"/>
      <c r="M24" s="1149"/>
      <c r="N24" s="1149"/>
      <c r="O24" s="1149"/>
      <c r="P24" s="825"/>
      <c r="Q24" s="1149"/>
      <c r="R24" s="1149"/>
      <c r="S24" s="1149"/>
      <c r="T24" s="90">
        <v>0</v>
      </c>
      <c r="U24" s="90">
        <v>0</v>
      </c>
      <c r="V24" s="90">
        <v>0</v>
      </c>
      <c r="W24" s="90">
        <v>0</v>
      </c>
      <c r="X24" s="90">
        <v>0</v>
      </c>
      <c r="Y24" s="90">
        <v>0</v>
      </c>
      <c r="Z24" s="90">
        <v>0</v>
      </c>
      <c r="AA24" s="90">
        <v>0</v>
      </c>
      <c r="AB24" s="90">
        <v>0</v>
      </c>
      <c r="AC24" s="90">
        <v>0</v>
      </c>
      <c r="AD24" s="825"/>
      <c r="AE24" s="825"/>
      <c r="AF24" s="825"/>
      <c r="AG24" s="825"/>
      <c r="AH24" s="825"/>
      <c r="AI24" s="825"/>
      <c r="AJ24" s="825"/>
      <c r="AK24" s="825"/>
      <c r="AL24" s="825"/>
      <c r="AM24" s="825"/>
      <c r="AN24" s="825"/>
      <c r="AO24" s="825"/>
      <c r="AP24" s="825"/>
    </row>
    <row r="25" spans="1:42" ht="12.75" customHeight="1" outlineLevel="1">
      <c r="A25" s="825"/>
      <c r="B25" s="1136"/>
      <c r="C25" s="1136"/>
      <c r="D25" s="825"/>
      <c r="E25" s="825"/>
      <c r="F25" s="1164" t="s">
        <v>835</v>
      </c>
      <c r="G25" s="1165"/>
      <c r="H25" s="1166"/>
      <c r="I25" s="1166"/>
      <c r="J25" s="1167"/>
      <c r="K25" s="1149"/>
      <c r="L25" s="1149"/>
      <c r="M25" s="1149"/>
      <c r="N25" s="1149"/>
      <c r="O25" s="1149"/>
      <c r="P25" s="825"/>
      <c r="Q25" s="1149"/>
      <c r="R25" s="1149"/>
      <c r="S25" s="1149"/>
      <c r="T25" s="90">
        <v>0</v>
      </c>
      <c r="U25" s="90">
        <v>0</v>
      </c>
      <c r="V25" s="90">
        <v>0</v>
      </c>
      <c r="W25" s="90">
        <v>0</v>
      </c>
      <c r="X25" s="90">
        <v>0</v>
      </c>
      <c r="Y25" s="90">
        <v>0</v>
      </c>
      <c r="Z25" s="90">
        <v>0</v>
      </c>
      <c r="AA25" s="90">
        <v>0</v>
      </c>
      <c r="AB25" s="90">
        <v>0</v>
      </c>
      <c r="AC25" s="90">
        <v>0</v>
      </c>
      <c r="AD25" s="825"/>
      <c r="AE25" s="825"/>
      <c r="AF25" s="825"/>
      <c r="AG25" s="825"/>
      <c r="AH25" s="825"/>
      <c r="AI25" s="825"/>
      <c r="AJ25" s="825"/>
      <c r="AK25" s="825"/>
      <c r="AL25" s="825"/>
      <c r="AM25" s="825"/>
      <c r="AN25" s="825"/>
      <c r="AO25" s="825"/>
      <c r="AP25" s="825"/>
    </row>
    <row r="26" spans="1:42" ht="12.75" customHeight="1" outlineLevel="1">
      <c r="A26" s="825"/>
      <c r="B26" s="1136"/>
      <c r="C26" s="1136"/>
      <c r="D26" s="825"/>
      <c r="E26" s="825"/>
      <c r="F26" s="1164" t="s">
        <v>836</v>
      </c>
      <c r="G26" s="1165"/>
      <c r="H26" s="1166"/>
      <c r="I26" s="1166"/>
      <c r="J26" s="1167"/>
      <c r="K26" s="1149"/>
      <c r="L26" s="1149"/>
      <c r="M26" s="1149"/>
      <c r="N26" s="1149"/>
      <c r="O26" s="1149"/>
      <c r="P26" s="825"/>
      <c r="Q26" s="1149"/>
      <c r="R26" s="1149"/>
      <c r="S26" s="1149"/>
      <c r="T26" s="90">
        <v>0</v>
      </c>
      <c r="U26" s="90">
        <v>0</v>
      </c>
      <c r="V26" s="90">
        <v>0</v>
      </c>
      <c r="W26" s="90">
        <v>0</v>
      </c>
      <c r="X26" s="90">
        <v>0</v>
      </c>
      <c r="Y26" s="90">
        <v>0</v>
      </c>
      <c r="Z26" s="90">
        <v>0</v>
      </c>
      <c r="AA26" s="90">
        <v>0</v>
      </c>
      <c r="AB26" s="90">
        <v>0</v>
      </c>
      <c r="AC26" s="90">
        <v>0</v>
      </c>
      <c r="AD26" s="825"/>
      <c r="AE26" s="825"/>
      <c r="AF26" s="825"/>
      <c r="AG26" s="825"/>
      <c r="AH26" s="825"/>
      <c r="AI26" s="825"/>
      <c r="AJ26" s="825"/>
      <c r="AK26" s="825"/>
      <c r="AL26" s="825"/>
      <c r="AM26" s="825"/>
      <c r="AN26" s="825"/>
      <c r="AO26" s="825"/>
      <c r="AP26" s="825"/>
    </row>
    <row r="27" spans="1:42" ht="12.75" customHeight="1" outlineLevel="1">
      <c r="A27" s="825"/>
      <c r="B27" s="1136"/>
      <c r="C27" s="1136"/>
      <c r="D27" s="825"/>
      <c r="E27" s="825"/>
      <c r="F27" s="1164" t="s">
        <v>805</v>
      </c>
      <c r="G27" s="1165"/>
      <c r="H27" s="1166"/>
      <c r="I27" s="1166"/>
      <c r="J27" s="1167"/>
      <c r="K27" s="1149"/>
      <c r="L27" s="1149"/>
      <c r="M27" s="1149"/>
      <c r="N27" s="1149"/>
      <c r="O27" s="1149"/>
      <c r="P27" s="825"/>
      <c r="Q27" s="1149"/>
      <c r="R27" s="1149"/>
      <c r="S27" s="1149"/>
      <c r="T27" s="90">
        <v>0</v>
      </c>
      <c r="U27" s="90">
        <v>0</v>
      </c>
      <c r="V27" s="90">
        <v>0</v>
      </c>
      <c r="W27" s="90">
        <v>0</v>
      </c>
      <c r="X27" s="90">
        <v>0</v>
      </c>
      <c r="Y27" s="90">
        <v>0</v>
      </c>
      <c r="Z27" s="90">
        <v>0</v>
      </c>
      <c r="AA27" s="90">
        <v>0</v>
      </c>
      <c r="AB27" s="90">
        <v>0</v>
      </c>
      <c r="AC27" s="90">
        <v>0</v>
      </c>
      <c r="AD27" s="825"/>
      <c r="AE27" s="825"/>
      <c r="AF27" s="825"/>
      <c r="AG27" s="825"/>
      <c r="AH27" s="825"/>
      <c r="AI27" s="825"/>
      <c r="AJ27" s="825"/>
      <c r="AK27" s="825"/>
      <c r="AL27" s="825"/>
      <c r="AM27" s="825"/>
      <c r="AN27" s="825"/>
      <c r="AO27" s="825"/>
      <c r="AP27" s="825"/>
    </row>
    <row r="28" spans="1:42" ht="12.75" customHeight="1" outlineLevel="1">
      <c r="A28" s="825"/>
      <c r="B28" s="1136"/>
      <c r="C28" s="1136"/>
      <c r="D28" s="825"/>
      <c r="E28" s="825"/>
      <c r="F28" s="1164" t="s">
        <v>806</v>
      </c>
      <c r="G28" s="1165"/>
      <c r="H28" s="1166"/>
      <c r="I28" s="1166"/>
      <c r="J28" s="1167"/>
      <c r="K28" s="1149"/>
      <c r="L28" s="1149"/>
      <c r="M28" s="1149"/>
      <c r="N28" s="1149"/>
      <c r="O28" s="1149"/>
      <c r="P28" s="825"/>
      <c r="Q28" s="1149"/>
      <c r="R28" s="1149"/>
      <c r="S28" s="1149"/>
      <c r="T28" s="90">
        <v>0</v>
      </c>
      <c r="U28" s="90">
        <v>0</v>
      </c>
      <c r="V28" s="90">
        <v>0</v>
      </c>
      <c r="W28" s="90">
        <v>0</v>
      </c>
      <c r="X28" s="90">
        <v>0</v>
      </c>
      <c r="Y28" s="90">
        <v>0</v>
      </c>
      <c r="Z28" s="90">
        <v>0</v>
      </c>
      <c r="AA28" s="90">
        <v>0</v>
      </c>
      <c r="AB28" s="90">
        <v>0</v>
      </c>
      <c r="AC28" s="90">
        <v>0</v>
      </c>
      <c r="AD28" s="825"/>
      <c r="AE28" s="825"/>
      <c r="AF28" s="825"/>
      <c r="AG28" s="825"/>
      <c r="AH28" s="825"/>
      <c r="AI28" s="825"/>
      <c r="AJ28" s="825"/>
      <c r="AK28" s="825"/>
      <c r="AL28" s="825"/>
      <c r="AM28" s="825"/>
      <c r="AN28" s="825"/>
      <c r="AO28" s="825"/>
      <c r="AP28" s="825"/>
    </row>
    <row r="29" spans="1:42" ht="12.75" customHeight="1" outlineLevel="1">
      <c r="A29" s="825"/>
      <c r="B29" s="1136"/>
      <c r="C29" s="1136"/>
      <c r="D29" s="825"/>
      <c r="E29" s="825"/>
      <c r="F29" s="1164" t="s">
        <v>807</v>
      </c>
      <c r="G29" s="1165"/>
      <c r="H29" s="1166"/>
      <c r="I29" s="1166"/>
      <c r="J29" s="1167"/>
      <c r="K29" s="1149"/>
      <c r="L29" s="1149"/>
      <c r="M29" s="1149"/>
      <c r="N29" s="1149"/>
      <c r="O29" s="1149"/>
      <c r="P29" s="825"/>
      <c r="Q29" s="1149"/>
      <c r="R29" s="1149"/>
      <c r="S29" s="1149"/>
      <c r="T29" s="90">
        <v>0</v>
      </c>
      <c r="U29" s="90">
        <v>0</v>
      </c>
      <c r="V29" s="90">
        <v>0</v>
      </c>
      <c r="W29" s="90">
        <v>0</v>
      </c>
      <c r="X29" s="90">
        <v>0</v>
      </c>
      <c r="Y29" s="90">
        <v>0</v>
      </c>
      <c r="Z29" s="90">
        <v>0</v>
      </c>
      <c r="AA29" s="90">
        <v>0</v>
      </c>
      <c r="AB29" s="90">
        <v>0</v>
      </c>
      <c r="AC29" s="90">
        <v>0</v>
      </c>
      <c r="AD29" s="825"/>
      <c r="AE29" s="825"/>
      <c r="AF29" s="825"/>
      <c r="AG29" s="825"/>
      <c r="AH29" s="825"/>
      <c r="AI29" s="825"/>
      <c r="AJ29" s="825"/>
      <c r="AK29" s="825"/>
      <c r="AL29" s="825"/>
      <c r="AM29" s="825"/>
      <c r="AN29" s="825"/>
      <c r="AO29" s="825"/>
      <c r="AP29" s="825"/>
    </row>
    <row r="30" spans="1:42">
      <c r="A30" s="1150"/>
      <c r="B30" s="1136"/>
      <c r="C30" s="1136"/>
      <c r="D30" s="825"/>
      <c r="E30" s="825"/>
      <c r="F30" s="825"/>
      <c r="G30" s="825"/>
      <c r="H30" s="825"/>
      <c r="I30" s="825"/>
      <c r="J30" s="825"/>
      <c r="K30" s="825"/>
      <c r="L30" s="825"/>
      <c r="M30" s="825"/>
      <c r="N30" s="825"/>
      <c r="O30" s="825"/>
      <c r="P30" s="825"/>
      <c r="Q30" s="825"/>
      <c r="R30" s="825"/>
      <c r="S30" s="1151" t="s">
        <v>837</v>
      </c>
      <c r="T30" s="705">
        <v>-92</v>
      </c>
      <c r="U30" s="705">
        <v>-544</v>
      </c>
      <c r="V30" s="705">
        <v>-598</v>
      </c>
      <c r="W30" s="705">
        <v>-199.81253584425218</v>
      </c>
      <c r="X30" s="705">
        <v>-60</v>
      </c>
      <c r="Y30" s="705">
        <v>-60</v>
      </c>
      <c r="Z30" s="705">
        <v>-60</v>
      </c>
      <c r="AA30" s="705">
        <v>-60</v>
      </c>
      <c r="AB30" s="705">
        <v>-60</v>
      </c>
      <c r="AC30" s="705">
        <v>-60</v>
      </c>
      <c r="AD30" s="825"/>
      <c r="AE30" s="825"/>
      <c r="AF30" s="825"/>
      <c r="AG30" s="825"/>
      <c r="AH30" s="825"/>
      <c r="AI30" s="825"/>
      <c r="AJ30" s="825"/>
      <c r="AK30" s="825"/>
      <c r="AL30" s="825"/>
      <c r="AM30" s="825"/>
      <c r="AN30" s="825"/>
      <c r="AO30" s="825"/>
      <c r="AP30" s="825"/>
    </row>
    <row r="31" spans="1:42">
      <c r="A31" s="825"/>
      <c r="B31" s="1143"/>
      <c r="C31" s="1143"/>
      <c r="D31" s="1131"/>
      <c r="E31" s="1131"/>
      <c r="F31" s="1131"/>
      <c r="G31" s="1131"/>
      <c r="H31" s="1131"/>
      <c r="I31" s="1131"/>
      <c r="J31" s="825"/>
      <c r="K31" s="825"/>
      <c r="L31" s="1131" t="s">
        <v>707</v>
      </c>
      <c r="M31" s="825"/>
      <c r="N31" s="825"/>
      <c r="O31" s="1131" t="s">
        <v>838</v>
      </c>
      <c r="P31" s="825"/>
      <c r="Q31" s="825"/>
      <c r="R31" s="825"/>
      <c r="S31" s="825"/>
      <c r="T31" s="825"/>
      <c r="U31" s="825"/>
      <c r="V31" s="825"/>
      <c r="W31" s="825"/>
      <c r="X31" s="825"/>
      <c r="Y31" s="825"/>
      <c r="Z31" s="825"/>
      <c r="AA31" s="825"/>
      <c r="AB31" s="835"/>
      <c r="AC31" s="825"/>
      <c r="AD31" s="825"/>
      <c r="AE31" s="825"/>
      <c r="AF31" s="825"/>
      <c r="AG31" s="825"/>
      <c r="AH31" s="825"/>
      <c r="AI31" s="825"/>
      <c r="AJ31" s="825"/>
      <c r="AK31" s="825"/>
      <c r="AL31" s="825"/>
      <c r="AM31" s="825"/>
      <c r="AN31" s="825"/>
      <c r="AO31" s="825"/>
      <c r="AP31" s="825"/>
    </row>
    <row r="32" spans="1:42" outlineLevel="1">
      <c r="A32" s="1150"/>
      <c r="B32" s="1143" t="s">
        <v>839</v>
      </c>
      <c r="C32" s="1143"/>
      <c r="D32" s="1131" t="s">
        <v>840</v>
      </c>
      <c r="E32" s="825"/>
      <c r="F32" s="1131"/>
      <c r="G32" s="1131"/>
      <c r="H32" s="1131"/>
      <c r="I32" s="1131"/>
      <c r="J32" s="825"/>
      <c r="K32" s="825"/>
      <c r="L32" s="1152" t="s">
        <v>176</v>
      </c>
      <c r="M32" s="1152"/>
      <c r="N32" s="1152"/>
      <c r="O32" s="1151" t="s">
        <v>841</v>
      </c>
      <c r="P32" s="825"/>
      <c r="Q32" s="825"/>
      <c r="R32" s="825"/>
      <c r="S32" s="1151" t="s">
        <v>842</v>
      </c>
      <c r="T32" s="705">
        <v>0</v>
      </c>
      <c r="U32" s="706">
        <v>0</v>
      </c>
      <c r="V32" s="706">
        <v>0</v>
      </c>
      <c r="W32" s="706">
        <v>0</v>
      </c>
      <c r="X32" s="706">
        <v>0</v>
      </c>
      <c r="Y32" s="706">
        <v>0</v>
      </c>
      <c r="Z32" s="706">
        <v>0</v>
      </c>
      <c r="AA32" s="707">
        <v>0</v>
      </c>
      <c r="AB32" s="808">
        <v>0</v>
      </c>
      <c r="AC32" s="706">
        <v>0</v>
      </c>
      <c r="AD32" s="825"/>
      <c r="AE32" s="825"/>
      <c r="AF32" s="825"/>
      <c r="AG32" s="825"/>
      <c r="AH32" s="825"/>
      <c r="AI32" s="825"/>
      <c r="AJ32" s="825"/>
      <c r="AK32" s="825"/>
      <c r="AL32" s="825"/>
      <c r="AM32" s="825"/>
      <c r="AN32" s="825"/>
      <c r="AO32" s="825"/>
      <c r="AP32" s="825"/>
    </row>
    <row r="33" spans="1:42">
      <c r="A33" s="825"/>
      <c r="B33" s="1143" t="s">
        <v>843</v>
      </c>
      <c r="C33" s="1136"/>
      <c r="D33" s="1131" t="s">
        <v>844</v>
      </c>
      <c r="E33" s="825"/>
      <c r="F33" s="1131"/>
      <c r="G33" s="1131"/>
      <c r="H33" s="1131"/>
      <c r="I33" s="1131"/>
      <c r="J33" s="825"/>
      <c r="K33" s="825"/>
      <c r="L33" s="1152" t="s">
        <v>186</v>
      </c>
      <c r="M33" s="1152"/>
      <c r="N33" s="1152"/>
      <c r="O33" s="1151" t="s">
        <v>841</v>
      </c>
      <c r="P33" s="825"/>
      <c r="Q33" s="825"/>
      <c r="R33" s="825"/>
      <c r="S33" s="1151" t="s">
        <v>845</v>
      </c>
      <c r="T33" s="705">
        <v>921.75888442691485</v>
      </c>
      <c r="U33" s="706">
        <v>991.7208878156041</v>
      </c>
      <c r="V33" s="706">
        <v>754.20039696012509</v>
      </c>
      <c r="W33" s="706">
        <v>550</v>
      </c>
      <c r="X33" s="706">
        <v>550</v>
      </c>
      <c r="Y33" s="706">
        <v>150</v>
      </c>
      <c r="Z33" s="706">
        <v>150</v>
      </c>
      <c r="AA33" s="707">
        <v>150</v>
      </c>
      <c r="AB33" s="808">
        <v>150</v>
      </c>
      <c r="AC33" s="706">
        <v>0</v>
      </c>
      <c r="AD33" s="825"/>
      <c r="AE33" s="825"/>
      <c r="AF33" s="825"/>
      <c r="AG33" s="825"/>
      <c r="AH33" s="825"/>
      <c r="AI33" s="825"/>
      <c r="AJ33" s="825"/>
      <c r="AK33" s="825"/>
      <c r="AL33" s="825"/>
      <c r="AM33" s="825"/>
      <c r="AN33" s="825"/>
      <c r="AO33" s="825"/>
      <c r="AP33" s="825"/>
    </row>
    <row r="34" spans="1:42">
      <c r="A34" s="825"/>
      <c r="B34" s="1143" t="s">
        <v>846</v>
      </c>
      <c r="C34" s="1136"/>
      <c r="D34" s="1131" t="s">
        <v>847</v>
      </c>
      <c r="E34" s="825"/>
      <c r="F34" s="1131"/>
      <c r="G34" s="1136"/>
      <c r="H34" s="1136"/>
      <c r="I34" s="825"/>
      <c r="J34" s="825"/>
      <c r="K34" s="825"/>
      <c r="L34" s="1152" t="s">
        <v>196</v>
      </c>
      <c r="M34" s="1152"/>
      <c r="N34" s="1152"/>
      <c r="O34" s="1151" t="s">
        <v>841</v>
      </c>
      <c r="P34" s="825"/>
      <c r="Q34" s="825"/>
      <c r="R34" s="825"/>
      <c r="S34" s="1151" t="s">
        <v>848</v>
      </c>
      <c r="T34" s="705">
        <v>0</v>
      </c>
      <c r="U34" s="706">
        <v>0</v>
      </c>
      <c r="V34" s="706">
        <v>0</v>
      </c>
      <c r="W34" s="706">
        <v>0</v>
      </c>
      <c r="X34" s="706">
        <v>0</v>
      </c>
      <c r="Y34" s="706">
        <v>0</v>
      </c>
      <c r="Z34" s="706">
        <v>0</v>
      </c>
      <c r="AA34" s="707">
        <v>0</v>
      </c>
      <c r="AB34" s="808">
        <v>0</v>
      </c>
      <c r="AC34" s="706">
        <v>0</v>
      </c>
      <c r="AD34" s="825"/>
      <c r="AE34" s="825"/>
      <c r="AF34" s="825"/>
      <c r="AG34" s="825"/>
      <c r="AH34" s="825"/>
      <c r="AI34" s="825"/>
      <c r="AJ34" s="825"/>
      <c r="AK34" s="825"/>
      <c r="AL34" s="825"/>
      <c r="AM34" s="825"/>
      <c r="AN34" s="825"/>
      <c r="AO34" s="825"/>
      <c r="AP34" s="825"/>
    </row>
    <row r="35" spans="1:42">
      <c r="A35" s="825"/>
      <c r="B35" s="1143" t="s">
        <v>849</v>
      </c>
      <c r="C35" s="1143"/>
      <c r="D35" s="1131" t="s">
        <v>850</v>
      </c>
      <c r="E35" s="1131"/>
      <c r="F35" s="1131"/>
      <c r="G35" s="1131"/>
      <c r="H35" s="1131"/>
      <c r="I35" s="1131"/>
      <c r="J35" s="1131"/>
      <c r="K35" s="1131"/>
      <c r="L35" s="1152" t="s">
        <v>205</v>
      </c>
      <c r="M35" s="1152"/>
      <c r="N35" s="1152"/>
      <c r="O35" s="1151" t="s">
        <v>841</v>
      </c>
      <c r="P35" s="1131"/>
      <c r="Q35" s="825"/>
      <c r="R35" s="825"/>
      <c r="S35" s="1151" t="s">
        <v>851</v>
      </c>
      <c r="T35" s="705">
        <v>0</v>
      </c>
      <c r="U35" s="706">
        <v>0</v>
      </c>
      <c r="V35" s="706">
        <v>0</v>
      </c>
      <c r="W35" s="706">
        <v>0</v>
      </c>
      <c r="X35" s="706">
        <v>0</v>
      </c>
      <c r="Y35" s="706">
        <v>0</v>
      </c>
      <c r="Z35" s="706">
        <v>0</v>
      </c>
      <c r="AA35" s="707">
        <v>0</v>
      </c>
      <c r="AB35" s="808">
        <v>0</v>
      </c>
      <c r="AC35" s="706">
        <v>0</v>
      </c>
      <c r="AD35" s="825"/>
      <c r="AE35" s="825"/>
      <c r="AF35" s="825"/>
      <c r="AG35" s="825"/>
      <c r="AH35" s="825"/>
      <c r="AI35" s="825"/>
      <c r="AJ35" s="825"/>
      <c r="AK35" s="825"/>
      <c r="AL35" s="825"/>
      <c r="AM35" s="825"/>
      <c r="AN35" s="825"/>
      <c r="AO35" s="825"/>
      <c r="AP35" s="825"/>
    </row>
    <row r="36" spans="1:42">
      <c r="A36" s="825"/>
      <c r="B36" s="1143" t="s">
        <v>852</v>
      </c>
      <c r="C36" s="1136"/>
      <c r="D36" s="1131" t="s">
        <v>853</v>
      </c>
      <c r="E36" s="825"/>
      <c r="F36" s="1131"/>
      <c r="G36" s="1136"/>
      <c r="H36" s="1136"/>
      <c r="I36" s="825"/>
      <c r="J36" s="825"/>
      <c r="K36" s="825"/>
      <c r="L36" s="1152" t="s">
        <v>210</v>
      </c>
      <c r="M36" s="1152"/>
      <c r="N36" s="1152"/>
      <c r="O36" s="1151" t="s">
        <v>841</v>
      </c>
      <c r="P36" s="825"/>
      <c r="Q36" s="825"/>
      <c r="R36" s="825"/>
      <c r="S36" s="1151" t="s">
        <v>854</v>
      </c>
      <c r="T36" s="705">
        <v>0</v>
      </c>
      <c r="U36" s="706">
        <v>0</v>
      </c>
      <c r="V36" s="706">
        <v>0</v>
      </c>
      <c r="W36" s="706">
        <v>0</v>
      </c>
      <c r="X36" s="706">
        <v>0</v>
      </c>
      <c r="Y36" s="706">
        <v>0</v>
      </c>
      <c r="Z36" s="706">
        <v>0</v>
      </c>
      <c r="AA36" s="707">
        <v>0</v>
      </c>
      <c r="AB36" s="808">
        <v>0</v>
      </c>
      <c r="AC36" s="706">
        <v>0</v>
      </c>
      <c r="AD36" s="825"/>
      <c r="AE36" s="825"/>
      <c r="AF36" s="825"/>
      <c r="AG36" s="825"/>
      <c r="AH36" s="825"/>
      <c r="AI36" s="825"/>
      <c r="AJ36" s="825"/>
      <c r="AK36" s="825"/>
      <c r="AL36" s="825"/>
      <c r="AM36" s="825"/>
      <c r="AN36" s="825"/>
      <c r="AO36" s="825"/>
      <c r="AP36" s="825"/>
    </row>
    <row r="37" spans="1:42" ht="14" thickBot="1">
      <c r="A37" s="825"/>
      <c r="B37" s="1143" t="s">
        <v>855</v>
      </c>
      <c r="C37" s="1136"/>
      <c r="D37" s="1131" t="s">
        <v>856</v>
      </c>
      <c r="E37" s="825"/>
      <c r="F37" s="1131"/>
      <c r="G37" s="1136"/>
      <c r="H37" s="1136"/>
      <c r="I37" s="825"/>
      <c r="J37" s="825"/>
      <c r="K37" s="825"/>
      <c r="L37" s="1152" t="s">
        <v>215</v>
      </c>
      <c r="M37" s="1152"/>
      <c r="N37" s="1152"/>
      <c r="O37" s="1151" t="s">
        <v>841</v>
      </c>
      <c r="P37" s="825"/>
      <c r="Q37" s="825"/>
      <c r="R37" s="825"/>
      <c r="S37" s="1151" t="s">
        <v>857</v>
      </c>
      <c r="T37" s="809">
        <v>5744.0574474325094</v>
      </c>
      <c r="U37" s="810">
        <v>6276.6283464101834</v>
      </c>
      <c r="V37" s="810">
        <v>6918.0718850190706</v>
      </c>
      <c r="W37" s="810">
        <v>6553.4548375891245</v>
      </c>
      <c r="X37" s="810">
        <v>6566.0408988509871</v>
      </c>
      <c r="Y37" s="810">
        <v>6581.6808151083587</v>
      </c>
      <c r="Z37" s="810">
        <v>6600.3313474791921</v>
      </c>
      <c r="AA37" s="811">
        <v>5772.7033958211505</v>
      </c>
      <c r="AB37" s="812">
        <v>4731.8764616998169</v>
      </c>
      <c r="AC37" s="810">
        <v>4391.006066235801</v>
      </c>
      <c r="AD37" s="825"/>
      <c r="AE37" s="825"/>
      <c r="AF37" s="825"/>
      <c r="AG37" s="825"/>
      <c r="AH37" s="825"/>
      <c r="AI37" s="825"/>
      <c r="AJ37" s="825"/>
      <c r="AK37" s="825"/>
      <c r="AL37" s="825"/>
      <c r="AM37" s="825"/>
      <c r="AN37" s="825"/>
      <c r="AO37" s="825"/>
      <c r="AP37" s="825"/>
    </row>
    <row r="38" spans="1:42">
      <c r="A38" s="825"/>
      <c r="B38" s="1143" t="s">
        <v>858</v>
      </c>
      <c r="C38" s="1143"/>
      <c r="D38" s="1131" t="s">
        <v>859</v>
      </c>
      <c r="E38" s="1131"/>
      <c r="F38" s="1131"/>
      <c r="G38" s="1131"/>
      <c r="H38" s="1131"/>
      <c r="I38" s="1131"/>
      <c r="J38" s="1131"/>
      <c r="K38" s="1131"/>
      <c r="L38" s="1152" t="s">
        <v>219</v>
      </c>
      <c r="M38" s="1152"/>
      <c r="N38" s="1152"/>
      <c r="O38" s="1151" t="s">
        <v>860</v>
      </c>
      <c r="P38" s="1131"/>
      <c r="Q38" s="1131"/>
      <c r="R38" s="825"/>
      <c r="S38" s="1151" t="s">
        <v>861</v>
      </c>
      <c r="T38" s="813">
        <v>3235.982</v>
      </c>
      <c r="U38" s="814">
        <v>3235.982</v>
      </c>
      <c r="V38" s="814">
        <v>4209.076</v>
      </c>
      <c r="W38" s="814">
        <v>3828.5509999999995</v>
      </c>
      <c r="X38" s="814">
        <v>3828.5509999999995</v>
      </c>
      <c r="Y38" s="814">
        <v>3428.5509999999995</v>
      </c>
      <c r="Z38" s="814">
        <v>3328.5509999999995</v>
      </c>
      <c r="AA38" s="815">
        <v>3128.5509999999995</v>
      </c>
      <c r="AB38" s="816">
        <v>1799.681</v>
      </c>
      <c r="AC38" s="814">
        <v>1120.0619999999999</v>
      </c>
      <c r="AD38" s="825"/>
      <c r="AE38" s="825"/>
      <c r="AF38" s="825"/>
      <c r="AG38" s="825"/>
      <c r="AH38" s="825"/>
      <c r="AI38" s="825"/>
      <c r="AJ38" s="825"/>
      <c r="AK38" s="825"/>
      <c r="AL38" s="825"/>
      <c r="AM38" s="825"/>
      <c r="AN38" s="825"/>
      <c r="AO38" s="825"/>
      <c r="AP38" s="825"/>
    </row>
    <row r="39" spans="1:42" ht="14" thickBot="1">
      <c r="A39" s="825"/>
      <c r="B39" s="1143" t="s">
        <v>862</v>
      </c>
      <c r="C39" s="1136"/>
      <c r="D39" s="1131" t="s">
        <v>863</v>
      </c>
      <c r="E39" s="825"/>
      <c r="F39" s="1131"/>
      <c r="G39" s="1136"/>
      <c r="H39" s="1136"/>
      <c r="I39" s="1136"/>
      <c r="J39" s="825"/>
      <c r="K39" s="825"/>
      <c r="L39" s="1152" t="s">
        <v>222</v>
      </c>
      <c r="M39" s="1152"/>
      <c r="N39" s="1152"/>
      <c r="O39" s="1151" t="s">
        <v>860</v>
      </c>
      <c r="P39" s="825"/>
      <c r="Q39" s="825"/>
      <c r="R39" s="825"/>
      <c r="S39" s="1151" t="s">
        <v>864</v>
      </c>
      <c r="T39" s="817">
        <v>-3235.982</v>
      </c>
      <c r="U39" s="818">
        <v>-3235.982</v>
      </c>
      <c r="V39" s="818">
        <v>-4209.076</v>
      </c>
      <c r="W39" s="818">
        <v>-3828.5509999999995</v>
      </c>
      <c r="X39" s="818">
        <v>-3828.5509999999995</v>
      </c>
      <c r="Y39" s="818">
        <v>-3428.5509999999995</v>
      </c>
      <c r="Z39" s="818">
        <v>-3328.5509999999995</v>
      </c>
      <c r="AA39" s="819">
        <v>-3128.5509999999995</v>
      </c>
      <c r="AB39" s="820">
        <v>-1799.6809999999998</v>
      </c>
      <c r="AC39" s="818">
        <v>-1120.0619999999999</v>
      </c>
      <c r="AD39" s="825"/>
      <c r="AE39" s="825"/>
      <c r="AF39" s="825"/>
      <c r="AG39" s="825"/>
      <c r="AH39" s="825"/>
      <c r="AI39" s="825"/>
      <c r="AJ39" s="825"/>
      <c r="AK39" s="825"/>
      <c r="AL39" s="825"/>
      <c r="AM39" s="825"/>
      <c r="AN39" s="825"/>
      <c r="AO39" s="825"/>
      <c r="AP39" s="825"/>
    </row>
    <row r="40" spans="1:42">
      <c r="A40" s="825"/>
      <c r="B40" s="1143" t="s">
        <v>865</v>
      </c>
      <c r="C40" s="1136"/>
      <c r="D40" s="1131" t="s">
        <v>216</v>
      </c>
      <c r="E40" s="825"/>
      <c r="F40" s="1131"/>
      <c r="G40" s="1136"/>
      <c r="H40" s="1136"/>
      <c r="I40" s="1136"/>
      <c r="J40" s="825"/>
      <c r="K40" s="825"/>
      <c r="L40" s="1152" t="s">
        <v>216</v>
      </c>
      <c r="M40" s="1152"/>
      <c r="N40" s="1152"/>
      <c r="O40" s="1151" t="s">
        <v>841</v>
      </c>
      <c r="P40" s="825"/>
      <c r="Q40" s="825"/>
      <c r="R40" s="825"/>
      <c r="S40" s="1151" t="s">
        <v>866</v>
      </c>
      <c r="T40" s="821">
        <v>0</v>
      </c>
      <c r="U40" s="822">
        <v>0</v>
      </c>
      <c r="V40" s="822">
        <v>0</v>
      </c>
      <c r="W40" s="822">
        <v>0</v>
      </c>
      <c r="X40" s="822">
        <v>0</v>
      </c>
      <c r="Y40" s="822">
        <v>0</v>
      </c>
      <c r="Z40" s="822">
        <v>0</v>
      </c>
      <c r="AA40" s="823">
        <v>0</v>
      </c>
      <c r="AB40" s="824">
        <v>0</v>
      </c>
      <c r="AC40" s="822">
        <v>0</v>
      </c>
      <c r="AD40" s="825"/>
      <c r="AE40" s="825"/>
      <c r="AF40" s="825"/>
      <c r="AG40" s="825"/>
      <c r="AH40" s="825"/>
      <c r="AI40" s="825"/>
      <c r="AJ40" s="825"/>
      <c r="AK40" s="825"/>
      <c r="AL40" s="825"/>
      <c r="AM40" s="825"/>
      <c r="AN40" s="825"/>
      <c r="AO40" s="825"/>
      <c r="AP40" s="825"/>
    </row>
    <row r="41" spans="1:42">
      <c r="A41" s="825"/>
      <c r="B41" s="1136"/>
      <c r="C41" s="1136"/>
      <c r="D41" s="1153" t="s">
        <v>557</v>
      </c>
      <c r="E41" s="825"/>
      <c r="F41" s="825"/>
      <c r="G41" s="825"/>
      <c r="H41" s="825"/>
      <c r="I41" s="825"/>
      <c r="J41" s="825"/>
      <c r="K41" s="825"/>
      <c r="L41" s="825"/>
      <c r="M41" s="825"/>
      <c r="N41" s="825"/>
      <c r="O41" s="825"/>
      <c r="P41" s="825"/>
      <c r="Q41" s="825"/>
      <c r="R41" s="825"/>
      <c r="S41" s="825"/>
      <c r="T41" s="825" t="s">
        <v>1254</v>
      </c>
      <c r="U41" s="825" t="s">
        <v>1254</v>
      </c>
      <c r="V41" s="825" t="s">
        <v>1254</v>
      </c>
      <c r="W41" s="825" t="s">
        <v>1254</v>
      </c>
      <c r="X41" s="825" t="s">
        <v>1254</v>
      </c>
      <c r="Y41" s="825" t="s">
        <v>1254</v>
      </c>
      <c r="Z41" s="825" t="s">
        <v>1254</v>
      </c>
      <c r="AA41" s="826" t="s">
        <v>1254</v>
      </c>
      <c r="AB41" s="825" t="s">
        <v>1254</v>
      </c>
      <c r="AC41" s="825" t="s">
        <v>1254</v>
      </c>
      <c r="AD41" s="825"/>
      <c r="AE41" s="825"/>
      <c r="AF41" s="825"/>
      <c r="AG41" s="825"/>
      <c r="AH41" s="825"/>
      <c r="AI41" s="825"/>
      <c r="AJ41" s="825"/>
      <c r="AK41" s="825"/>
      <c r="AL41" s="825"/>
      <c r="AM41" s="825"/>
      <c r="AN41" s="825"/>
      <c r="AO41" s="825"/>
      <c r="AP41" s="825"/>
    </row>
    <row r="42" spans="1:42">
      <c r="A42" s="825"/>
      <c r="B42" s="1136"/>
      <c r="C42" s="1136"/>
      <c r="D42" s="825"/>
      <c r="E42" s="825"/>
      <c r="F42" s="1136"/>
      <c r="G42" s="1136"/>
      <c r="H42" s="1136"/>
      <c r="I42" s="1136"/>
      <c r="J42" s="825"/>
      <c r="K42" s="825"/>
      <c r="L42" s="825"/>
      <c r="M42" s="825"/>
      <c r="N42" s="825"/>
      <c r="O42" s="825"/>
      <c r="P42" s="825"/>
      <c r="Q42" s="825"/>
      <c r="R42" s="825"/>
      <c r="S42" s="825"/>
      <c r="T42" s="1154"/>
      <c r="U42" s="1154"/>
      <c r="V42" s="1154"/>
      <c r="W42" s="1154"/>
      <c r="X42" s="1154"/>
      <c r="Y42" s="1154"/>
      <c r="Z42" s="1154"/>
      <c r="AA42" s="825"/>
      <c r="AB42" s="835"/>
      <c r="AC42" s="825"/>
      <c r="AD42" s="825"/>
      <c r="AE42" s="825"/>
      <c r="AF42" s="825"/>
      <c r="AG42" s="825"/>
      <c r="AH42" s="825"/>
      <c r="AI42" s="825"/>
      <c r="AJ42" s="825"/>
      <c r="AK42" s="825"/>
      <c r="AL42" s="825"/>
      <c r="AM42" s="825"/>
      <c r="AN42" s="825"/>
      <c r="AO42" s="825"/>
      <c r="AP42" s="825"/>
    </row>
    <row r="43" spans="1:42">
      <c r="A43" s="825"/>
      <c r="B43" s="1136"/>
      <c r="C43" s="1136"/>
      <c r="D43" s="825"/>
      <c r="E43" s="825"/>
      <c r="F43" s="825"/>
      <c r="G43" s="825"/>
      <c r="H43" s="825"/>
      <c r="I43" s="825"/>
      <c r="J43" s="825"/>
      <c r="K43" s="825"/>
      <c r="L43" s="825"/>
      <c r="M43" s="825"/>
      <c r="N43" s="825"/>
      <c r="O43" s="825"/>
      <c r="P43" s="825"/>
      <c r="Q43" s="825"/>
      <c r="R43" s="825"/>
      <c r="S43" s="1155" t="s">
        <v>867</v>
      </c>
      <c r="T43" s="700">
        <v>6573.8163318594234</v>
      </c>
      <c r="U43" s="701">
        <v>6724.3492342257887</v>
      </c>
      <c r="V43" s="701">
        <v>7074.272281979197</v>
      </c>
      <c r="W43" s="701">
        <v>6903.6423017448724</v>
      </c>
      <c r="X43" s="701">
        <v>7056.040898850988</v>
      </c>
      <c r="Y43" s="701">
        <v>6671.6808151083587</v>
      </c>
      <c r="Z43" s="701">
        <v>6690.3313474791921</v>
      </c>
      <c r="AA43" s="702">
        <v>5862.7033958211505</v>
      </c>
      <c r="AB43" s="827">
        <v>4821.8764616998169</v>
      </c>
      <c r="AC43" s="701">
        <v>4331.006066235801</v>
      </c>
      <c r="AD43" s="825"/>
      <c r="AE43" s="825"/>
      <c r="AF43" s="825"/>
      <c r="AG43" s="825"/>
      <c r="AH43" s="825"/>
      <c r="AI43" s="825"/>
      <c r="AJ43" s="825"/>
      <c r="AK43" s="825"/>
      <c r="AL43" s="825"/>
      <c r="AM43" s="825"/>
      <c r="AN43" s="825"/>
      <c r="AO43" s="825"/>
      <c r="AP43" s="825"/>
    </row>
    <row r="44" spans="1:42">
      <c r="A44" s="825"/>
      <c r="B44" s="1136"/>
      <c r="C44" s="1136"/>
      <c r="D44" s="825"/>
      <c r="E44" s="825"/>
      <c r="F44" s="825"/>
      <c r="G44" s="825"/>
      <c r="H44" s="825"/>
      <c r="I44" s="825"/>
      <c r="J44" s="825"/>
      <c r="K44" s="825"/>
      <c r="L44" s="825"/>
      <c r="M44" s="825"/>
      <c r="N44" s="825"/>
      <c r="O44" s="825"/>
      <c r="P44" s="825"/>
      <c r="Q44" s="825"/>
      <c r="R44" s="825"/>
      <c r="S44" s="825"/>
      <c r="T44" s="825"/>
      <c r="U44" s="825"/>
      <c r="V44" s="825"/>
      <c r="W44" s="825"/>
      <c r="X44" s="825"/>
      <c r="Y44" s="825"/>
      <c r="Z44" s="825"/>
      <c r="AA44" s="825"/>
      <c r="AB44" s="835"/>
      <c r="AC44" s="825"/>
      <c r="AD44" s="825"/>
      <c r="AE44" s="825"/>
      <c r="AF44" s="825"/>
      <c r="AG44" s="825"/>
      <c r="AH44" s="825"/>
      <c r="AI44" s="825"/>
      <c r="AJ44" s="825"/>
      <c r="AK44" s="825"/>
      <c r="AL44" s="825"/>
      <c r="AM44" s="825"/>
      <c r="AN44" s="825"/>
      <c r="AO44" s="825"/>
      <c r="AP44" s="825"/>
    </row>
    <row r="45" spans="1:42" ht="16">
      <c r="A45" s="825"/>
      <c r="B45" s="1125" t="s">
        <v>868</v>
      </c>
      <c r="C45" s="1125"/>
      <c r="D45" s="1126"/>
      <c r="E45" s="1126"/>
      <c r="F45" s="1126"/>
      <c r="G45" s="1126"/>
      <c r="H45" s="1126"/>
      <c r="I45" s="1126"/>
      <c r="J45" s="1126"/>
      <c r="K45" s="1126"/>
      <c r="L45" s="1126"/>
      <c r="M45" s="1126"/>
      <c r="N45" s="1126"/>
      <c r="O45" s="1126"/>
      <c r="P45" s="1126"/>
      <c r="Q45" s="1126"/>
      <c r="R45" s="825"/>
      <c r="S45" s="825"/>
      <c r="T45" s="825"/>
      <c r="U45" s="825"/>
      <c r="V45" s="825"/>
      <c r="W45" s="825"/>
      <c r="X45" s="825"/>
      <c r="Y45" s="825"/>
      <c r="Z45" s="825"/>
      <c r="AA45" s="825"/>
      <c r="AB45" s="835"/>
      <c r="AC45" s="825"/>
      <c r="AD45" s="825"/>
      <c r="AE45" s="825"/>
      <c r="AF45" s="825"/>
      <c r="AG45" s="825"/>
      <c r="AH45" s="825"/>
      <c r="AI45" s="825"/>
      <c r="AJ45" s="825"/>
      <c r="AK45" s="825"/>
      <c r="AL45" s="825"/>
      <c r="AM45" s="825"/>
      <c r="AN45" s="825"/>
      <c r="AO45" s="825"/>
      <c r="AP45" s="825"/>
    </row>
    <row r="46" spans="1:42">
      <c r="A46" s="825"/>
      <c r="B46" s="1136"/>
      <c r="C46" s="1136"/>
      <c r="D46" s="825"/>
      <c r="E46" s="825"/>
      <c r="F46" s="825"/>
      <c r="G46" s="825"/>
      <c r="H46" s="825"/>
      <c r="I46" s="825"/>
      <c r="J46" s="825"/>
      <c r="K46" s="825"/>
      <c r="L46" s="825"/>
      <c r="M46" s="825"/>
      <c r="N46" s="825"/>
      <c r="O46" s="825"/>
      <c r="P46" s="825"/>
      <c r="Q46" s="825"/>
      <c r="R46" s="825"/>
      <c r="S46" s="825"/>
      <c r="T46" s="825"/>
      <c r="U46" s="825"/>
      <c r="V46" s="825"/>
      <c r="W46" s="825"/>
      <c r="X46" s="825"/>
      <c r="Y46" s="825"/>
      <c r="Z46" s="825"/>
      <c r="AA46" s="825"/>
      <c r="AB46" s="835"/>
      <c r="AC46" s="825"/>
      <c r="AD46" s="825"/>
      <c r="AE46" s="825"/>
      <c r="AF46" s="825"/>
      <c r="AG46" s="825"/>
      <c r="AH46" s="825"/>
      <c r="AI46" s="825"/>
      <c r="AJ46" s="825"/>
      <c r="AK46" s="825"/>
      <c r="AL46" s="825"/>
      <c r="AM46" s="825"/>
      <c r="AN46" s="825"/>
      <c r="AO46" s="825"/>
      <c r="AP46" s="825"/>
    </row>
    <row r="47" spans="1:42">
      <c r="A47" s="825"/>
      <c r="B47" s="1136"/>
      <c r="C47" s="1136"/>
      <c r="D47" s="1156" t="s">
        <v>869</v>
      </c>
      <c r="E47" s="1156"/>
      <c r="F47" s="1157"/>
      <c r="G47" s="1157"/>
      <c r="H47" s="1157"/>
      <c r="I47" s="1157"/>
      <c r="J47" s="1157"/>
      <c r="K47" s="1157"/>
      <c r="L47" s="1157"/>
      <c r="M47" s="1157"/>
      <c r="N47" s="1157"/>
      <c r="O47" s="1157"/>
      <c r="P47" s="1157"/>
      <c r="Q47" s="1157"/>
      <c r="R47" s="1157"/>
      <c r="S47" s="825"/>
      <c r="T47" s="1157"/>
      <c r="U47" s="825"/>
      <c r="V47" s="825"/>
      <c r="W47" s="825"/>
      <c r="X47" s="825"/>
      <c r="Y47" s="825"/>
      <c r="Z47" s="825"/>
      <c r="AA47" s="825"/>
      <c r="AB47" s="835"/>
      <c r="AC47" s="825"/>
      <c r="AD47" s="825"/>
      <c r="AE47" s="825"/>
      <c r="AF47" s="825"/>
      <c r="AG47" s="825"/>
      <c r="AH47" s="825"/>
      <c r="AI47" s="825"/>
      <c r="AJ47" s="825"/>
      <c r="AK47" s="825"/>
      <c r="AL47" s="825"/>
      <c r="AM47" s="825"/>
      <c r="AN47" s="825"/>
      <c r="AO47" s="825"/>
      <c r="AP47" s="825"/>
    </row>
    <row r="48" spans="1:42">
      <c r="A48" s="825"/>
      <c r="B48" s="1143" t="s">
        <v>822</v>
      </c>
      <c r="C48" s="1143"/>
      <c r="D48" s="1380"/>
      <c r="E48" s="1381"/>
      <c r="F48" s="1381"/>
      <c r="G48" s="1381"/>
      <c r="H48" s="1381"/>
      <c r="I48" s="1381"/>
      <c r="J48" s="1381"/>
      <c r="K48" s="1381"/>
      <c r="L48" s="1381"/>
      <c r="M48" s="1381"/>
      <c r="N48" s="1381"/>
      <c r="O48" s="1381"/>
      <c r="P48" s="1381"/>
      <c r="Q48" s="1382"/>
      <c r="R48" s="1157"/>
      <c r="S48" s="825"/>
      <c r="T48" s="1157"/>
      <c r="U48" s="825"/>
      <c r="V48" s="825"/>
      <c r="W48" s="825"/>
      <c r="X48" s="825"/>
      <c r="Y48" s="825"/>
      <c r="Z48" s="825"/>
      <c r="AA48" s="825"/>
      <c r="AB48" s="835"/>
      <c r="AC48" s="825"/>
      <c r="AD48" s="825"/>
      <c r="AE48" s="825"/>
      <c r="AF48" s="825"/>
      <c r="AG48" s="825"/>
      <c r="AH48" s="825"/>
      <c r="AI48" s="825"/>
      <c r="AJ48" s="825"/>
      <c r="AK48" s="825"/>
      <c r="AL48" s="825"/>
      <c r="AM48" s="825"/>
      <c r="AN48" s="825"/>
      <c r="AO48" s="825"/>
      <c r="AP48" s="825"/>
    </row>
    <row r="49" spans="1:42">
      <c r="A49" s="825"/>
      <c r="B49" s="1143" t="s">
        <v>839</v>
      </c>
      <c r="C49" s="1143"/>
      <c r="D49" s="1380"/>
      <c r="E49" s="1381"/>
      <c r="F49" s="1381"/>
      <c r="G49" s="1381"/>
      <c r="H49" s="1381"/>
      <c r="I49" s="1381"/>
      <c r="J49" s="1381"/>
      <c r="K49" s="1381"/>
      <c r="L49" s="1381"/>
      <c r="M49" s="1381"/>
      <c r="N49" s="1381"/>
      <c r="O49" s="1381"/>
      <c r="P49" s="1381"/>
      <c r="Q49" s="1382"/>
      <c r="R49" s="1157"/>
      <c r="S49" s="825"/>
      <c r="T49" s="1157"/>
      <c r="U49" s="825"/>
      <c r="V49" s="825"/>
      <c r="W49" s="825"/>
      <c r="X49" s="825"/>
      <c r="Y49" s="825"/>
      <c r="Z49" s="825"/>
      <c r="AA49" s="825"/>
      <c r="AB49" s="835"/>
      <c r="AC49" s="825"/>
      <c r="AD49" s="825"/>
      <c r="AE49" s="825"/>
      <c r="AF49" s="825"/>
      <c r="AG49" s="825"/>
      <c r="AH49" s="825"/>
      <c r="AI49" s="825"/>
      <c r="AJ49" s="825"/>
      <c r="AK49" s="825"/>
      <c r="AL49" s="825"/>
      <c r="AM49" s="825"/>
      <c r="AN49" s="825"/>
      <c r="AO49" s="825"/>
      <c r="AP49" s="825"/>
    </row>
    <row r="50" spans="1:42">
      <c r="A50" s="825"/>
      <c r="B50" s="1143" t="s">
        <v>843</v>
      </c>
      <c r="C50" s="1143"/>
      <c r="D50" s="1380"/>
      <c r="E50" s="1381"/>
      <c r="F50" s="1381"/>
      <c r="G50" s="1381"/>
      <c r="H50" s="1381"/>
      <c r="I50" s="1381"/>
      <c r="J50" s="1381"/>
      <c r="K50" s="1381"/>
      <c r="L50" s="1381"/>
      <c r="M50" s="1381"/>
      <c r="N50" s="1381"/>
      <c r="O50" s="1381"/>
      <c r="P50" s="1381"/>
      <c r="Q50" s="1382"/>
      <c r="R50" s="1157"/>
      <c r="S50" s="825"/>
      <c r="T50" s="1157"/>
      <c r="U50" s="825"/>
      <c r="V50" s="825"/>
      <c r="W50" s="825"/>
      <c r="X50" s="825"/>
      <c r="Y50" s="825"/>
      <c r="Z50" s="825"/>
      <c r="AA50" s="825"/>
      <c r="AB50" s="835"/>
      <c r="AC50" s="825"/>
      <c r="AD50" s="825"/>
      <c r="AE50" s="825"/>
      <c r="AF50" s="825"/>
      <c r="AG50" s="825"/>
      <c r="AH50" s="825"/>
      <c r="AI50" s="825"/>
      <c r="AJ50" s="825"/>
      <c r="AK50" s="825"/>
      <c r="AL50" s="825"/>
      <c r="AM50" s="825"/>
      <c r="AN50" s="825"/>
      <c r="AO50" s="825"/>
      <c r="AP50" s="825"/>
    </row>
    <row r="51" spans="1:42">
      <c r="A51" s="825"/>
      <c r="B51" s="1143" t="s">
        <v>846</v>
      </c>
      <c r="C51" s="1143"/>
      <c r="D51" s="1380"/>
      <c r="E51" s="1381"/>
      <c r="F51" s="1381"/>
      <c r="G51" s="1381"/>
      <c r="H51" s="1381"/>
      <c r="I51" s="1381"/>
      <c r="J51" s="1381"/>
      <c r="K51" s="1381"/>
      <c r="L51" s="1381"/>
      <c r="M51" s="1381"/>
      <c r="N51" s="1381"/>
      <c r="O51" s="1381"/>
      <c r="P51" s="1381"/>
      <c r="Q51" s="1382"/>
      <c r="R51" s="1157"/>
      <c r="S51" s="825"/>
      <c r="T51" s="1157"/>
      <c r="U51" s="825"/>
      <c r="V51" s="825"/>
      <c r="W51" s="825"/>
      <c r="X51" s="825"/>
      <c r="Y51" s="825"/>
      <c r="Z51" s="825"/>
      <c r="AA51" s="825"/>
      <c r="AB51" s="835"/>
      <c r="AC51" s="825"/>
      <c r="AD51" s="825"/>
      <c r="AE51" s="825"/>
      <c r="AF51" s="825"/>
      <c r="AG51" s="825"/>
      <c r="AH51" s="825"/>
      <c r="AI51" s="825"/>
      <c r="AJ51" s="825"/>
      <c r="AK51" s="825"/>
      <c r="AL51" s="825"/>
      <c r="AM51" s="825"/>
      <c r="AN51" s="825"/>
      <c r="AO51" s="825"/>
      <c r="AP51" s="825"/>
    </row>
    <row r="52" spans="1:42">
      <c r="A52" s="825"/>
      <c r="B52" s="1143" t="s">
        <v>849</v>
      </c>
      <c r="C52" s="1143"/>
      <c r="D52" s="1380"/>
      <c r="E52" s="1381"/>
      <c r="F52" s="1381"/>
      <c r="G52" s="1381"/>
      <c r="H52" s="1381"/>
      <c r="I52" s="1381"/>
      <c r="J52" s="1381"/>
      <c r="K52" s="1381"/>
      <c r="L52" s="1381"/>
      <c r="M52" s="1381"/>
      <c r="N52" s="1381"/>
      <c r="O52" s="1381"/>
      <c r="P52" s="1381"/>
      <c r="Q52" s="1382"/>
      <c r="R52" s="1157"/>
      <c r="S52" s="825"/>
      <c r="T52" s="1157"/>
      <c r="U52" s="825"/>
      <c r="V52" s="825"/>
      <c r="W52" s="825"/>
      <c r="X52" s="825"/>
      <c r="Y52" s="825"/>
      <c r="Z52" s="825"/>
      <c r="AA52" s="825"/>
      <c r="AB52" s="835"/>
      <c r="AC52" s="825"/>
      <c r="AD52" s="825"/>
      <c r="AE52" s="825"/>
      <c r="AF52" s="825"/>
      <c r="AG52" s="825"/>
      <c r="AH52" s="825"/>
      <c r="AI52" s="825"/>
      <c r="AJ52" s="825"/>
      <c r="AK52" s="825"/>
      <c r="AL52" s="825"/>
      <c r="AM52" s="825"/>
      <c r="AN52" s="825"/>
      <c r="AO52" s="825"/>
      <c r="AP52" s="825"/>
    </row>
    <row r="53" spans="1:42">
      <c r="A53" s="825"/>
      <c r="B53" s="1143" t="s">
        <v>852</v>
      </c>
      <c r="C53" s="1143"/>
      <c r="D53" s="1380"/>
      <c r="E53" s="1381"/>
      <c r="F53" s="1381"/>
      <c r="G53" s="1381"/>
      <c r="H53" s="1381"/>
      <c r="I53" s="1381"/>
      <c r="J53" s="1381"/>
      <c r="K53" s="1381"/>
      <c r="L53" s="1381"/>
      <c r="M53" s="1381"/>
      <c r="N53" s="1381"/>
      <c r="O53" s="1381"/>
      <c r="P53" s="1381"/>
      <c r="Q53" s="1382"/>
      <c r="R53" s="1157"/>
      <c r="S53" s="825"/>
      <c r="T53" s="1157"/>
      <c r="U53" s="825"/>
      <c r="V53" s="825"/>
      <c r="W53" s="825"/>
      <c r="X53" s="825"/>
      <c r="Y53" s="825"/>
      <c r="Z53" s="825"/>
      <c r="AA53" s="825"/>
      <c r="AB53" s="835"/>
      <c r="AC53" s="825"/>
      <c r="AD53" s="825"/>
      <c r="AE53" s="825"/>
      <c r="AF53" s="825"/>
      <c r="AG53" s="825"/>
      <c r="AH53" s="825"/>
      <c r="AI53" s="825"/>
      <c r="AJ53" s="825"/>
      <c r="AK53" s="825"/>
      <c r="AL53" s="825"/>
      <c r="AM53" s="825"/>
      <c r="AN53" s="825"/>
      <c r="AO53" s="825"/>
      <c r="AP53" s="825"/>
    </row>
    <row r="54" spans="1:42">
      <c r="A54" s="825"/>
      <c r="B54" s="1143" t="s">
        <v>855</v>
      </c>
      <c r="C54" s="1143"/>
      <c r="D54" s="1380"/>
      <c r="E54" s="1381"/>
      <c r="F54" s="1381"/>
      <c r="G54" s="1381"/>
      <c r="H54" s="1381"/>
      <c r="I54" s="1381"/>
      <c r="J54" s="1381"/>
      <c r="K54" s="1381"/>
      <c r="L54" s="1381"/>
      <c r="M54" s="1381"/>
      <c r="N54" s="1381"/>
      <c r="O54" s="1381"/>
      <c r="P54" s="1381"/>
      <c r="Q54" s="1382"/>
      <c r="R54" s="1157"/>
      <c r="S54" s="825"/>
      <c r="T54" s="1157"/>
      <c r="U54" s="825"/>
      <c r="V54" s="825"/>
      <c r="W54" s="825"/>
      <c r="X54" s="825"/>
      <c r="Y54" s="825"/>
      <c r="Z54" s="825"/>
      <c r="AA54" s="825"/>
      <c r="AB54" s="835"/>
      <c r="AC54" s="825"/>
      <c r="AD54" s="825"/>
      <c r="AE54" s="825"/>
      <c r="AF54" s="825"/>
      <c r="AG54" s="825"/>
      <c r="AH54" s="825"/>
      <c r="AI54" s="825"/>
      <c r="AJ54" s="825"/>
      <c r="AK54" s="825"/>
      <c r="AL54" s="825"/>
      <c r="AM54" s="825"/>
      <c r="AN54" s="825"/>
      <c r="AO54" s="825"/>
      <c r="AP54" s="825"/>
    </row>
    <row r="55" spans="1:42">
      <c r="A55" s="825"/>
      <c r="B55" s="1143" t="s">
        <v>870</v>
      </c>
      <c r="C55" s="1143"/>
      <c r="D55" s="1380"/>
      <c r="E55" s="1381"/>
      <c r="F55" s="1381"/>
      <c r="G55" s="1381"/>
      <c r="H55" s="1381"/>
      <c r="I55" s="1381"/>
      <c r="J55" s="1381"/>
      <c r="K55" s="1381"/>
      <c r="L55" s="1381"/>
      <c r="M55" s="1381"/>
      <c r="N55" s="1381"/>
      <c r="O55" s="1381"/>
      <c r="P55" s="1381"/>
      <c r="Q55" s="1382"/>
      <c r="R55" s="1157"/>
      <c r="S55" s="825"/>
      <c r="T55" s="1157"/>
      <c r="U55" s="825"/>
      <c r="V55" s="825"/>
      <c r="W55" s="825"/>
      <c r="X55" s="825"/>
      <c r="Y55" s="825"/>
      <c r="Z55" s="825"/>
      <c r="AA55" s="825"/>
      <c r="AB55" s="835"/>
      <c r="AC55" s="825"/>
      <c r="AD55" s="825"/>
      <c r="AE55" s="825"/>
      <c r="AF55" s="825"/>
      <c r="AG55" s="825"/>
      <c r="AH55" s="825"/>
      <c r="AI55" s="825"/>
      <c r="AJ55" s="825"/>
      <c r="AK55" s="825"/>
      <c r="AL55" s="825"/>
      <c r="AM55" s="825"/>
      <c r="AN55" s="825"/>
      <c r="AO55" s="825"/>
      <c r="AP55" s="825"/>
    </row>
    <row r="56" spans="1:42">
      <c r="A56" s="825"/>
      <c r="B56" s="1143" t="s">
        <v>862</v>
      </c>
      <c r="C56" s="1143"/>
      <c r="D56" s="1380"/>
      <c r="E56" s="1381"/>
      <c r="F56" s="1381"/>
      <c r="G56" s="1381"/>
      <c r="H56" s="1381"/>
      <c r="I56" s="1381"/>
      <c r="J56" s="1381"/>
      <c r="K56" s="1381"/>
      <c r="L56" s="1381"/>
      <c r="M56" s="1381"/>
      <c r="N56" s="1381"/>
      <c r="O56" s="1381"/>
      <c r="P56" s="1381"/>
      <c r="Q56" s="1382"/>
      <c r="R56" s="1157"/>
      <c r="S56" s="825"/>
      <c r="T56" s="1157"/>
      <c r="U56" s="825"/>
      <c r="V56" s="825"/>
      <c r="W56" s="825"/>
      <c r="X56" s="825"/>
      <c r="Y56" s="825"/>
      <c r="Z56" s="825"/>
      <c r="AA56" s="825"/>
      <c r="AB56" s="835"/>
      <c r="AC56" s="825"/>
      <c r="AD56" s="825"/>
      <c r="AE56" s="825"/>
      <c r="AF56" s="825"/>
      <c r="AG56" s="825"/>
      <c r="AH56" s="825"/>
      <c r="AI56" s="825"/>
      <c r="AJ56" s="825"/>
      <c r="AK56" s="825"/>
      <c r="AL56" s="825"/>
      <c r="AM56" s="825"/>
      <c r="AN56" s="825"/>
      <c r="AO56" s="825"/>
      <c r="AP56" s="825"/>
    </row>
    <row r="57" spans="1:42">
      <c r="A57" s="825"/>
      <c r="B57" s="1143" t="s">
        <v>865</v>
      </c>
      <c r="C57" s="1143"/>
      <c r="D57" s="1380"/>
      <c r="E57" s="1381"/>
      <c r="F57" s="1381"/>
      <c r="G57" s="1381"/>
      <c r="H57" s="1381"/>
      <c r="I57" s="1381"/>
      <c r="J57" s="1381"/>
      <c r="K57" s="1381"/>
      <c r="L57" s="1381"/>
      <c r="M57" s="1381"/>
      <c r="N57" s="1381"/>
      <c r="O57" s="1381"/>
      <c r="P57" s="1381"/>
      <c r="Q57" s="1382"/>
      <c r="R57" s="1157"/>
      <c r="S57" s="825"/>
      <c r="T57" s="1157"/>
      <c r="U57" s="825"/>
      <c r="V57" s="825"/>
      <c r="W57" s="825"/>
      <c r="X57" s="825"/>
      <c r="Y57" s="825"/>
      <c r="Z57" s="825"/>
      <c r="AA57" s="825"/>
      <c r="AB57" s="835"/>
      <c r="AC57" s="825"/>
      <c r="AD57" s="825"/>
      <c r="AE57" s="825"/>
      <c r="AF57" s="825"/>
      <c r="AG57" s="825"/>
      <c r="AH57" s="825"/>
      <c r="AI57" s="825"/>
      <c r="AJ57" s="825"/>
      <c r="AK57" s="825"/>
      <c r="AL57" s="825"/>
      <c r="AM57" s="825"/>
      <c r="AN57" s="825"/>
      <c r="AO57" s="825"/>
      <c r="AP57" s="825"/>
    </row>
    <row r="58" spans="1:42">
      <c r="A58" s="825"/>
      <c r="B58" s="1136"/>
      <c r="C58" s="1136"/>
      <c r="D58" s="825"/>
      <c r="E58" s="825"/>
      <c r="F58" s="825"/>
      <c r="G58" s="825"/>
      <c r="H58" s="825"/>
      <c r="I58" s="825"/>
      <c r="J58" s="825"/>
      <c r="K58" s="825"/>
      <c r="L58" s="825"/>
      <c r="M58" s="825"/>
      <c r="N58" s="825"/>
      <c r="O58" s="825"/>
      <c r="P58" s="825"/>
      <c r="Q58" s="825"/>
      <c r="R58" s="825"/>
      <c r="S58" s="825"/>
      <c r="T58" s="825"/>
      <c r="U58" s="825"/>
      <c r="V58" s="825"/>
      <c r="W58" s="825"/>
      <c r="X58" s="825"/>
      <c r="Y58" s="825"/>
      <c r="Z58" s="825"/>
      <c r="AA58" s="825"/>
      <c r="AB58" s="835"/>
      <c r="AC58" s="825"/>
      <c r="AD58" s="825"/>
      <c r="AE58" s="825"/>
      <c r="AF58" s="825"/>
      <c r="AG58" s="825"/>
      <c r="AH58" s="825"/>
      <c r="AI58" s="825"/>
      <c r="AJ58" s="825"/>
      <c r="AK58" s="825"/>
      <c r="AL58" s="825"/>
      <c r="AM58" s="825"/>
      <c r="AN58" s="825"/>
      <c r="AO58" s="825"/>
      <c r="AP58" s="825"/>
    </row>
    <row r="59" spans="1:42">
      <c r="A59" s="825"/>
      <c r="B59" s="1136"/>
      <c r="C59" s="1136"/>
      <c r="D59" s="1156" t="s">
        <v>793</v>
      </c>
      <c r="E59" s="1156"/>
      <c r="S59" s="825"/>
      <c r="T59" s="1145" t="s">
        <v>711</v>
      </c>
      <c r="U59" s="1146" t="s">
        <v>711</v>
      </c>
      <c r="V59" s="1146" t="s">
        <v>711</v>
      </c>
      <c r="W59" s="1146" t="s">
        <v>711</v>
      </c>
      <c r="X59" s="1146" t="s">
        <v>711</v>
      </c>
      <c r="Y59" s="1146" t="s">
        <v>711</v>
      </c>
      <c r="Z59" s="1146" t="s">
        <v>711</v>
      </c>
      <c r="AA59" s="1147" t="s">
        <v>711</v>
      </c>
      <c r="AB59" s="1148" t="s">
        <v>711</v>
      </c>
      <c r="AC59" s="1146" t="s">
        <v>711</v>
      </c>
      <c r="AD59" s="825"/>
      <c r="AE59" s="825"/>
      <c r="AF59" s="825"/>
      <c r="AG59" s="825"/>
      <c r="AH59" s="825"/>
      <c r="AI59" s="825"/>
      <c r="AJ59" s="825"/>
      <c r="AK59" s="825"/>
      <c r="AL59" s="825"/>
      <c r="AM59" s="825"/>
      <c r="AN59" s="825"/>
      <c r="AO59" s="825"/>
      <c r="AP59" s="825"/>
    </row>
    <row r="60" spans="1:42">
      <c r="A60" s="825"/>
      <c r="B60" s="1136"/>
      <c r="C60" s="1136"/>
      <c r="D60" s="1369" t="s">
        <v>867</v>
      </c>
      <c r="E60" s="1369"/>
      <c r="F60" s="1369"/>
      <c r="G60" s="1369"/>
      <c r="H60" s="1369"/>
      <c r="I60" s="1369"/>
      <c r="J60" s="1369"/>
      <c r="K60" s="1369"/>
      <c r="L60" s="1369"/>
      <c r="M60" s="1369"/>
      <c r="N60" s="1369"/>
      <c r="O60" s="1369"/>
      <c r="P60" s="1369"/>
      <c r="Q60" s="1369"/>
      <c r="R60" s="1369"/>
      <c r="S60" s="825"/>
      <c r="T60" s="768">
        <v>6573.8163318594234</v>
      </c>
      <c r="U60" s="828">
        <v>6724.3492342257887</v>
      </c>
      <c r="V60" s="828">
        <v>7074.272281979197</v>
      </c>
      <c r="W60" s="828">
        <v>6903.6423017448724</v>
      </c>
      <c r="X60" s="828">
        <v>7056.040898850988</v>
      </c>
      <c r="Y60" s="828">
        <v>6671.6808151083587</v>
      </c>
      <c r="Z60" s="828">
        <v>6690.3313474791921</v>
      </c>
      <c r="AA60" s="829">
        <v>5862.7033958211505</v>
      </c>
      <c r="AB60" s="830">
        <v>4821.8764616998169</v>
      </c>
      <c r="AC60" s="828">
        <v>4331.006066235801</v>
      </c>
      <c r="AD60" s="825"/>
      <c r="AE60" s="825"/>
      <c r="AF60" s="825"/>
      <c r="AG60" s="825"/>
      <c r="AH60" s="825"/>
      <c r="AI60" s="825"/>
      <c r="AJ60" s="825"/>
      <c r="AK60" s="825"/>
      <c r="AL60" s="825"/>
      <c r="AM60" s="825"/>
      <c r="AN60" s="825"/>
      <c r="AO60" s="825"/>
      <c r="AP60" s="825"/>
    </row>
    <row r="61" spans="1:42">
      <c r="A61" s="825"/>
      <c r="B61" s="1136"/>
      <c r="C61" s="1136"/>
      <c r="D61" s="1369" t="s">
        <v>871</v>
      </c>
      <c r="E61" s="1369"/>
      <c r="F61" s="1369"/>
      <c r="G61" s="1369"/>
      <c r="H61" s="1369"/>
      <c r="I61" s="1369"/>
      <c r="J61" s="1369"/>
      <c r="K61" s="1369"/>
      <c r="L61" s="1369"/>
      <c r="M61" s="1369"/>
      <c r="N61" s="1369"/>
      <c r="O61" s="1369"/>
      <c r="P61" s="1369"/>
      <c r="Q61" s="1369"/>
      <c r="R61" s="1369"/>
      <c r="S61" s="825"/>
      <c r="T61" s="90">
        <v>0</v>
      </c>
      <c r="U61" s="90">
        <v>0</v>
      </c>
      <c r="V61" s="90">
        <v>0</v>
      </c>
      <c r="W61" s="90">
        <v>0</v>
      </c>
      <c r="X61" s="90">
        <v>0</v>
      </c>
      <c r="Y61" s="90">
        <v>0</v>
      </c>
      <c r="Z61" s="90">
        <v>0</v>
      </c>
      <c r="AA61" s="90">
        <v>0</v>
      </c>
      <c r="AB61" s="90">
        <v>0</v>
      </c>
      <c r="AC61" s="90">
        <v>0</v>
      </c>
      <c r="AD61" s="825"/>
      <c r="AE61" s="825"/>
      <c r="AF61" s="825"/>
      <c r="AG61" s="825"/>
      <c r="AH61" s="825"/>
      <c r="AI61" s="825"/>
      <c r="AJ61" s="825"/>
      <c r="AK61" s="825"/>
      <c r="AL61" s="825"/>
      <c r="AM61" s="825"/>
      <c r="AN61" s="825"/>
      <c r="AO61" s="825"/>
      <c r="AP61" s="825"/>
    </row>
    <row r="62" spans="1:42" ht="12.75" customHeight="1">
      <c r="A62" s="825"/>
      <c r="B62" s="1136"/>
      <c r="C62" s="1136"/>
      <c r="D62" s="1369" t="s">
        <v>872</v>
      </c>
      <c r="E62" s="1369"/>
      <c r="F62" s="1369"/>
      <c r="G62" s="1369"/>
      <c r="H62" s="1369"/>
      <c r="I62" s="1369"/>
      <c r="J62" s="1369"/>
      <c r="K62" s="1369"/>
      <c r="L62" s="1369"/>
      <c r="M62" s="1369"/>
      <c r="N62" s="1369"/>
      <c r="O62" s="1369"/>
      <c r="P62" s="1369"/>
      <c r="Q62" s="1369"/>
      <c r="R62" s="1369"/>
      <c r="S62" s="825"/>
      <c r="T62" s="90">
        <v>0</v>
      </c>
      <c r="U62" s="90">
        <v>0</v>
      </c>
      <c r="V62" s="90">
        <v>0</v>
      </c>
      <c r="W62" s="90">
        <v>0</v>
      </c>
      <c r="X62" s="90">
        <v>0</v>
      </c>
      <c r="Y62" s="90">
        <v>0</v>
      </c>
      <c r="Z62" s="90">
        <v>0</v>
      </c>
      <c r="AA62" s="90">
        <v>0</v>
      </c>
      <c r="AB62" s="90">
        <v>0</v>
      </c>
      <c r="AC62" s="90">
        <v>0</v>
      </c>
      <c r="AD62" s="825"/>
      <c r="AE62" s="825"/>
      <c r="AF62" s="825"/>
      <c r="AG62" s="825"/>
      <c r="AH62" s="825"/>
      <c r="AI62" s="825"/>
      <c r="AJ62" s="825"/>
      <c r="AK62" s="825"/>
      <c r="AL62" s="825"/>
      <c r="AM62" s="825"/>
      <c r="AN62" s="825"/>
      <c r="AO62" s="825"/>
      <c r="AP62" s="825"/>
    </row>
    <row r="63" spans="1:42" ht="12.75" customHeight="1">
      <c r="A63" s="825"/>
      <c r="B63" s="1136"/>
      <c r="C63" s="1136"/>
      <c r="D63" s="1369" t="s">
        <v>873</v>
      </c>
      <c r="E63" s="1369"/>
      <c r="F63" s="1369"/>
      <c r="G63" s="1369"/>
      <c r="H63" s="1369"/>
      <c r="I63" s="1369"/>
      <c r="J63" s="1369"/>
      <c r="K63" s="1369"/>
      <c r="L63" s="1369"/>
      <c r="M63" s="1369"/>
      <c r="N63" s="1369"/>
      <c r="O63" s="1369"/>
      <c r="P63" s="1369"/>
      <c r="Q63" s="1369"/>
      <c r="R63" s="1369"/>
      <c r="S63" s="825"/>
      <c r="T63" s="90">
        <v>0</v>
      </c>
      <c r="U63" s="90">
        <v>0</v>
      </c>
      <c r="V63" s="90">
        <v>0</v>
      </c>
      <c r="W63" s="90">
        <v>0</v>
      </c>
      <c r="X63" s="90">
        <v>0</v>
      </c>
      <c r="Y63" s="90">
        <v>0</v>
      </c>
      <c r="Z63" s="90">
        <v>0</v>
      </c>
      <c r="AA63" s="90">
        <v>0</v>
      </c>
      <c r="AB63" s="90">
        <v>0</v>
      </c>
      <c r="AC63" s="90">
        <v>0</v>
      </c>
      <c r="AD63" s="825"/>
      <c r="AE63" s="825"/>
      <c r="AF63" s="825"/>
      <c r="AG63" s="825"/>
      <c r="AH63" s="825"/>
      <c r="AI63" s="825"/>
      <c r="AJ63" s="825"/>
      <c r="AK63" s="825"/>
      <c r="AL63" s="825"/>
      <c r="AM63" s="825"/>
      <c r="AN63" s="825"/>
      <c r="AO63" s="825"/>
      <c r="AP63" s="825"/>
    </row>
    <row r="64" spans="1:42" ht="12.75" customHeight="1">
      <c r="A64" s="825"/>
      <c r="B64" s="1136"/>
      <c r="C64" s="1136"/>
      <c r="D64" s="1369" t="s">
        <v>874</v>
      </c>
      <c r="E64" s="1369"/>
      <c r="F64" s="1369"/>
      <c r="G64" s="1369"/>
      <c r="H64" s="1369"/>
      <c r="I64" s="1369"/>
      <c r="J64" s="1369"/>
      <c r="K64" s="1369"/>
      <c r="L64" s="1369"/>
      <c r="M64" s="1369"/>
      <c r="N64" s="1369"/>
      <c r="O64" s="1369"/>
      <c r="P64" s="1369"/>
      <c r="Q64" s="1369"/>
      <c r="R64" s="1369"/>
      <c r="S64" s="825"/>
      <c r="T64" s="90">
        <v>0</v>
      </c>
      <c r="U64" s="90">
        <v>0</v>
      </c>
      <c r="V64" s="90">
        <v>0</v>
      </c>
      <c r="W64" s="90">
        <v>0</v>
      </c>
      <c r="X64" s="90">
        <v>0</v>
      </c>
      <c r="Y64" s="90">
        <v>0</v>
      </c>
      <c r="Z64" s="90">
        <v>0</v>
      </c>
      <c r="AA64" s="90">
        <v>0</v>
      </c>
      <c r="AB64" s="90">
        <v>0</v>
      </c>
      <c r="AC64" s="90">
        <v>0</v>
      </c>
      <c r="AD64" s="825"/>
      <c r="AE64" s="825"/>
      <c r="AF64" s="825"/>
      <c r="AG64" s="825"/>
      <c r="AH64" s="825"/>
      <c r="AI64" s="825"/>
      <c r="AJ64" s="825"/>
      <c r="AK64" s="825"/>
      <c r="AL64" s="825"/>
      <c r="AM64" s="825"/>
      <c r="AN64" s="825"/>
      <c r="AO64" s="825"/>
      <c r="AP64" s="825"/>
    </row>
    <row r="65" spans="1:42" ht="12.75" customHeight="1">
      <c r="A65" s="825"/>
      <c r="B65" s="1136"/>
      <c r="C65" s="1278"/>
      <c r="D65" s="1369" t="s">
        <v>875</v>
      </c>
      <c r="E65" s="1369"/>
      <c r="F65" s="1369"/>
      <c r="G65" s="1369"/>
      <c r="H65" s="1369"/>
      <c r="I65" s="1369"/>
      <c r="J65" s="1369"/>
      <c r="K65" s="1369"/>
      <c r="L65" s="1369"/>
      <c r="M65" s="1369"/>
      <c r="N65" s="1369"/>
      <c r="O65" s="1369"/>
      <c r="P65" s="1369"/>
      <c r="Q65" s="1369"/>
      <c r="R65" s="1369"/>
      <c r="S65" s="825"/>
      <c r="T65" s="90">
        <v>0</v>
      </c>
      <c r="U65" s="90">
        <v>0</v>
      </c>
      <c r="V65" s="90">
        <v>0</v>
      </c>
      <c r="W65" s="90">
        <v>0</v>
      </c>
      <c r="X65" s="90">
        <v>0</v>
      </c>
      <c r="Y65" s="90">
        <v>0</v>
      </c>
      <c r="Z65" s="90">
        <v>0</v>
      </c>
      <c r="AA65" s="90">
        <v>0</v>
      </c>
      <c r="AB65" s="90">
        <v>0</v>
      </c>
      <c r="AC65" s="90">
        <v>0</v>
      </c>
      <c r="AD65" s="825"/>
      <c r="AE65" s="825"/>
      <c r="AF65" s="825"/>
      <c r="AG65" s="825"/>
      <c r="AH65" s="825"/>
      <c r="AI65" s="825"/>
      <c r="AJ65" s="825"/>
      <c r="AK65" s="825"/>
      <c r="AL65" s="825"/>
      <c r="AM65" s="825"/>
      <c r="AN65" s="825"/>
      <c r="AO65" s="825"/>
      <c r="AP65" s="825"/>
    </row>
    <row r="66" spans="1:42" ht="12.75" customHeight="1">
      <c r="A66" s="825"/>
      <c r="B66" s="1136"/>
      <c r="C66" s="1136"/>
      <c r="D66" s="1371" t="s">
        <v>1241</v>
      </c>
      <c r="E66" s="1372"/>
      <c r="F66" s="1372"/>
      <c r="G66" s="1372"/>
      <c r="H66" s="1372"/>
      <c r="I66" s="1372"/>
      <c r="J66" s="1372"/>
      <c r="K66" s="1372"/>
      <c r="L66" s="1372"/>
      <c r="M66" s="1372"/>
      <c r="N66" s="1372"/>
      <c r="O66" s="1372"/>
      <c r="P66" s="1372"/>
      <c r="Q66" s="1372"/>
      <c r="R66" s="1373"/>
      <c r="S66" s="825"/>
      <c r="T66" s="90">
        <v>126.27</v>
      </c>
      <c r="U66" s="90">
        <v>293.57299999999998</v>
      </c>
      <c r="V66" s="90">
        <v>367.62895997000004</v>
      </c>
      <c r="W66" s="90">
        <v>410.57710988605169</v>
      </c>
      <c r="X66" s="90">
        <v>445.21176663291527</v>
      </c>
      <c r="Y66" s="90">
        <v>487.5710931129986</v>
      </c>
      <c r="Z66" s="90">
        <v>514.58748250296389</v>
      </c>
      <c r="AA66" s="90">
        <v>534.88101625485888</v>
      </c>
      <c r="AB66" s="90">
        <v>554.05937499308845</v>
      </c>
      <c r="AC66" s="90">
        <v>573.38586353775133</v>
      </c>
      <c r="AD66" s="825"/>
      <c r="AE66" s="825"/>
      <c r="AF66" s="825"/>
      <c r="AG66" s="825"/>
      <c r="AH66" s="825"/>
      <c r="AI66" s="825"/>
      <c r="AJ66" s="825"/>
      <c r="AK66" s="825"/>
      <c r="AL66" s="825"/>
      <c r="AM66" s="825"/>
      <c r="AN66" s="825"/>
      <c r="AO66" s="825"/>
      <c r="AP66" s="825"/>
    </row>
    <row r="67" spans="1:42" ht="12.75" customHeight="1">
      <c r="A67" s="825"/>
      <c r="B67" s="1136"/>
      <c r="C67" s="1136"/>
      <c r="D67" s="1371" t="s">
        <v>1242</v>
      </c>
      <c r="E67" s="1372"/>
      <c r="F67" s="1372"/>
      <c r="G67" s="1372"/>
      <c r="H67" s="1372"/>
      <c r="I67" s="1372"/>
      <c r="J67" s="1372"/>
      <c r="K67" s="1372"/>
      <c r="L67" s="1372"/>
      <c r="M67" s="1372"/>
      <c r="N67" s="1372"/>
      <c r="O67" s="1372"/>
      <c r="P67" s="1372"/>
      <c r="Q67" s="1372"/>
      <c r="R67" s="1373"/>
      <c r="S67" s="825"/>
      <c r="T67" s="90">
        <v>3.5</v>
      </c>
      <c r="U67" s="90">
        <v>2.75</v>
      </c>
      <c r="V67" s="90">
        <v>1.9035324566289009</v>
      </c>
      <c r="W67" s="90">
        <v>1.1117474341389915</v>
      </c>
      <c r="X67" s="90">
        <v>0.31996241164908157</v>
      </c>
      <c r="Y67" s="90">
        <v>0</v>
      </c>
      <c r="Z67" s="90">
        <v>0</v>
      </c>
      <c r="AA67" s="90">
        <v>0</v>
      </c>
      <c r="AB67" s="90">
        <v>0</v>
      </c>
      <c r="AC67" s="90">
        <v>0</v>
      </c>
      <c r="AD67" s="825"/>
      <c r="AE67" s="825"/>
      <c r="AF67" s="825"/>
      <c r="AG67" s="825"/>
      <c r="AH67" s="825"/>
      <c r="AI67" s="825"/>
      <c r="AJ67" s="825"/>
      <c r="AK67" s="825"/>
      <c r="AL67" s="825"/>
      <c r="AM67" s="825"/>
      <c r="AN67" s="825"/>
      <c r="AO67" s="825"/>
      <c r="AP67" s="825"/>
    </row>
    <row r="68" spans="1:42" ht="12.75" customHeight="1">
      <c r="A68" s="825"/>
      <c r="B68" s="1136"/>
      <c r="C68" s="1136"/>
      <c r="D68" s="1371" t="s">
        <v>1243</v>
      </c>
      <c r="E68" s="1372"/>
      <c r="F68" s="1372"/>
      <c r="G68" s="1372"/>
      <c r="H68" s="1372"/>
      <c r="I68" s="1372"/>
      <c r="J68" s="1372"/>
      <c r="K68" s="1372"/>
      <c r="L68" s="1372"/>
      <c r="M68" s="1372"/>
      <c r="N68" s="1372"/>
      <c r="O68" s="1372"/>
      <c r="P68" s="1372"/>
      <c r="Q68" s="1372"/>
      <c r="R68" s="1373"/>
      <c r="S68" s="825"/>
      <c r="T68" s="90">
        <v>11.385</v>
      </c>
      <c r="U68" s="90">
        <v>11.385</v>
      </c>
      <c r="V68" s="90">
        <v>17.377841401050006</v>
      </c>
      <c r="W68" s="90">
        <v>20.752841401049949</v>
      </c>
      <c r="X68" s="90">
        <v>20.752841401049949</v>
      </c>
      <c r="Y68" s="90">
        <v>20.752841401049949</v>
      </c>
      <c r="Z68" s="90">
        <v>20.752841401049949</v>
      </c>
      <c r="AA68" s="90">
        <v>20.752841401049949</v>
      </c>
      <c r="AB68" s="90">
        <v>15.870579529999958</v>
      </c>
      <c r="AC68" s="90">
        <v>-2.4980847200000511</v>
      </c>
      <c r="AD68" s="825"/>
      <c r="AE68" s="825"/>
      <c r="AF68" s="825"/>
      <c r="AG68" s="825"/>
      <c r="AH68" s="825"/>
      <c r="AI68" s="825"/>
      <c r="AJ68" s="825"/>
      <c r="AK68" s="825"/>
      <c r="AL68" s="825"/>
      <c r="AM68" s="825"/>
      <c r="AN68" s="825"/>
      <c r="AO68" s="825"/>
      <c r="AP68" s="825"/>
    </row>
    <row r="69" spans="1:42" ht="12.75" customHeight="1">
      <c r="A69" s="825"/>
      <c r="B69" s="1136"/>
      <c r="C69" s="1136"/>
      <c r="D69" s="1371" t="s">
        <v>1244</v>
      </c>
      <c r="E69" s="1372"/>
      <c r="F69" s="1372"/>
      <c r="G69" s="1372"/>
      <c r="H69" s="1372"/>
      <c r="I69" s="1372"/>
      <c r="J69" s="1372"/>
      <c r="K69" s="1372"/>
      <c r="L69" s="1372"/>
      <c r="M69" s="1372"/>
      <c r="N69" s="1372"/>
      <c r="O69" s="1372"/>
      <c r="P69" s="1372"/>
      <c r="Q69" s="1372"/>
      <c r="R69" s="1373"/>
      <c r="S69" s="825"/>
      <c r="T69" s="90">
        <v>-5098.3389092993639</v>
      </c>
      <c r="U69" s="90">
        <v>-5344.4652323920436</v>
      </c>
      <c r="V69" s="90">
        <v>-5677.1742689355542</v>
      </c>
      <c r="W69" s="90">
        <v>-5590.9632454114244</v>
      </c>
      <c r="X69" s="90">
        <v>-5734.5965793429532</v>
      </c>
      <c r="Y69" s="90">
        <v>-5473.630574070462</v>
      </c>
      <c r="Z69" s="90">
        <v>-5508.4444590037183</v>
      </c>
      <c r="AA69" s="90">
        <v>-4892.9782431098001</v>
      </c>
      <c r="AB69" s="90">
        <v>-4110.409042676335</v>
      </c>
      <c r="AC69" s="90">
        <v>-3736.9273359525241</v>
      </c>
      <c r="AD69" s="825"/>
      <c r="AE69" s="825"/>
      <c r="AF69" s="825"/>
      <c r="AG69" s="825"/>
      <c r="AH69" s="825"/>
      <c r="AI69" s="825"/>
      <c r="AJ69" s="825"/>
      <c r="AK69" s="825"/>
      <c r="AL69" s="825"/>
      <c r="AM69" s="825"/>
      <c r="AN69" s="825"/>
      <c r="AO69" s="825"/>
      <c r="AP69" s="825"/>
    </row>
    <row r="70" spans="1:42" ht="12.75" customHeight="1">
      <c r="A70" s="825"/>
      <c r="B70" s="1136"/>
      <c r="C70" s="1136"/>
      <c r="D70" s="1371" t="s">
        <v>835</v>
      </c>
      <c r="E70" s="1372"/>
      <c r="F70" s="1372"/>
      <c r="G70" s="1372"/>
      <c r="H70" s="1372"/>
      <c r="I70" s="1372"/>
      <c r="J70" s="1372"/>
      <c r="K70" s="1372"/>
      <c r="L70" s="1372"/>
      <c r="M70" s="1372"/>
      <c r="N70" s="1372"/>
      <c r="O70" s="1372"/>
      <c r="P70" s="1372"/>
      <c r="Q70" s="1372"/>
      <c r="R70" s="1373"/>
      <c r="S70" s="825"/>
      <c r="T70" s="90">
        <v>0</v>
      </c>
      <c r="U70" s="90">
        <v>0</v>
      </c>
      <c r="V70" s="90">
        <v>0</v>
      </c>
      <c r="W70" s="90">
        <v>0</v>
      </c>
      <c r="X70" s="90">
        <v>0</v>
      </c>
      <c r="Y70" s="90">
        <v>0</v>
      </c>
      <c r="Z70" s="90">
        <v>0</v>
      </c>
      <c r="AA70" s="90">
        <v>0</v>
      </c>
      <c r="AB70" s="90">
        <v>0</v>
      </c>
      <c r="AC70" s="90">
        <v>0</v>
      </c>
      <c r="AD70" s="825"/>
      <c r="AE70" s="825"/>
      <c r="AF70" s="825"/>
      <c r="AG70" s="825"/>
      <c r="AH70" s="825"/>
      <c r="AI70" s="825"/>
      <c r="AJ70" s="825"/>
      <c r="AK70" s="825"/>
      <c r="AL70" s="825"/>
      <c r="AM70" s="825"/>
      <c r="AN70" s="825"/>
      <c r="AO70" s="825"/>
      <c r="AP70" s="825"/>
    </row>
    <row r="71" spans="1:42" ht="12.75" customHeight="1">
      <c r="A71" s="825"/>
      <c r="B71" s="1136"/>
      <c r="C71" s="1136"/>
      <c r="D71" s="1371" t="s">
        <v>835</v>
      </c>
      <c r="E71" s="1372"/>
      <c r="F71" s="1372"/>
      <c r="G71" s="1372"/>
      <c r="H71" s="1372"/>
      <c r="I71" s="1372"/>
      <c r="J71" s="1372"/>
      <c r="K71" s="1372"/>
      <c r="L71" s="1372"/>
      <c r="M71" s="1372"/>
      <c r="N71" s="1372"/>
      <c r="O71" s="1372"/>
      <c r="P71" s="1372"/>
      <c r="Q71" s="1372"/>
      <c r="R71" s="1373"/>
      <c r="S71" s="825"/>
      <c r="T71" s="90">
        <v>0</v>
      </c>
      <c r="U71" s="90">
        <v>0</v>
      </c>
      <c r="V71" s="90">
        <v>0</v>
      </c>
      <c r="W71" s="90">
        <v>0</v>
      </c>
      <c r="X71" s="90">
        <v>0</v>
      </c>
      <c r="Y71" s="90">
        <v>0</v>
      </c>
      <c r="Z71" s="90">
        <v>0</v>
      </c>
      <c r="AA71" s="90">
        <v>0</v>
      </c>
      <c r="AB71" s="90">
        <v>0</v>
      </c>
      <c r="AC71" s="90">
        <v>0</v>
      </c>
      <c r="AD71" s="825"/>
      <c r="AE71" s="825"/>
      <c r="AF71" s="825"/>
      <c r="AG71" s="825"/>
      <c r="AH71" s="825"/>
      <c r="AI71" s="825"/>
      <c r="AJ71" s="825"/>
      <c r="AK71" s="825"/>
      <c r="AL71" s="825"/>
      <c r="AM71" s="825"/>
      <c r="AN71" s="825"/>
      <c r="AO71" s="825"/>
      <c r="AP71" s="825"/>
    </row>
    <row r="72" spans="1:42" ht="12.75" customHeight="1">
      <c r="A72" s="825"/>
      <c r="B72" s="1136"/>
      <c r="C72" s="1136"/>
      <c r="D72" s="1371" t="s">
        <v>836</v>
      </c>
      <c r="E72" s="1372"/>
      <c r="F72" s="1372"/>
      <c r="G72" s="1372"/>
      <c r="H72" s="1372"/>
      <c r="I72" s="1372"/>
      <c r="J72" s="1372"/>
      <c r="K72" s="1372"/>
      <c r="L72" s="1372"/>
      <c r="M72" s="1372"/>
      <c r="N72" s="1372"/>
      <c r="O72" s="1372"/>
      <c r="P72" s="1372"/>
      <c r="Q72" s="1372"/>
      <c r="R72" s="1373"/>
      <c r="S72" s="825"/>
      <c r="T72" s="90">
        <v>0</v>
      </c>
      <c r="U72" s="90">
        <v>0</v>
      </c>
      <c r="V72" s="90">
        <v>0</v>
      </c>
      <c r="W72" s="90">
        <v>0</v>
      </c>
      <c r="X72" s="90">
        <v>0</v>
      </c>
      <c r="Y72" s="90">
        <v>0</v>
      </c>
      <c r="Z72" s="90">
        <v>0</v>
      </c>
      <c r="AA72" s="90">
        <v>0</v>
      </c>
      <c r="AB72" s="90">
        <v>0</v>
      </c>
      <c r="AC72" s="90">
        <v>0</v>
      </c>
      <c r="AD72" s="825"/>
      <c r="AE72" s="825"/>
      <c r="AF72" s="825"/>
      <c r="AG72" s="825"/>
      <c r="AH72" s="825"/>
      <c r="AI72" s="825"/>
      <c r="AJ72" s="825"/>
      <c r="AK72" s="825"/>
      <c r="AL72" s="825"/>
      <c r="AM72" s="825"/>
      <c r="AN72" s="825"/>
      <c r="AO72" s="825"/>
      <c r="AP72" s="825"/>
    </row>
    <row r="73" spans="1:42" ht="12.75" customHeight="1">
      <c r="A73" s="825"/>
      <c r="B73" s="1136"/>
      <c r="C73" s="1136"/>
      <c r="D73" s="1371" t="s">
        <v>805</v>
      </c>
      <c r="E73" s="1372"/>
      <c r="F73" s="1372"/>
      <c r="G73" s="1372"/>
      <c r="H73" s="1372"/>
      <c r="I73" s="1372"/>
      <c r="J73" s="1372"/>
      <c r="K73" s="1372"/>
      <c r="L73" s="1372"/>
      <c r="M73" s="1372"/>
      <c r="N73" s="1372"/>
      <c r="O73" s="1372"/>
      <c r="P73" s="1372"/>
      <c r="Q73" s="1372"/>
      <c r="R73" s="1373"/>
      <c r="S73" s="825"/>
      <c r="T73" s="90">
        <v>0</v>
      </c>
      <c r="U73" s="90">
        <v>0</v>
      </c>
      <c r="V73" s="90">
        <v>0</v>
      </c>
      <c r="W73" s="90">
        <v>0</v>
      </c>
      <c r="X73" s="90">
        <v>0</v>
      </c>
      <c r="Y73" s="90">
        <v>0</v>
      </c>
      <c r="Z73" s="90">
        <v>0</v>
      </c>
      <c r="AA73" s="90">
        <v>0</v>
      </c>
      <c r="AB73" s="90">
        <v>0</v>
      </c>
      <c r="AC73" s="90">
        <v>0</v>
      </c>
      <c r="AD73" s="825"/>
      <c r="AE73" s="825"/>
      <c r="AF73" s="825"/>
      <c r="AG73" s="825"/>
      <c r="AH73" s="825"/>
      <c r="AI73" s="825"/>
      <c r="AJ73" s="825"/>
      <c r="AK73" s="825"/>
      <c r="AL73" s="825"/>
      <c r="AM73" s="825"/>
      <c r="AN73" s="825"/>
      <c r="AO73" s="825"/>
      <c r="AP73" s="825"/>
    </row>
    <row r="74" spans="1:42" ht="12.75" customHeight="1">
      <c r="A74" s="825"/>
      <c r="B74" s="1136"/>
      <c r="C74" s="1136"/>
      <c r="D74" s="1374" t="s">
        <v>806</v>
      </c>
      <c r="E74" s="1375"/>
      <c r="F74" s="1375"/>
      <c r="G74" s="1375"/>
      <c r="H74" s="1375"/>
      <c r="I74" s="1375"/>
      <c r="J74" s="1375"/>
      <c r="K74" s="1375"/>
      <c r="L74" s="1375"/>
      <c r="M74" s="1375"/>
      <c r="N74" s="1375"/>
      <c r="O74" s="1375"/>
      <c r="P74" s="1375"/>
      <c r="Q74" s="1375"/>
      <c r="R74" s="1376"/>
      <c r="S74" s="825"/>
      <c r="T74" s="90">
        <v>0</v>
      </c>
      <c r="U74" s="90">
        <v>0</v>
      </c>
      <c r="V74" s="90">
        <v>0</v>
      </c>
      <c r="W74" s="90">
        <v>0</v>
      </c>
      <c r="X74" s="90">
        <v>0</v>
      </c>
      <c r="Y74" s="90">
        <v>0</v>
      </c>
      <c r="Z74" s="90">
        <v>0</v>
      </c>
      <c r="AA74" s="90">
        <v>0</v>
      </c>
      <c r="AB74" s="90">
        <v>0</v>
      </c>
      <c r="AC74" s="90">
        <v>0</v>
      </c>
      <c r="AD74" s="825"/>
      <c r="AE74" s="825"/>
      <c r="AF74" s="825"/>
      <c r="AG74" s="825"/>
      <c r="AH74" s="825"/>
      <c r="AI74" s="825"/>
      <c r="AJ74" s="825"/>
      <c r="AK74" s="825"/>
      <c r="AL74" s="825"/>
      <c r="AM74" s="825"/>
      <c r="AN74" s="825"/>
      <c r="AO74" s="825"/>
      <c r="AP74" s="825"/>
    </row>
    <row r="75" spans="1:42" ht="12.75" customHeight="1">
      <c r="A75" s="825"/>
      <c r="B75" s="1136"/>
      <c r="C75" s="1136"/>
      <c r="D75" s="1374" t="s">
        <v>807</v>
      </c>
      <c r="E75" s="1375"/>
      <c r="F75" s="1375"/>
      <c r="G75" s="1375"/>
      <c r="H75" s="1375"/>
      <c r="I75" s="1375"/>
      <c r="J75" s="1375"/>
      <c r="K75" s="1375"/>
      <c r="L75" s="1375"/>
      <c r="M75" s="1375"/>
      <c r="N75" s="1375"/>
      <c r="O75" s="1375"/>
      <c r="P75" s="1375"/>
      <c r="Q75" s="1375"/>
      <c r="R75" s="1376"/>
      <c r="S75" s="825"/>
      <c r="T75" s="90">
        <v>0</v>
      </c>
      <c r="U75" s="90">
        <v>0</v>
      </c>
      <c r="V75" s="90">
        <v>0</v>
      </c>
      <c r="W75" s="90">
        <v>0</v>
      </c>
      <c r="X75" s="90">
        <v>0</v>
      </c>
      <c r="Y75" s="90">
        <v>0</v>
      </c>
      <c r="Z75" s="90">
        <v>0</v>
      </c>
      <c r="AA75" s="90">
        <v>0</v>
      </c>
      <c r="AB75" s="90">
        <v>0</v>
      </c>
      <c r="AC75" s="90">
        <v>0</v>
      </c>
      <c r="AD75" s="825"/>
      <c r="AE75" s="825"/>
      <c r="AF75" s="825"/>
      <c r="AG75" s="825"/>
      <c r="AH75" s="825"/>
      <c r="AI75" s="825"/>
      <c r="AJ75" s="825"/>
      <c r="AK75" s="825"/>
      <c r="AL75" s="825"/>
      <c r="AM75" s="825"/>
      <c r="AN75" s="825"/>
      <c r="AO75" s="825"/>
      <c r="AP75" s="825"/>
    </row>
    <row r="76" spans="1:42" ht="12.75" customHeight="1">
      <c r="A76" s="825"/>
      <c r="B76" s="1136"/>
      <c r="C76" s="1136"/>
      <c r="D76" s="1377" t="s">
        <v>876</v>
      </c>
      <c r="E76" s="1378"/>
      <c r="F76" s="1378"/>
      <c r="G76" s="1378"/>
      <c r="H76" s="1378"/>
      <c r="I76" s="1378"/>
      <c r="J76" s="1378"/>
      <c r="K76" s="1378"/>
      <c r="L76" s="1378"/>
      <c r="M76" s="1378"/>
      <c r="N76" s="1378"/>
      <c r="O76" s="1378"/>
      <c r="P76" s="1378"/>
      <c r="Q76" s="1378"/>
      <c r="R76" s="1379"/>
      <c r="S76" s="825"/>
      <c r="T76" s="90">
        <v>0</v>
      </c>
      <c r="U76" s="90">
        <v>0</v>
      </c>
      <c r="V76" s="90">
        <v>0</v>
      </c>
      <c r="W76" s="90">
        <v>0</v>
      </c>
      <c r="X76" s="90">
        <v>0</v>
      </c>
      <c r="Y76" s="90">
        <v>0</v>
      </c>
      <c r="Z76" s="90">
        <v>0</v>
      </c>
      <c r="AA76" s="90">
        <v>0</v>
      </c>
      <c r="AB76" s="90">
        <v>0</v>
      </c>
      <c r="AC76" s="90">
        <v>0</v>
      </c>
      <c r="AD76" s="825"/>
      <c r="AE76" s="825"/>
      <c r="AF76" s="825"/>
      <c r="AG76" s="825"/>
      <c r="AH76" s="825"/>
      <c r="AI76" s="825"/>
      <c r="AJ76" s="825"/>
      <c r="AK76" s="825"/>
      <c r="AL76" s="825"/>
      <c r="AM76" s="825"/>
      <c r="AN76" s="825"/>
      <c r="AO76" s="825"/>
      <c r="AP76" s="825"/>
    </row>
    <row r="77" spans="1:42">
      <c r="A77" s="825"/>
      <c r="B77" s="1136"/>
      <c r="C77" s="1136"/>
      <c r="D77" s="1370" t="s">
        <v>877</v>
      </c>
      <c r="E77" s="1370"/>
      <c r="F77" s="1370"/>
      <c r="G77" s="1370"/>
      <c r="H77" s="1370"/>
      <c r="I77" s="1370"/>
      <c r="J77" s="1370"/>
      <c r="K77" s="1370"/>
      <c r="L77" s="1370"/>
      <c r="M77" s="1370"/>
      <c r="N77" s="1370"/>
      <c r="O77" s="1370"/>
      <c r="P77" s="1370"/>
      <c r="Q77" s="1370"/>
      <c r="R77" s="1370"/>
      <c r="S77" s="825"/>
      <c r="T77" s="700">
        <v>1616.6324225600601</v>
      </c>
      <c r="U77" s="701">
        <v>1687.5920018337456</v>
      </c>
      <c r="V77" s="701">
        <v>1784.0083468713219</v>
      </c>
      <c r="W77" s="701">
        <v>1745.1207550546887</v>
      </c>
      <c r="X77" s="701">
        <v>1787.7288899536488</v>
      </c>
      <c r="Y77" s="701">
        <v>1706.3741755519459</v>
      </c>
      <c r="Z77" s="701">
        <v>1717.2272123794883</v>
      </c>
      <c r="AA77" s="702">
        <v>1525.3590103672595</v>
      </c>
      <c r="AB77" s="827">
        <v>1281.3973735465706</v>
      </c>
      <c r="AC77" s="701">
        <v>1164.9665091010274</v>
      </c>
      <c r="AD77" s="825"/>
      <c r="AE77" s="825"/>
      <c r="AF77" s="825"/>
      <c r="AG77" s="825"/>
      <c r="AH77" s="825"/>
      <c r="AI77" s="825"/>
      <c r="AJ77" s="825"/>
      <c r="AK77" s="825"/>
      <c r="AL77" s="825"/>
      <c r="AM77" s="825"/>
      <c r="AN77" s="825"/>
      <c r="AO77" s="825"/>
      <c r="AP77" s="825"/>
    </row>
    <row r="78" spans="1:42">
      <c r="A78" s="825"/>
      <c r="B78" s="1136"/>
      <c r="C78" s="1136"/>
      <c r="D78" s="825"/>
      <c r="E78" s="825"/>
      <c r="F78" s="825"/>
      <c r="G78" s="825"/>
      <c r="H78" s="825"/>
      <c r="I78" s="825"/>
      <c r="J78" s="825"/>
      <c r="K78" s="825"/>
      <c r="L78" s="825"/>
      <c r="M78" s="825"/>
      <c r="N78" s="825"/>
      <c r="O78" s="825"/>
      <c r="P78" s="825"/>
      <c r="Q78" s="825"/>
      <c r="R78" s="825"/>
      <c r="S78" s="825"/>
      <c r="T78" s="825"/>
      <c r="U78" s="825"/>
      <c r="V78" s="825"/>
      <c r="W78" s="825"/>
      <c r="X78" s="825"/>
      <c r="Y78" s="825"/>
      <c r="Z78" s="825"/>
      <c r="AA78" s="825"/>
      <c r="AB78" s="835"/>
      <c r="AC78" s="825"/>
      <c r="AD78" s="825"/>
      <c r="AE78" s="825"/>
      <c r="AF78" s="825"/>
      <c r="AG78" s="825"/>
      <c r="AH78" s="825"/>
      <c r="AI78" s="825"/>
      <c r="AJ78" s="825"/>
      <c r="AK78" s="825"/>
      <c r="AL78" s="825"/>
      <c r="AM78" s="825"/>
      <c r="AN78" s="825"/>
      <c r="AO78" s="825"/>
      <c r="AP78" s="825"/>
    </row>
    <row r="79" spans="1:42">
      <c r="A79" s="825"/>
      <c r="B79" s="1136"/>
      <c r="C79" s="1136"/>
      <c r="D79" s="1131" t="s">
        <v>809</v>
      </c>
      <c r="E79" s="1131"/>
      <c r="F79" s="825"/>
      <c r="G79" s="825"/>
      <c r="H79" s="825"/>
      <c r="I79" s="825"/>
      <c r="J79" s="825"/>
      <c r="K79" s="825"/>
      <c r="L79" s="825"/>
      <c r="M79" s="825"/>
      <c r="N79" s="825"/>
      <c r="O79" s="825"/>
      <c r="P79" s="825"/>
      <c r="Q79" s="825"/>
      <c r="R79" s="825"/>
      <c r="S79" s="825"/>
      <c r="T79" s="825"/>
      <c r="U79" s="825"/>
      <c r="V79" s="825"/>
      <c r="W79" s="825"/>
      <c r="X79" s="825"/>
      <c r="Y79" s="825"/>
      <c r="Z79" s="825"/>
      <c r="AA79" s="825"/>
      <c r="AB79" s="835"/>
      <c r="AC79" s="825"/>
      <c r="AD79" s="825"/>
      <c r="AE79" s="825"/>
      <c r="AF79" s="825"/>
      <c r="AG79" s="825"/>
      <c r="AH79" s="825"/>
      <c r="AI79" s="825"/>
      <c r="AJ79" s="825"/>
      <c r="AK79" s="825"/>
      <c r="AL79" s="825"/>
      <c r="AM79" s="825"/>
      <c r="AN79" s="825"/>
      <c r="AO79" s="825"/>
      <c r="AP79" s="825"/>
    </row>
    <row r="80" spans="1:42">
      <c r="A80" s="825"/>
      <c r="B80" s="1136"/>
      <c r="C80" s="1136"/>
      <c r="D80" s="825" t="s">
        <v>810</v>
      </c>
      <c r="E80" s="825"/>
      <c r="F80" s="825"/>
      <c r="G80" s="825"/>
      <c r="H80" s="825"/>
      <c r="I80" s="825"/>
      <c r="J80" s="825"/>
      <c r="K80" s="825"/>
      <c r="L80" s="825"/>
      <c r="M80" s="825"/>
      <c r="N80" s="825"/>
      <c r="O80" s="825"/>
      <c r="P80" s="825"/>
      <c r="Q80" s="825"/>
      <c r="R80" s="825"/>
      <c r="S80" s="825"/>
      <c r="T80" s="90">
        <v>0</v>
      </c>
      <c r="U80" s="90">
        <v>0</v>
      </c>
      <c r="V80" s="90">
        <v>0</v>
      </c>
      <c r="W80" s="90">
        <v>0</v>
      </c>
      <c r="X80" s="90">
        <v>0</v>
      </c>
      <c r="Y80" s="90">
        <v>0</v>
      </c>
      <c r="Z80" s="90">
        <v>0</v>
      </c>
      <c r="AA80" s="90">
        <v>0</v>
      </c>
      <c r="AB80" s="90">
        <v>0</v>
      </c>
      <c r="AC80" s="90">
        <v>0</v>
      </c>
      <c r="AD80" s="825"/>
      <c r="AE80" s="825"/>
      <c r="AF80" s="825"/>
      <c r="AG80" s="825"/>
      <c r="AH80" s="825"/>
      <c r="AI80" s="825"/>
      <c r="AJ80" s="825"/>
      <c r="AK80" s="825"/>
      <c r="AL80" s="825"/>
      <c r="AM80" s="825"/>
      <c r="AN80" s="825"/>
      <c r="AO80" s="825"/>
      <c r="AP80" s="825"/>
    </row>
    <row r="81" spans="1:42">
      <c r="A81" s="825"/>
      <c r="B81" s="1136"/>
      <c r="C81" s="1136"/>
      <c r="D81" s="825" t="s">
        <v>742</v>
      </c>
      <c r="E81" s="825"/>
      <c r="F81" s="825"/>
      <c r="G81" s="825"/>
      <c r="H81" s="825"/>
      <c r="I81" s="825"/>
      <c r="J81" s="825"/>
      <c r="K81" s="825"/>
      <c r="L81" s="825"/>
      <c r="M81" s="825"/>
      <c r="N81" s="825"/>
      <c r="O81" s="825"/>
      <c r="P81" s="825"/>
      <c r="Q81" s="825"/>
      <c r="R81" s="825"/>
      <c r="S81" s="825"/>
      <c r="T81" s="55">
        <v>1</v>
      </c>
      <c r="U81" s="56">
        <v>1</v>
      </c>
      <c r="V81" s="56">
        <v>1</v>
      </c>
      <c r="W81" s="56">
        <v>1</v>
      </c>
      <c r="X81" s="56">
        <v>1</v>
      </c>
      <c r="Y81" s="56">
        <v>1</v>
      </c>
      <c r="Z81" s="56">
        <v>1</v>
      </c>
      <c r="AA81" s="57">
        <v>1</v>
      </c>
      <c r="AB81" s="58">
        <v>1</v>
      </c>
      <c r="AC81" s="56">
        <v>1</v>
      </c>
      <c r="AD81" s="825"/>
      <c r="AE81" s="825"/>
      <c r="AF81" s="825"/>
      <c r="AG81" s="825"/>
      <c r="AH81" s="825"/>
      <c r="AI81" s="825"/>
      <c r="AJ81" s="825"/>
      <c r="AK81" s="825"/>
      <c r="AL81" s="825"/>
      <c r="AM81" s="825"/>
      <c r="AN81" s="825"/>
      <c r="AO81" s="825"/>
      <c r="AP81" s="825"/>
    </row>
    <row r="82" spans="1:42">
      <c r="A82" s="825"/>
      <c r="B82" s="1136"/>
      <c r="C82" s="1136"/>
      <c r="D82" s="825"/>
      <c r="E82" s="825"/>
      <c r="F82" s="825"/>
      <c r="G82" s="825"/>
      <c r="H82" s="825"/>
      <c r="I82" s="825"/>
      <c r="J82" s="825"/>
      <c r="K82" s="825"/>
      <c r="L82" s="825"/>
      <c r="M82" s="825"/>
      <c r="N82" s="825"/>
      <c r="O82" s="825"/>
      <c r="P82" s="825"/>
      <c r="Q82" s="825"/>
      <c r="R82" s="825"/>
      <c r="S82" s="825"/>
      <c r="T82" s="825"/>
      <c r="U82" s="825"/>
      <c r="V82" s="825"/>
      <c r="W82" s="825"/>
      <c r="X82" s="825"/>
      <c r="Y82" s="825"/>
      <c r="Z82" s="825"/>
      <c r="AA82" s="825"/>
      <c r="AB82" s="835"/>
      <c r="AC82" s="825"/>
      <c r="AD82" s="825"/>
      <c r="AE82" s="825"/>
      <c r="AF82" s="825"/>
      <c r="AG82" s="825"/>
      <c r="AH82" s="825"/>
      <c r="AI82" s="825"/>
      <c r="AJ82" s="825"/>
      <c r="AK82" s="825"/>
      <c r="AL82" s="825"/>
      <c r="AM82" s="825"/>
      <c r="AN82" s="825"/>
      <c r="AO82" s="825"/>
      <c r="AP82" s="825"/>
    </row>
    <row r="83" spans="1:42">
      <c r="A83" s="825"/>
      <c r="B83" s="1136"/>
      <c r="C83" s="1136"/>
      <c r="D83" s="825"/>
      <c r="E83" s="825"/>
      <c r="F83" s="825"/>
      <c r="G83" s="825"/>
      <c r="H83" s="825"/>
      <c r="I83" s="825"/>
      <c r="J83" s="825"/>
      <c r="K83" s="825"/>
      <c r="L83" s="825"/>
      <c r="M83" s="825"/>
      <c r="N83" s="825"/>
      <c r="O83" s="825"/>
      <c r="P83" s="825"/>
      <c r="Q83" s="825"/>
      <c r="R83" s="825"/>
      <c r="S83" s="825"/>
      <c r="T83" s="825"/>
      <c r="U83" s="825"/>
      <c r="V83" s="825"/>
      <c r="W83" s="825"/>
      <c r="X83" s="825"/>
      <c r="Y83" s="825"/>
      <c r="Z83" s="825"/>
      <c r="AA83" s="825"/>
      <c r="AB83" s="835"/>
      <c r="AC83" s="825"/>
      <c r="AD83" s="825"/>
      <c r="AE83" s="825"/>
      <c r="AF83" s="825"/>
      <c r="AG83" s="825"/>
      <c r="AH83" s="825"/>
      <c r="AI83" s="825"/>
      <c r="AJ83" s="825"/>
      <c r="AK83" s="825"/>
      <c r="AL83" s="825"/>
      <c r="AM83" s="825"/>
      <c r="AN83" s="825"/>
      <c r="AO83" s="825"/>
      <c r="AP83" s="825"/>
    </row>
    <row r="84" spans="1:42" ht="16">
      <c r="A84" s="825"/>
      <c r="B84" s="1125" t="s">
        <v>878</v>
      </c>
      <c r="C84" s="1125"/>
      <c r="D84" s="1126"/>
      <c r="E84" s="1126"/>
      <c r="F84" s="1126"/>
      <c r="G84" s="1126"/>
      <c r="H84" s="1126"/>
      <c r="I84" s="1126"/>
      <c r="J84" s="1126"/>
      <c r="K84" s="1126"/>
      <c r="L84" s="1126"/>
      <c r="M84" s="1126"/>
      <c r="N84" s="1126"/>
      <c r="O84" s="1126"/>
      <c r="P84" s="1126"/>
      <c r="Q84" s="1126"/>
      <c r="R84" s="825"/>
      <c r="S84" s="825"/>
      <c r="T84" s="825"/>
      <c r="U84" s="825"/>
      <c r="V84" s="825"/>
      <c r="W84" s="825"/>
      <c r="X84" s="825"/>
      <c r="Y84" s="825"/>
      <c r="Z84" s="825"/>
      <c r="AA84" s="825"/>
      <c r="AB84" s="835"/>
      <c r="AC84" s="825"/>
      <c r="AD84" s="825"/>
      <c r="AE84" s="825"/>
      <c r="AF84" s="825"/>
      <c r="AG84" s="825"/>
      <c r="AH84" s="825"/>
      <c r="AI84" s="825"/>
      <c r="AJ84" s="825"/>
      <c r="AK84" s="825"/>
      <c r="AL84" s="825"/>
      <c r="AM84" s="825"/>
      <c r="AN84" s="825"/>
      <c r="AO84" s="825"/>
      <c r="AP84" s="825"/>
    </row>
    <row r="85" spans="1:42">
      <c r="A85" s="825"/>
      <c r="B85" s="1136"/>
      <c r="C85" s="1136"/>
      <c r="D85" s="825"/>
      <c r="E85" s="825"/>
      <c r="F85" s="825"/>
      <c r="G85" s="825"/>
      <c r="H85" s="825"/>
      <c r="I85" s="825"/>
      <c r="J85" s="825"/>
      <c r="K85" s="825"/>
      <c r="L85" s="825"/>
      <c r="M85" s="825"/>
      <c r="N85" s="825"/>
      <c r="O85" s="825"/>
      <c r="P85" s="825"/>
      <c r="Q85" s="825"/>
      <c r="R85" s="825"/>
      <c r="S85" s="825"/>
      <c r="T85" s="825"/>
      <c r="U85" s="825"/>
      <c r="V85" s="825"/>
      <c r="W85" s="825"/>
      <c r="X85" s="825"/>
      <c r="Y85" s="825"/>
      <c r="Z85" s="825"/>
      <c r="AA85" s="825"/>
      <c r="AB85" s="835"/>
      <c r="AC85" s="825"/>
      <c r="AD85" s="825"/>
      <c r="AE85" s="825"/>
      <c r="AF85" s="825"/>
      <c r="AG85" s="825"/>
      <c r="AH85" s="825"/>
      <c r="AI85" s="825"/>
      <c r="AJ85" s="825"/>
      <c r="AK85" s="825"/>
      <c r="AL85" s="825"/>
      <c r="AM85" s="825"/>
      <c r="AN85" s="825"/>
      <c r="AO85" s="825"/>
      <c r="AP85" s="825"/>
    </row>
    <row r="86" spans="1:42">
      <c r="A86" s="825"/>
      <c r="B86" s="1136"/>
      <c r="C86" s="1136"/>
      <c r="D86" s="1156" t="s">
        <v>879</v>
      </c>
      <c r="E86" s="1156"/>
      <c r="S86" s="825"/>
      <c r="T86" s="1145" t="s">
        <v>486</v>
      </c>
      <c r="U86" s="1146" t="s">
        <v>486</v>
      </c>
      <c r="V86" s="1146" t="s">
        <v>486</v>
      </c>
      <c r="W86" s="1146" t="s">
        <v>486</v>
      </c>
      <c r="X86" s="1146" t="s">
        <v>486</v>
      </c>
      <c r="Y86" s="1146" t="s">
        <v>486</v>
      </c>
      <c r="Z86" s="1146" t="s">
        <v>486</v>
      </c>
      <c r="AA86" s="1147" t="s">
        <v>486</v>
      </c>
      <c r="AB86" s="1148" t="s">
        <v>486</v>
      </c>
      <c r="AC86" s="1146" t="s">
        <v>486</v>
      </c>
      <c r="AD86" s="825"/>
      <c r="AE86" s="825"/>
      <c r="AF86" s="825"/>
      <c r="AG86" s="825"/>
      <c r="AH86" s="825"/>
      <c r="AI86" s="825"/>
      <c r="AJ86" s="825"/>
      <c r="AK86" s="825"/>
      <c r="AL86" s="825"/>
      <c r="AM86" s="825"/>
      <c r="AN86" s="825"/>
      <c r="AO86" s="825"/>
      <c r="AP86" s="825"/>
    </row>
    <row r="87" spans="1:42" ht="12.75" customHeight="1">
      <c r="A87" s="825"/>
      <c r="B87" s="1136"/>
      <c r="C87" s="1136"/>
      <c r="D87" s="1369" t="s">
        <v>880</v>
      </c>
      <c r="E87" s="1369"/>
      <c r="F87" s="1369"/>
      <c r="G87" s="1369"/>
      <c r="H87" s="1369"/>
      <c r="I87" s="1369"/>
      <c r="J87" s="1369"/>
      <c r="K87" s="1369"/>
      <c r="L87" s="1369"/>
      <c r="M87" s="1369"/>
      <c r="N87" s="1369"/>
      <c r="O87" s="1369"/>
      <c r="P87" s="1369"/>
      <c r="Q87" s="1369"/>
      <c r="R87" s="1369"/>
      <c r="S87" s="825"/>
      <c r="T87" s="831">
        <v>0.79105033343544517</v>
      </c>
      <c r="U87" s="831">
        <v>0.79077683896528717</v>
      </c>
      <c r="V87" s="831">
        <v>0.82647852276631972</v>
      </c>
      <c r="W87" s="831">
        <v>0.83902784476209336</v>
      </c>
      <c r="X87" s="831">
        <v>0.83754386567812134</v>
      </c>
      <c r="Y87" s="831">
        <v>0.88536527004828458</v>
      </c>
      <c r="Z87" s="831">
        <v>0.88291908884931081</v>
      </c>
      <c r="AA87" s="831">
        <v>0.86331495282288351</v>
      </c>
      <c r="AB87" s="831">
        <v>0.83012037494751867</v>
      </c>
      <c r="AC87" s="831">
        <v>0.84064898280773459</v>
      </c>
      <c r="AD87" s="825"/>
      <c r="AE87" s="825"/>
      <c r="AF87" s="825"/>
      <c r="AG87" s="825"/>
      <c r="AH87" s="825"/>
      <c r="AI87" s="825"/>
      <c r="AJ87" s="825"/>
      <c r="AK87" s="825"/>
      <c r="AL87" s="825"/>
      <c r="AM87" s="825"/>
      <c r="AN87" s="825"/>
      <c r="AO87" s="825"/>
      <c r="AP87" s="825"/>
    </row>
    <row r="88" spans="1:42" ht="12.75" customHeight="1">
      <c r="A88" s="825"/>
      <c r="B88" s="1136"/>
      <c r="C88" s="1136"/>
      <c r="D88" s="1369" t="s">
        <v>881</v>
      </c>
      <c r="E88" s="1369"/>
      <c r="F88" s="1369"/>
      <c r="G88" s="1369"/>
      <c r="H88" s="1369"/>
      <c r="I88" s="1369"/>
      <c r="J88" s="1369"/>
      <c r="K88" s="1369"/>
      <c r="L88" s="1369"/>
      <c r="M88" s="1369"/>
      <c r="N88" s="1369"/>
      <c r="O88" s="1369"/>
      <c r="P88" s="1369"/>
      <c r="Q88" s="1369"/>
      <c r="R88" s="1369"/>
      <c r="S88" s="825"/>
      <c r="T88" s="831">
        <v>6.0007653989533241E-2</v>
      </c>
      <c r="U88" s="831">
        <v>5.5033128859087815E-2</v>
      </c>
      <c r="V88" s="831">
        <v>7.1686715458711261E-2</v>
      </c>
      <c r="W88" s="831">
        <v>7.7427112943631679E-2</v>
      </c>
      <c r="X88" s="831">
        <v>7.729016848242222E-2</v>
      </c>
      <c r="Y88" s="831">
        <v>2.2282696420089471E-2</v>
      </c>
      <c r="Z88" s="831">
        <v>2.2221131419869516E-2</v>
      </c>
      <c r="AA88" s="831">
        <v>2.532627247649016E-2</v>
      </c>
      <c r="AB88" s="831">
        <v>3.072589017292986E-2</v>
      </c>
      <c r="AC88" s="831">
        <v>0</v>
      </c>
      <c r="AD88" s="825"/>
      <c r="AE88" s="825"/>
      <c r="AF88" s="825"/>
      <c r="AG88" s="825"/>
      <c r="AH88" s="825"/>
      <c r="AI88" s="825"/>
      <c r="AJ88" s="825"/>
      <c r="AK88" s="825"/>
      <c r="AL88" s="825"/>
      <c r="AM88" s="825"/>
      <c r="AN88" s="825"/>
      <c r="AO88" s="825"/>
      <c r="AP88" s="825"/>
    </row>
    <row r="89" spans="1:42" ht="12.75" customHeight="1">
      <c r="A89" s="825"/>
      <c r="B89" s="1136"/>
      <c r="C89" s="1136"/>
      <c r="D89" s="1369" t="s">
        <v>882</v>
      </c>
      <c r="E89" s="1369"/>
      <c r="F89" s="1369"/>
      <c r="G89" s="1369"/>
      <c r="H89" s="1369"/>
      <c r="I89" s="1369"/>
      <c r="J89" s="1369"/>
      <c r="K89" s="1369"/>
      <c r="L89" s="1369"/>
      <c r="M89" s="1369"/>
      <c r="N89" s="1369"/>
      <c r="O89" s="1369"/>
      <c r="P89" s="1369"/>
      <c r="Q89" s="1369"/>
      <c r="R89" s="1369"/>
      <c r="S89" s="825"/>
      <c r="T89" s="831">
        <v>0.14894201257502174</v>
      </c>
      <c r="U89" s="831">
        <v>0.15419003217562499</v>
      </c>
      <c r="V89" s="831">
        <v>0.10183476177496897</v>
      </c>
      <c r="W89" s="831">
        <v>8.3545042294274993E-2</v>
      </c>
      <c r="X89" s="831">
        <v>8.5165965839456459E-2</v>
      </c>
      <c r="Y89" s="831">
        <v>9.2352033531625938E-2</v>
      </c>
      <c r="Z89" s="831">
        <v>9.4859779730819688E-2</v>
      </c>
      <c r="AA89" s="831">
        <v>0.11135877470062634</v>
      </c>
      <c r="AB89" s="831">
        <v>0.13915373487955146</v>
      </c>
      <c r="AC89" s="831">
        <v>0.15935101719226541</v>
      </c>
      <c r="AD89" s="825"/>
      <c r="AE89" s="825"/>
      <c r="AF89" s="825"/>
      <c r="AG89" s="825"/>
      <c r="AH89" s="825"/>
      <c r="AI89" s="825"/>
      <c r="AJ89" s="825"/>
      <c r="AK89" s="825"/>
      <c r="AL89" s="825"/>
      <c r="AM89" s="825"/>
      <c r="AN89" s="825"/>
      <c r="AO89" s="825"/>
      <c r="AP89" s="825"/>
    </row>
    <row r="90" spans="1:42" ht="12.75" customHeight="1">
      <c r="A90" s="825"/>
      <c r="B90" s="1136"/>
      <c r="C90" s="1136"/>
      <c r="D90" s="1369" t="s">
        <v>883</v>
      </c>
      <c r="E90" s="1369"/>
      <c r="F90" s="1369"/>
      <c r="G90" s="1369"/>
      <c r="H90" s="1369"/>
      <c r="I90" s="1369"/>
      <c r="J90" s="1369"/>
      <c r="K90" s="1369"/>
      <c r="L90" s="1369"/>
      <c r="M90" s="1369"/>
      <c r="N90" s="1369"/>
      <c r="O90" s="1369"/>
      <c r="P90" s="1369"/>
      <c r="Q90" s="1369"/>
      <c r="R90" s="1369"/>
      <c r="S90" s="825"/>
      <c r="T90" s="831">
        <v>0</v>
      </c>
      <c r="U90" s="831">
        <v>0</v>
      </c>
      <c r="V90" s="831">
        <v>0</v>
      </c>
      <c r="W90" s="831">
        <v>0</v>
      </c>
      <c r="X90" s="831">
        <v>0</v>
      </c>
      <c r="Y90" s="831">
        <v>0</v>
      </c>
      <c r="Z90" s="831">
        <v>0</v>
      </c>
      <c r="AA90" s="831">
        <v>0</v>
      </c>
      <c r="AB90" s="831">
        <v>0</v>
      </c>
      <c r="AC90" s="831">
        <v>0</v>
      </c>
      <c r="AD90" s="825"/>
      <c r="AE90" s="825"/>
      <c r="AF90" s="825"/>
      <c r="AG90" s="825"/>
      <c r="AH90" s="825"/>
      <c r="AI90" s="825"/>
      <c r="AJ90" s="825"/>
      <c r="AK90" s="825"/>
      <c r="AL90" s="825"/>
      <c r="AM90" s="825"/>
      <c r="AN90" s="825"/>
      <c r="AO90" s="825"/>
      <c r="AP90" s="825"/>
    </row>
    <row r="91" spans="1:42" ht="12.75" customHeight="1">
      <c r="A91" s="825"/>
      <c r="B91" s="1136"/>
      <c r="C91" s="1136"/>
      <c r="D91" s="1369" t="s">
        <v>884</v>
      </c>
      <c r="E91" s="1369"/>
      <c r="F91" s="1369"/>
      <c r="G91" s="1369"/>
      <c r="H91" s="1369"/>
      <c r="I91" s="1369"/>
      <c r="J91" s="1369"/>
      <c r="K91" s="1369"/>
      <c r="L91" s="1369"/>
      <c r="M91" s="1369"/>
      <c r="N91" s="1369"/>
      <c r="O91" s="1369"/>
      <c r="P91" s="1369"/>
      <c r="Q91" s="1369"/>
      <c r="R91" s="1369"/>
      <c r="S91" s="825"/>
      <c r="T91" s="832">
        <v>0</v>
      </c>
      <c r="U91" s="833">
        <v>0</v>
      </c>
      <c r="V91" s="833">
        <v>0</v>
      </c>
      <c r="W91" s="833">
        <v>0</v>
      </c>
      <c r="X91" s="833">
        <v>0</v>
      </c>
      <c r="Y91" s="833">
        <v>0</v>
      </c>
      <c r="Z91" s="833">
        <v>0</v>
      </c>
      <c r="AA91" s="834">
        <v>0</v>
      </c>
      <c r="AB91" s="833">
        <v>0</v>
      </c>
      <c r="AC91" s="833">
        <v>0</v>
      </c>
      <c r="AD91" s="825"/>
      <c r="AE91" s="825"/>
      <c r="AF91" s="825"/>
      <c r="AG91" s="825"/>
      <c r="AH91" s="825"/>
      <c r="AI91" s="825"/>
      <c r="AJ91" s="825"/>
      <c r="AK91" s="825"/>
      <c r="AL91" s="825"/>
      <c r="AM91" s="825"/>
      <c r="AN91" s="825"/>
      <c r="AO91" s="825"/>
      <c r="AP91" s="825"/>
    </row>
    <row r="92" spans="1:42">
      <c r="A92" s="825"/>
      <c r="B92" s="1136"/>
      <c r="C92" s="1136"/>
      <c r="D92" s="1370" t="s">
        <v>613</v>
      </c>
      <c r="E92" s="1370"/>
      <c r="F92" s="1370"/>
      <c r="G92" s="1370"/>
      <c r="H92" s="1370"/>
      <c r="I92" s="1370"/>
      <c r="J92" s="1370"/>
      <c r="K92" s="1370"/>
      <c r="L92" s="1370"/>
      <c r="M92" s="1370"/>
      <c r="N92" s="1370"/>
      <c r="O92" s="1370"/>
      <c r="P92" s="1370"/>
      <c r="Q92" s="1370"/>
      <c r="R92" s="1370"/>
      <c r="S92" s="825"/>
      <c r="T92" s="262">
        <v>1.0000000000000002</v>
      </c>
      <c r="U92" s="263">
        <v>1</v>
      </c>
      <c r="V92" s="263">
        <v>1</v>
      </c>
      <c r="W92" s="263">
        <v>1</v>
      </c>
      <c r="X92" s="263">
        <v>1</v>
      </c>
      <c r="Y92" s="263">
        <v>1</v>
      </c>
      <c r="Z92" s="263">
        <v>1</v>
      </c>
      <c r="AA92" s="264">
        <v>1</v>
      </c>
      <c r="AB92" s="265">
        <v>1</v>
      </c>
      <c r="AC92" s="263">
        <v>1</v>
      </c>
      <c r="AD92" s="825"/>
      <c r="AE92" s="825"/>
      <c r="AF92" s="825"/>
      <c r="AG92" s="825"/>
      <c r="AH92" s="825"/>
      <c r="AI92" s="825"/>
      <c r="AJ92" s="825"/>
      <c r="AK92" s="825"/>
      <c r="AL92" s="825"/>
      <c r="AM92" s="825"/>
      <c r="AN92" s="825"/>
      <c r="AO92" s="825"/>
      <c r="AP92" s="825"/>
    </row>
    <row r="93" spans="1:42">
      <c r="A93" s="825"/>
      <c r="B93" s="1136"/>
      <c r="C93" s="1136"/>
      <c r="D93" s="1153" t="s">
        <v>557</v>
      </c>
      <c r="E93" s="825"/>
      <c r="F93" s="825"/>
      <c r="G93" s="825"/>
      <c r="H93" s="825"/>
      <c r="I93" s="825"/>
      <c r="J93" s="825"/>
      <c r="K93" s="825"/>
      <c r="L93" s="825"/>
      <c r="M93" s="825"/>
      <c r="N93" s="825"/>
      <c r="O93" s="825"/>
      <c r="P93" s="825"/>
      <c r="Q93" s="825"/>
      <c r="R93" s="825"/>
      <c r="S93" s="825"/>
      <c r="T93" s="825" t="s">
        <v>1254</v>
      </c>
      <c r="U93" s="825" t="s">
        <v>1254</v>
      </c>
      <c r="V93" s="825" t="s">
        <v>1254</v>
      </c>
      <c r="W93" s="825" t="s">
        <v>1254</v>
      </c>
      <c r="X93" s="825" t="s">
        <v>1254</v>
      </c>
      <c r="Y93" s="825" t="s">
        <v>1254</v>
      </c>
      <c r="Z93" s="825" t="s">
        <v>1254</v>
      </c>
      <c r="AA93" s="825" t="s">
        <v>1254</v>
      </c>
      <c r="AB93" s="835" t="s">
        <v>1254</v>
      </c>
      <c r="AC93" s="825" t="s">
        <v>1254</v>
      </c>
      <c r="AD93" s="825"/>
      <c r="AE93" s="825"/>
      <c r="AF93" s="825"/>
      <c r="AG93" s="825"/>
      <c r="AH93" s="825"/>
      <c r="AI93" s="825"/>
      <c r="AJ93" s="825"/>
      <c r="AK93" s="825"/>
      <c r="AL93" s="825"/>
      <c r="AM93" s="825"/>
      <c r="AN93" s="825"/>
      <c r="AO93" s="825"/>
      <c r="AP93" s="825"/>
    </row>
    <row r="94" spans="1:42">
      <c r="A94" s="825"/>
      <c r="B94" s="1136"/>
      <c r="C94" s="1136"/>
      <c r="D94" s="825"/>
      <c r="E94" s="825"/>
      <c r="F94" s="825"/>
      <c r="G94" s="825"/>
      <c r="H94" s="825"/>
      <c r="I94" s="825"/>
      <c r="J94" s="825"/>
      <c r="K94" s="825"/>
      <c r="L94" s="825"/>
      <c r="M94" s="825"/>
      <c r="N94" s="825"/>
      <c r="O94" s="825"/>
      <c r="P94" s="825"/>
      <c r="Q94" s="825"/>
      <c r="R94" s="825"/>
      <c r="S94" s="825"/>
      <c r="T94" s="825"/>
      <c r="U94" s="825"/>
      <c r="V94" s="825"/>
      <c r="W94" s="825"/>
      <c r="X94" s="825"/>
      <c r="Y94" s="825"/>
      <c r="Z94" s="825"/>
      <c r="AA94" s="825"/>
      <c r="AB94" s="835"/>
      <c r="AC94" s="825"/>
      <c r="AD94" s="825"/>
      <c r="AE94" s="825"/>
      <c r="AF94" s="825"/>
      <c r="AG94" s="825"/>
      <c r="AH94" s="825"/>
      <c r="AI94" s="825"/>
      <c r="AJ94" s="825"/>
      <c r="AK94" s="825"/>
      <c r="AL94" s="825"/>
      <c r="AM94" s="825"/>
      <c r="AN94" s="825"/>
      <c r="AO94" s="825"/>
      <c r="AP94" s="825"/>
    </row>
    <row r="95" spans="1:42">
      <c r="A95" s="825"/>
      <c r="B95" s="1136"/>
      <c r="C95" s="1136"/>
      <c r="D95" s="1156" t="s">
        <v>885</v>
      </c>
      <c r="E95" s="1156"/>
      <c r="S95" s="825"/>
      <c r="T95" s="825"/>
      <c r="U95" s="825"/>
      <c r="V95" s="825"/>
      <c r="W95" s="825"/>
      <c r="X95" s="825"/>
      <c r="Y95" s="825"/>
      <c r="Z95" s="825"/>
      <c r="AA95" s="825"/>
      <c r="AB95" s="835"/>
      <c r="AC95" s="825"/>
      <c r="AD95" s="825"/>
      <c r="AE95" s="825"/>
      <c r="AF95" s="825"/>
      <c r="AG95" s="825"/>
      <c r="AH95" s="825"/>
      <c r="AI95" s="825"/>
      <c r="AJ95" s="825"/>
      <c r="AK95" s="825"/>
      <c r="AL95" s="825"/>
      <c r="AM95" s="825"/>
      <c r="AN95" s="825"/>
      <c r="AO95" s="825"/>
      <c r="AP95" s="825"/>
    </row>
    <row r="96" spans="1:42">
      <c r="A96" s="825"/>
      <c r="B96" s="1136"/>
      <c r="C96" s="1136"/>
      <c r="D96" s="1369" t="s">
        <v>880</v>
      </c>
      <c r="E96" s="1369"/>
      <c r="F96" s="1369"/>
      <c r="G96" s="1369"/>
      <c r="H96" s="1369"/>
      <c r="I96" s="1369"/>
      <c r="J96" s="1369"/>
      <c r="K96" s="1369"/>
      <c r="L96" s="1369"/>
      <c r="M96" s="1369"/>
      <c r="N96" s="1369"/>
      <c r="O96" s="1369"/>
      <c r="P96" s="1369"/>
      <c r="Q96" s="1369"/>
      <c r="R96" s="1369"/>
      <c r="S96" s="825"/>
      <c r="T96" s="831">
        <v>0.64103119846161216</v>
      </c>
      <c r="U96" s="831">
        <v>0.6531940168175675</v>
      </c>
      <c r="V96" s="831">
        <v>0.64566898564153152</v>
      </c>
      <c r="W96" s="831">
        <v>0.64373977272997562</v>
      </c>
      <c r="X96" s="831">
        <v>0.64260119745596533</v>
      </c>
      <c r="Y96" s="831">
        <v>0.67929192252910786</v>
      </c>
      <c r="Z96" s="831">
        <v>0.69222919027408114</v>
      </c>
      <c r="AA96" s="831">
        <v>0.67974675307695254</v>
      </c>
      <c r="AB96" s="831">
        <v>0.62220851811069333</v>
      </c>
      <c r="AC96" s="831">
        <v>0.70058996427688336</v>
      </c>
      <c r="AD96" s="825"/>
      <c r="AE96" s="825"/>
      <c r="AF96" s="825"/>
      <c r="AG96" s="825"/>
      <c r="AH96" s="825"/>
      <c r="AI96" s="825"/>
      <c r="AJ96" s="825"/>
      <c r="AK96" s="825"/>
      <c r="AL96" s="825"/>
      <c r="AM96" s="825"/>
      <c r="AN96" s="825"/>
      <c r="AO96" s="825"/>
      <c r="AP96" s="825"/>
    </row>
    <row r="97" spans="1:42">
      <c r="A97" s="825"/>
      <c r="B97" s="1136"/>
      <c r="C97" s="1136"/>
      <c r="D97" s="1369" t="s">
        <v>881</v>
      </c>
      <c r="E97" s="1369"/>
      <c r="F97" s="1369"/>
      <c r="G97" s="1369"/>
      <c r="H97" s="1369"/>
      <c r="I97" s="1369"/>
      <c r="J97" s="1369"/>
      <c r="K97" s="1369"/>
      <c r="L97" s="1369"/>
      <c r="M97" s="1369"/>
      <c r="N97" s="1369"/>
      <c r="O97" s="1369"/>
      <c r="P97" s="1369"/>
      <c r="Q97" s="1369"/>
      <c r="R97" s="1369"/>
      <c r="S97" s="825"/>
      <c r="T97" s="831">
        <v>0</v>
      </c>
      <c r="U97" s="831">
        <v>0</v>
      </c>
      <c r="V97" s="831">
        <v>7.0020976870416113E-2</v>
      </c>
      <c r="W97" s="831">
        <v>7.5627988391959666E-2</v>
      </c>
      <c r="X97" s="831">
        <v>7.5494226022048833E-2</v>
      </c>
      <c r="Y97" s="831">
        <v>7.9804734472003105E-2</v>
      </c>
      <c r="Z97" s="831">
        <v>7.9584241475882014E-2</v>
      </c>
      <c r="AA97" s="831">
        <v>9.0705200665466959E-2</v>
      </c>
      <c r="AB97" s="831">
        <v>9.5250259536082571E-2</v>
      </c>
      <c r="AC97" s="831">
        <v>7.1737546076777431E-2</v>
      </c>
      <c r="AD97" s="825"/>
      <c r="AE97" s="825"/>
      <c r="AF97" s="825"/>
      <c r="AG97" s="825"/>
      <c r="AH97" s="825"/>
      <c r="AI97" s="825"/>
      <c r="AJ97" s="825"/>
      <c r="AK97" s="825"/>
      <c r="AL97" s="825"/>
      <c r="AM97" s="825"/>
      <c r="AN97" s="825"/>
      <c r="AO97" s="825"/>
      <c r="AP97" s="825"/>
    </row>
    <row r="98" spans="1:42">
      <c r="A98" s="825"/>
      <c r="B98" s="1136"/>
      <c r="C98" s="1136"/>
      <c r="D98" s="1369" t="s">
        <v>882</v>
      </c>
      <c r="E98" s="1369"/>
      <c r="F98" s="1369"/>
      <c r="G98" s="1369"/>
      <c r="H98" s="1369"/>
      <c r="I98" s="1369"/>
      <c r="J98" s="1369"/>
      <c r="K98" s="1369"/>
      <c r="L98" s="1369"/>
      <c r="M98" s="1369"/>
      <c r="N98" s="1369"/>
      <c r="O98" s="1369"/>
      <c r="P98" s="1369"/>
      <c r="Q98" s="1369"/>
      <c r="R98" s="1369"/>
      <c r="S98" s="825"/>
      <c r="T98" s="831">
        <v>0.20894966656455496</v>
      </c>
      <c r="U98" s="831">
        <v>0.20922316103471275</v>
      </c>
      <c r="V98" s="831">
        <v>0.15397055483584987</v>
      </c>
      <c r="W98" s="831">
        <v>0.13985566988964349</v>
      </c>
      <c r="X98" s="831">
        <v>0.14137699746303622</v>
      </c>
      <c r="Y98" s="831">
        <v>9.2352033531625938E-2</v>
      </c>
      <c r="Z98" s="831">
        <v>9.4859779730819688E-2</v>
      </c>
      <c r="AA98" s="831">
        <v>0.11135877470062634</v>
      </c>
      <c r="AB98" s="831">
        <v>0.13915373487955146</v>
      </c>
      <c r="AC98" s="831">
        <v>0.15935101719226541</v>
      </c>
      <c r="AD98" s="825"/>
      <c r="AE98" s="825"/>
      <c r="AF98" s="825"/>
      <c r="AG98" s="825"/>
      <c r="AH98" s="825"/>
      <c r="AI98" s="825"/>
      <c r="AJ98" s="825"/>
      <c r="AK98" s="825"/>
      <c r="AL98" s="825"/>
      <c r="AM98" s="825"/>
      <c r="AN98" s="825"/>
      <c r="AO98" s="825"/>
      <c r="AP98" s="825"/>
    </row>
    <row r="99" spans="1:42">
      <c r="A99" s="825"/>
      <c r="B99" s="1136"/>
      <c r="C99" s="1136"/>
      <c r="D99" s="1369" t="s">
        <v>883</v>
      </c>
      <c r="E99" s="1369"/>
      <c r="F99" s="1369"/>
      <c r="G99" s="1369"/>
      <c r="H99" s="1369"/>
      <c r="I99" s="1369"/>
      <c r="J99" s="1369"/>
      <c r="K99" s="1369"/>
      <c r="L99" s="1369"/>
      <c r="M99" s="1369"/>
      <c r="N99" s="1369"/>
      <c r="O99" s="1369"/>
      <c r="P99" s="1369"/>
      <c r="Q99" s="1369"/>
      <c r="R99" s="1369"/>
      <c r="S99" s="825"/>
      <c r="T99" s="831">
        <v>0.15001913497383312</v>
      </c>
      <c r="U99" s="831">
        <v>0.13758282214771952</v>
      </c>
      <c r="V99" s="831">
        <v>0.1303394826522023</v>
      </c>
      <c r="W99" s="831">
        <v>0.14077656898842125</v>
      </c>
      <c r="X99" s="831">
        <v>0.14052757905894947</v>
      </c>
      <c r="Y99" s="831">
        <v>0.14855130946726314</v>
      </c>
      <c r="Z99" s="831">
        <v>0.13332678851921709</v>
      </c>
      <c r="AA99" s="831">
        <v>0.11818927155695408</v>
      </c>
      <c r="AB99" s="831">
        <v>0.14338748747367269</v>
      </c>
      <c r="AC99" s="831">
        <v>6.8321472454073745E-2</v>
      </c>
      <c r="AD99" s="825"/>
      <c r="AE99" s="825"/>
      <c r="AF99" s="825"/>
      <c r="AG99" s="825"/>
      <c r="AH99" s="825"/>
      <c r="AI99" s="825"/>
      <c r="AJ99" s="825"/>
      <c r="AK99" s="825"/>
      <c r="AL99" s="825"/>
      <c r="AM99" s="825"/>
      <c r="AN99" s="825"/>
      <c r="AO99" s="825"/>
      <c r="AP99" s="825"/>
    </row>
    <row r="100" spans="1:42">
      <c r="A100" s="825"/>
      <c r="B100" s="1136"/>
      <c r="C100" s="1136"/>
      <c r="D100" s="1158"/>
      <c r="E100" s="1158"/>
      <c r="F100" s="1158"/>
      <c r="G100" s="1158"/>
      <c r="H100" s="1158"/>
      <c r="I100" s="1158"/>
      <c r="J100" s="1158"/>
      <c r="K100" s="1158"/>
      <c r="L100" s="1158"/>
      <c r="M100" s="1158"/>
      <c r="N100" s="1158"/>
      <c r="O100" s="1158"/>
      <c r="P100" s="1158"/>
      <c r="Q100" s="1158"/>
      <c r="R100" s="1158"/>
      <c r="S100" s="825"/>
      <c r="T100" s="832">
        <v>0</v>
      </c>
      <c r="U100" s="833">
        <v>0</v>
      </c>
      <c r="V100" s="833">
        <v>0</v>
      </c>
      <c r="W100" s="833">
        <v>0</v>
      </c>
      <c r="X100" s="833">
        <v>0</v>
      </c>
      <c r="Y100" s="833">
        <v>0</v>
      </c>
      <c r="Z100" s="833">
        <v>0</v>
      </c>
      <c r="AA100" s="834">
        <v>0</v>
      </c>
      <c r="AB100" s="833">
        <v>0</v>
      </c>
      <c r="AC100" s="833">
        <v>0</v>
      </c>
      <c r="AD100" s="825"/>
      <c r="AE100" s="825"/>
      <c r="AF100" s="825"/>
      <c r="AG100" s="825"/>
      <c r="AH100" s="825"/>
      <c r="AI100" s="825"/>
      <c r="AJ100" s="825"/>
      <c r="AK100" s="825"/>
      <c r="AL100" s="825"/>
      <c r="AM100" s="825"/>
      <c r="AN100" s="825"/>
      <c r="AO100" s="825"/>
      <c r="AP100" s="825"/>
    </row>
    <row r="101" spans="1:42">
      <c r="A101" s="825"/>
      <c r="B101" s="1136"/>
      <c r="C101" s="1136"/>
      <c r="D101" s="1370" t="s">
        <v>613</v>
      </c>
      <c r="E101" s="1370"/>
      <c r="F101" s="1370"/>
      <c r="G101" s="1370"/>
      <c r="H101" s="1370"/>
      <c r="I101" s="1370"/>
      <c r="J101" s="1370"/>
      <c r="K101" s="1370"/>
      <c r="L101" s="1370"/>
      <c r="M101" s="1370"/>
      <c r="N101" s="1370"/>
      <c r="O101" s="1370"/>
      <c r="P101" s="1370"/>
      <c r="Q101" s="1370"/>
      <c r="R101" s="1370"/>
      <c r="S101" s="825"/>
      <c r="T101" s="262">
        <v>1.0000000000000002</v>
      </c>
      <c r="U101" s="263">
        <v>0.99999999999999978</v>
      </c>
      <c r="V101" s="263">
        <v>0.99999999999999978</v>
      </c>
      <c r="W101" s="263">
        <v>1</v>
      </c>
      <c r="X101" s="263">
        <v>0.99999999999999978</v>
      </c>
      <c r="Y101" s="263">
        <v>1</v>
      </c>
      <c r="Z101" s="263">
        <v>1</v>
      </c>
      <c r="AA101" s="264">
        <v>1</v>
      </c>
      <c r="AB101" s="265">
        <v>1</v>
      </c>
      <c r="AC101" s="263">
        <v>0.99999999999999989</v>
      </c>
      <c r="AD101" s="825"/>
      <c r="AE101" s="825"/>
      <c r="AF101" s="825"/>
      <c r="AG101" s="825"/>
      <c r="AH101" s="825"/>
      <c r="AI101" s="825"/>
      <c r="AJ101" s="825"/>
      <c r="AK101" s="825"/>
      <c r="AL101" s="825"/>
      <c r="AM101" s="825"/>
      <c r="AN101" s="825"/>
      <c r="AO101" s="825"/>
      <c r="AP101" s="825"/>
    </row>
    <row r="102" spans="1:42">
      <c r="A102" s="825"/>
      <c r="B102" s="1136"/>
      <c r="C102" s="1136"/>
      <c r="D102" s="1153" t="s">
        <v>557</v>
      </c>
      <c r="E102" s="825"/>
      <c r="F102" s="825"/>
      <c r="G102" s="825"/>
      <c r="H102" s="825"/>
      <c r="I102" s="825"/>
      <c r="J102" s="825"/>
      <c r="K102" s="825"/>
      <c r="L102" s="825"/>
      <c r="M102" s="825"/>
      <c r="N102" s="825"/>
      <c r="O102" s="825"/>
      <c r="P102" s="825"/>
      <c r="Q102" s="825"/>
      <c r="R102" s="825"/>
      <c r="S102" s="825"/>
      <c r="T102" s="825" t="s">
        <v>1254</v>
      </c>
      <c r="U102" s="825" t="s">
        <v>1254</v>
      </c>
      <c r="V102" s="825" t="s">
        <v>1254</v>
      </c>
      <c r="W102" s="825" t="s">
        <v>1254</v>
      </c>
      <c r="X102" s="825" t="s">
        <v>1254</v>
      </c>
      <c r="Y102" s="825" t="s">
        <v>1254</v>
      </c>
      <c r="Z102" s="825" t="s">
        <v>1254</v>
      </c>
      <c r="AA102" s="825" t="s">
        <v>1254</v>
      </c>
      <c r="AB102" s="835" t="s">
        <v>1254</v>
      </c>
      <c r="AC102" s="825" t="s">
        <v>1254</v>
      </c>
      <c r="AD102" s="825"/>
      <c r="AE102" s="825"/>
      <c r="AF102" s="825"/>
      <c r="AG102" s="825"/>
      <c r="AH102" s="825"/>
      <c r="AI102" s="825"/>
      <c r="AJ102" s="825"/>
      <c r="AK102" s="825"/>
      <c r="AL102" s="825"/>
      <c r="AM102" s="825"/>
      <c r="AN102" s="825"/>
      <c r="AO102" s="825"/>
      <c r="AP102" s="825"/>
    </row>
    <row r="103" spans="1:42">
      <c r="A103" s="825"/>
      <c r="B103" s="1136"/>
      <c r="C103" s="1136"/>
      <c r="D103" s="825"/>
      <c r="E103" s="825"/>
      <c r="F103" s="825"/>
      <c r="G103" s="825"/>
      <c r="H103" s="825"/>
      <c r="I103" s="825"/>
      <c r="J103" s="825"/>
      <c r="K103" s="825"/>
      <c r="L103" s="825"/>
      <c r="M103" s="825"/>
      <c r="N103" s="825"/>
      <c r="O103" s="825"/>
      <c r="P103" s="825"/>
      <c r="Q103" s="825"/>
      <c r="R103" s="825"/>
      <c r="S103" s="825"/>
      <c r="T103" s="825"/>
      <c r="U103" s="825"/>
      <c r="V103" s="825"/>
      <c r="W103" s="825"/>
      <c r="X103" s="825"/>
      <c r="Y103" s="825"/>
      <c r="Z103" s="825"/>
      <c r="AA103" s="825"/>
      <c r="AB103" s="835"/>
      <c r="AC103" s="825"/>
      <c r="AD103" s="825"/>
      <c r="AE103" s="825"/>
      <c r="AF103" s="825"/>
      <c r="AG103" s="825"/>
      <c r="AH103" s="825"/>
      <c r="AI103" s="825"/>
      <c r="AJ103" s="825"/>
      <c r="AK103" s="825"/>
      <c r="AL103" s="825"/>
      <c r="AM103" s="825"/>
      <c r="AN103" s="825"/>
      <c r="AO103" s="825"/>
      <c r="AP103" s="825"/>
    </row>
    <row r="104" spans="1:42">
      <c r="A104" s="825"/>
      <c r="B104" s="1136"/>
      <c r="C104" s="1136"/>
      <c r="D104" s="1156" t="s">
        <v>886</v>
      </c>
      <c r="E104" s="1156"/>
      <c r="S104" s="825"/>
      <c r="T104" s="1145" t="s">
        <v>486</v>
      </c>
      <c r="U104" s="1146" t="s">
        <v>486</v>
      </c>
      <c r="V104" s="1146" t="s">
        <v>486</v>
      </c>
      <c r="W104" s="1146" t="s">
        <v>486</v>
      </c>
      <c r="X104" s="1146" t="s">
        <v>486</v>
      </c>
      <c r="Y104" s="1146" t="s">
        <v>486</v>
      </c>
      <c r="Z104" s="1146" t="s">
        <v>486</v>
      </c>
      <c r="AA104" s="1147" t="s">
        <v>486</v>
      </c>
      <c r="AB104" s="1148" t="s">
        <v>486</v>
      </c>
      <c r="AC104" s="1146" t="s">
        <v>486</v>
      </c>
      <c r="AD104" s="825"/>
      <c r="AE104" s="825"/>
      <c r="AF104" s="825"/>
      <c r="AG104" s="825"/>
      <c r="AH104" s="825"/>
      <c r="AI104" s="825"/>
      <c r="AJ104" s="825"/>
      <c r="AK104" s="825"/>
      <c r="AL104" s="825"/>
      <c r="AM104" s="825"/>
      <c r="AN104" s="825"/>
      <c r="AO104" s="825"/>
      <c r="AP104" s="825"/>
    </row>
    <row r="105" spans="1:42">
      <c r="A105" s="825"/>
      <c r="B105" s="1136"/>
      <c r="C105" s="1136"/>
      <c r="D105" s="1369" t="s">
        <v>887</v>
      </c>
      <c r="E105" s="1369"/>
      <c r="F105" s="1369"/>
      <c r="G105" s="1369"/>
      <c r="H105" s="1369"/>
      <c r="I105" s="1369"/>
      <c r="J105" s="1369"/>
      <c r="K105" s="1369"/>
      <c r="L105" s="1369"/>
      <c r="M105" s="1369"/>
      <c r="N105" s="1369"/>
      <c r="O105" s="1369"/>
      <c r="P105" s="1369"/>
      <c r="Q105" s="1369"/>
      <c r="R105" s="1369"/>
      <c r="S105" s="825"/>
      <c r="T105" s="836">
        <v>0.72627550158918619</v>
      </c>
      <c r="U105" s="836">
        <v>0.74896676354721314</v>
      </c>
      <c r="V105" s="836">
        <v>0.72571187067825538</v>
      </c>
      <c r="W105" s="836">
        <v>0.75737983950747612</v>
      </c>
      <c r="X105" s="836">
        <v>0.75780895904834533</v>
      </c>
      <c r="Y105" s="836">
        <v>0.74398053025936184</v>
      </c>
      <c r="Z105" s="836">
        <v>0.74468788804110164</v>
      </c>
      <c r="AA105" s="836">
        <v>0.70901103135381249</v>
      </c>
      <c r="AB105" s="836">
        <v>0.84374285690791329</v>
      </c>
      <c r="AC105" s="836">
        <v>0.88577156908514665</v>
      </c>
      <c r="AD105" s="825"/>
      <c r="AE105" s="825"/>
      <c r="AF105" s="825"/>
      <c r="AG105" s="825"/>
      <c r="AH105" s="825"/>
      <c r="AI105" s="825"/>
      <c r="AJ105" s="825"/>
      <c r="AK105" s="825"/>
      <c r="AL105" s="825"/>
      <c r="AM105" s="825"/>
      <c r="AN105" s="825"/>
      <c r="AO105" s="825"/>
      <c r="AP105" s="825"/>
    </row>
    <row r="106" spans="1:42">
      <c r="A106" s="825"/>
      <c r="B106" s="1136"/>
      <c r="C106" s="1136"/>
      <c r="D106" s="1369" t="s">
        <v>888</v>
      </c>
      <c r="E106" s="1369"/>
      <c r="F106" s="1369"/>
      <c r="G106" s="1369"/>
      <c r="H106" s="1369"/>
      <c r="I106" s="1369"/>
      <c r="J106" s="1369"/>
      <c r="K106" s="1369"/>
      <c r="L106" s="1369"/>
      <c r="M106" s="1369"/>
      <c r="N106" s="1369"/>
      <c r="O106" s="1369"/>
      <c r="P106" s="1369"/>
      <c r="Q106" s="1369"/>
      <c r="R106" s="1369"/>
      <c r="S106" s="825"/>
      <c r="T106" s="836">
        <v>0.27372449841081403</v>
      </c>
      <c r="U106" s="836">
        <v>0.25103323645278669</v>
      </c>
      <c r="V106" s="836">
        <v>0.27428812932174446</v>
      </c>
      <c r="W106" s="836">
        <v>0.24262016049252375</v>
      </c>
      <c r="X106" s="836">
        <v>0.24219104095165447</v>
      </c>
      <c r="Y106" s="836">
        <v>0.25601946974063794</v>
      </c>
      <c r="Z106" s="836">
        <v>0.25531211195889819</v>
      </c>
      <c r="AA106" s="836">
        <v>0.29098896864618723</v>
      </c>
      <c r="AB106" s="836">
        <v>0.15625714309208669</v>
      </c>
      <c r="AC106" s="836">
        <v>0.11422843091485331</v>
      </c>
      <c r="AD106" s="825"/>
      <c r="AE106" s="825"/>
      <c r="AF106" s="825"/>
      <c r="AG106" s="825"/>
      <c r="AH106" s="825"/>
      <c r="AI106" s="825"/>
      <c r="AJ106" s="825"/>
      <c r="AK106" s="825"/>
      <c r="AL106" s="825"/>
      <c r="AM106" s="825"/>
      <c r="AN106" s="825"/>
      <c r="AO106" s="825"/>
      <c r="AP106" s="825"/>
    </row>
    <row r="107" spans="1:42">
      <c r="A107" s="825"/>
      <c r="B107" s="1136"/>
      <c r="C107" s="1136"/>
      <c r="D107" s="1370" t="s">
        <v>613</v>
      </c>
      <c r="E107" s="1370"/>
      <c r="F107" s="1370"/>
      <c r="G107" s="1370"/>
      <c r="H107" s="1370"/>
      <c r="I107" s="1370"/>
      <c r="J107" s="1370"/>
      <c r="K107" s="1370"/>
      <c r="L107" s="1370"/>
      <c r="M107" s="1370"/>
      <c r="N107" s="1370"/>
      <c r="O107" s="1370"/>
      <c r="P107" s="1370"/>
      <c r="Q107" s="1370"/>
      <c r="R107" s="1370"/>
      <c r="S107" s="825"/>
      <c r="T107" s="262">
        <v>1.0000000000000002</v>
      </c>
      <c r="U107" s="263">
        <v>0.99999999999999978</v>
      </c>
      <c r="V107" s="263">
        <v>0.99999999999999978</v>
      </c>
      <c r="W107" s="263">
        <v>0.99999999999999989</v>
      </c>
      <c r="X107" s="263">
        <v>0.99999999999999978</v>
      </c>
      <c r="Y107" s="263">
        <v>0.99999999999999978</v>
      </c>
      <c r="Z107" s="263">
        <v>0.99999999999999978</v>
      </c>
      <c r="AA107" s="264">
        <v>0.99999999999999978</v>
      </c>
      <c r="AB107" s="265">
        <v>1</v>
      </c>
      <c r="AC107" s="263">
        <v>1</v>
      </c>
      <c r="AD107" s="825"/>
      <c r="AE107" s="825"/>
      <c r="AF107" s="825"/>
      <c r="AG107" s="825"/>
      <c r="AH107" s="825"/>
      <c r="AI107" s="825"/>
      <c r="AJ107" s="825"/>
      <c r="AK107" s="825"/>
      <c r="AL107" s="825"/>
      <c r="AM107" s="825"/>
      <c r="AN107" s="825"/>
      <c r="AO107" s="825"/>
      <c r="AP107" s="825"/>
    </row>
    <row r="108" spans="1:42">
      <c r="A108" s="825"/>
      <c r="B108" s="1136"/>
      <c r="C108" s="1136"/>
      <c r="D108" s="1153" t="s">
        <v>557</v>
      </c>
      <c r="E108" s="825"/>
      <c r="F108" s="825"/>
      <c r="G108" s="825"/>
      <c r="H108" s="825"/>
      <c r="I108" s="825"/>
      <c r="J108" s="825"/>
      <c r="K108" s="825"/>
      <c r="L108" s="825"/>
      <c r="M108" s="825"/>
      <c r="N108" s="825"/>
      <c r="O108" s="825"/>
      <c r="P108" s="825"/>
      <c r="Q108" s="825"/>
      <c r="R108" s="825"/>
      <c r="S108" s="825"/>
      <c r="T108" s="825" t="s">
        <v>1254</v>
      </c>
      <c r="U108" s="825" t="s">
        <v>1254</v>
      </c>
      <c r="V108" s="825" t="s">
        <v>1254</v>
      </c>
      <c r="W108" s="825" t="s">
        <v>1254</v>
      </c>
      <c r="X108" s="825" t="s">
        <v>1254</v>
      </c>
      <c r="Y108" s="825" t="s">
        <v>1254</v>
      </c>
      <c r="Z108" s="825" t="s">
        <v>1254</v>
      </c>
      <c r="AA108" s="825" t="s">
        <v>1254</v>
      </c>
      <c r="AB108" s="835" t="s">
        <v>1254</v>
      </c>
      <c r="AC108" s="825" t="s">
        <v>1254</v>
      </c>
      <c r="AD108" s="825"/>
      <c r="AE108" s="825"/>
      <c r="AF108" s="825"/>
      <c r="AG108" s="825"/>
      <c r="AH108" s="825"/>
      <c r="AI108" s="825"/>
      <c r="AJ108" s="825"/>
      <c r="AK108" s="825"/>
      <c r="AL108" s="825"/>
      <c r="AM108" s="825"/>
      <c r="AN108" s="825"/>
      <c r="AO108" s="825"/>
      <c r="AP108" s="825"/>
    </row>
    <row r="109" spans="1:42">
      <c r="A109" s="825"/>
      <c r="B109" s="1136"/>
      <c r="C109" s="1136"/>
      <c r="D109" s="825"/>
      <c r="E109" s="825"/>
      <c r="F109" s="825"/>
      <c r="G109" s="825"/>
      <c r="H109" s="825"/>
      <c r="I109" s="825"/>
      <c r="J109" s="825"/>
      <c r="K109" s="825"/>
      <c r="L109" s="825"/>
      <c r="M109" s="825"/>
      <c r="N109" s="825"/>
      <c r="O109" s="825"/>
      <c r="P109" s="825"/>
      <c r="Q109" s="825"/>
      <c r="R109" s="825"/>
      <c r="S109" s="825"/>
      <c r="T109" s="825"/>
      <c r="U109" s="825"/>
      <c r="V109" s="825"/>
      <c r="W109" s="825"/>
      <c r="X109" s="825"/>
      <c r="Y109" s="825"/>
      <c r="Z109" s="825"/>
      <c r="AA109" s="825"/>
      <c r="AB109" s="835"/>
      <c r="AC109" s="825"/>
      <c r="AD109" s="825"/>
      <c r="AE109" s="825"/>
      <c r="AF109" s="825"/>
      <c r="AG109" s="825"/>
      <c r="AH109" s="825"/>
      <c r="AI109" s="825"/>
      <c r="AJ109" s="825"/>
      <c r="AK109" s="825"/>
      <c r="AL109" s="825"/>
      <c r="AM109" s="825"/>
      <c r="AN109" s="825"/>
      <c r="AO109" s="825"/>
      <c r="AP109" s="825"/>
    </row>
    <row r="110" spans="1:42">
      <c r="A110" s="825"/>
      <c r="B110" s="1136"/>
      <c r="C110" s="1136"/>
      <c r="D110" s="1156" t="s">
        <v>889</v>
      </c>
      <c r="E110" s="1156"/>
      <c r="S110" s="825"/>
      <c r="T110" s="1159"/>
      <c r="U110" s="825"/>
      <c r="V110" s="825"/>
      <c r="W110" s="825"/>
      <c r="X110" s="825"/>
      <c r="Y110" s="825"/>
      <c r="Z110" s="825"/>
      <c r="AA110" s="825"/>
      <c r="AB110" s="835"/>
      <c r="AC110" s="825"/>
      <c r="AD110" s="825"/>
      <c r="AE110" s="825"/>
      <c r="AF110" s="825"/>
      <c r="AG110" s="825"/>
      <c r="AH110" s="825"/>
      <c r="AI110" s="825"/>
      <c r="AJ110" s="825"/>
      <c r="AK110" s="825"/>
      <c r="AL110" s="825"/>
      <c r="AM110" s="825"/>
      <c r="AN110" s="825"/>
      <c r="AO110" s="825"/>
      <c r="AP110" s="825"/>
    </row>
    <row r="111" spans="1:42" ht="12.75" customHeight="1">
      <c r="A111" s="825"/>
      <c r="B111" s="1136"/>
      <c r="C111" s="1136"/>
      <c r="D111" s="1369" t="s">
        <v>887</v>
      </c>
      <c r="E111" s="1369"/>
      <c r="F111" s="1369"/>
      <c r="G111" s="1369"/>
      <c r="H111" s="1369"/>
      <c r="I111" s="1369"/>
      <c r="J111" s="1369"/>
      <c r="K111" s="1369"/>
      <c r="L111" s="1369"/>
      <c r="M111" s="1369"/>
      <c r="N111" s="1369"/>
      <c r="O111" s="1369"/>
      <c r="P111" s="1369"/>
      <c r="Q111" s="1369"/>
      <c r="R111" s="1369"/>
      <c r="S111" s="825"/>
      <c r="T111" s="836">
        <v>1.0017079330567142</v>
      </c>
      <c r="U111" s="836">
        <v>1.0015663485196276</v>
      </c>
      <c r="V111" s="836">
        <v>1.0038662324587366</v>
      </c>
      <c r="W111" s="836">
        <v>1.0042387328336912</v>
      </c>
      <c r="X111" s="836">
        <v>1.0042312358347454</v>
      </c>
      <c r="Y111" s="836">
        <v>1.0044728275269907</v>
      </c>
      <c r="Z111" s="836">
        <v>1.0044604695240591</v>
      </c>
      <c r="AA111" s="836">
        <v>1.0050837675366247</v>
      </c>
      <c r="AB111" s="836">
        <v>1.0044763384198119</v>
      </c>
      <c r="AC111" s="836">
        <v>1.000793500820478</v>
      </c>
      <c r="AD111" s="825"/>
      <c r="AE111" s="825"/>
      <c r="AF111" s="825"/>
      <c r="AG111" s="825"/>
      <c r="AH111" s="825"/>
      <c r="AI111" s="825"/>
      <c r="AJ111" s="825"/>
      <c r="AK111" s="825"/>
      <c r="AL111" s="825"/>
      <c r="AM111" s="825"/>
      <c r="AN111" s="825"/>
      <c r="AO111" s="825"/>
      <c r="AP111" s="825"/>
    </row>
    <row r="112" spans="1:42" ht="12.75" customHeight="1">
      <c r="A112" s="825"/>
      <c r="B112" s="1136"/>
      <c r="C112" s="1136"/>
      <c r="D112" s="1369" t="s">
        <v>888</v>
      </c>
      <c r="E112" s="1369"/>
      <c r="F112" s="1369"/>
      <c r="G112" s="1369"/>
      <c r="H112" s="1369"/>
      <c r="I112" s="1369"/>
      <c r="J112" s="1369"/>
      <c r="K112" s="1369"/>
      <c r="L112" s="1369"/>
      <c r="M112" s="1369"/>
      <c r="N112" s="1369"/>
      <c r="O112" s="1369"/>
      <c r="P112" s="1369"/>
      <c r="Q112" s="1369"/>
      <c r="R112" s="1369"/>
      <c r="S112" s="825"/>
      <c r="T112" s="836">
        <v>-1.707933056714035E-3</v>
      </c>
      <c r="U112" s="836">
        <v>-1.5663485196277427E-3</v>
      </c>
      <c r="V112" s="836">
        <v>-3.8662324587368665E-3</v>
      </c>
      <c r="W112" s="836">
        <v>-4.2387328336913306E-3</v>
      </c>
      <c r="X112" s="836">
        <v>-4.2312358347454532E-3</v>
      </c>
      <c r="Y112" s="836">
        <v>-4.4728275269908012E-3</v>
      </c>
      <c r="Z112" s="836">
        <v>-4.4604695240592195E-3</v>
      </c>
      <c r="AA112" s="836">
        <v>-5.0837675366247181E-3</v>
      </c>
      <c r="AB112" s="836">
        <v>-4.4763384198118084E-3</v>
      </c>
      <c r="AC112" s="836">
        <v>-7.9350082047800286E-4</v>
      </c>
      <c r="AD112" s="825"/>
      <c r="AE112" s="825"/>
      <c r="AF112" s="825"/>
      <c r="AG112" s="825"/>
      <c r="AH112" s="825"/>
      <c r="AI112" s="825"/>
      <c r="AJ112" s="825"/>
      <c r="AK112" s="825"/>
      <c r="AL112" s="825"/>
      <c r="AM112" s="825"/>
      <c r="AN112" s="825"/>
      <c r="AO112" s="825"/>
      <c r="AP112" s="825"/>
    </row>
    <row r="113" spans="1:42">
      <c r="A113" s="825"/>
      <c r="B113" s="1136"/>
      <c r="C113" s="1136"/>
      <c r="D113" s="1370" t="s">
        <v>613</v>
      </c>
      <c r="E113" s="1370"/>
      <c r="F113" s="1370"/>
      <c r="G113" s="1370"/>
      <c r="H113" s="1370"/>
      <c r="I113" s="1370"/>
      <c r="J113" s="1370"/>
      <c r="K113" s="1370"/>
      <c r="L113" s="1370"/>
      <c r="M113" s="1370"/>
      <c r="N113" s="1370"/>
      <c r="O113" s="1370"/>
      <c r="P113" s="1370"/>
      <c r="Q113" s="1370"/>
      <c r="R113" s="1370"/>
      <c r="S113" s="825"/>
      <c r="T113" s="262">
        <v>1.0000000000000002</v>
      </c>
      <c r="U113" s="263">
        <v>0.99999999999999978</v>
      </c>
      <c r="V113" s="263">
        <v>0.99999999999999978</v>
      </c>
      <c r="W113" s="263">
        <v>0.99999999999999989</v>
      </c>
      <c r="X113" s="263">
        <v>0.99999999999999989</v>
      </c>
      <c r="Y113" s="263">
        <v>0.99999999999999989</v>
      </c>
      <c r="Z113" s="263">
        <v>0.99999999999999989</v>
      </c>
      <c r="AA113" s="264">
        <v>0.99999999999999989</v>
      </c>
      <c r="AB113" s="265">
        <v>1</v>
      </c>
      <c r="AC113" s="263">
        <v>1</v>
      </c>
      <c r="AD113" s="825"/>
      <c r="AE113" s="825"/>
      <c r="AF113" s="825"/>
      <c r="AG113" s="825"/>
      <c r="AH113" s="825"/>
      <c r="AI113" s="825"/>
      <c r="AJ113" s="825"/>
      <c r="AK113" s="825"/>
      <c r="AL113" s="825"/>
      <c r="AM113" s="825"/>
      <c r="AN113" s="825"/>
      <c r="AO113" s="825"/>
      <c r="AP113" s="825"/>
    </row>
    <row r="114" spans="1:42">
      <c r="A114" s="825"/>
      <c r="B114" s="1136"/>
      <c r="C114" s="1136"/>
      <c r="D114" s="1153" t="s">
        <v>557</v>
      </c>
      <c r="E114" s="825"/>
      <c r="F114" s="825"/>
      <c r="G114" s="825"/>
      <c r="H114" s="825"/>
      <c r="I114" s="825"/>
      <c r="J114" s="825"/>
      <c r="K114" s="825"/>
      <c r="L114" s="825"/>
      <c r="M114" s="825"/>
      <c r="N114" s="825"/>
      <c r="O114" s="825"/>
      <c r="P114" s="825"/>
      <c r="Q114" s="825"/>
      <c r="R114" s="825"/>
      <c r="S114" s="825"/>
      <c r="T114" s="825" t="s">
        <v>1254</v>
      </c>
      <c r="U114" s="825" t="s">
        <v>1254</v>
      </c>
      <c r="V114" s="825" t="s">
        <v>1254</v>
      </c>
      <c r="W114" s="825" t="s">
        <v>1254</v>
      </c>
      <c r="X114" s="825" t="s">
        <v>1254</v>
      </c>
      <c r="Y114" s="825" t="s">
        <v>1254</v>
      </c>
      <c r="Z114" s="825" t="s">
        <v>1254</v>
      </c>
      <c r="AA114" s="825" t="s">
        <v>1254</v>
      </c>
      <c r="AB114" s="835" t="s">
        <v>1254</v>
      </c>
      <c r="AC114" s="825" t="s">
        <v>1254</v>
      </c>
      <c r="AD114" s="825"/>
      <c r="AE114" s="825"/>
      <c r="AF114" s="825"/>
      <c r="AG114" s="825"/>
      <c r="AH114" s="825"/>
      <c r="AI114" s="825"/>
      <c r="AJ114" s="825"/>
      <c r="AK114" s="825"/>
      <c r="AL114" s="825"/>
      <c r="AM114" s="825"/>
      <c r="AN114" s="825"/>
      <c r="AO114" s="825"/>
      <c r="AP114" s="825"/>
    </row>
    <row r="115" spans="1:42">
      <c r="A115" s="825"/>
      <c r="B115" s="1136"/>
      <c r="C115" s="1136"/>
      <c r="D115" s="1153"/>
      <c r="E115" s="825"/>
      <c r="F115" s="825"/>
      <c r="G115" s="825"/>
      <c r="H115" s="825"/>
      <c r="I115" s="825"/>
      <c r="J115" s="825"/>
      <c r="K115" s="825"/>
      <c r="L115" s="825"/>
      <c r="M115" s="825"/>
      <c r="N115" s="825"/>
      <c r="O115" s="825"/>
      <c r="P115" s="825"/>
      <c r="Q115" s="825"/>
      <c r="R115" s="825"/>
      <c r="S115" s="825"/>
      <c r="T115" s="825"/>
      <c r="U115" s="825"/>
      <c r="V115" s="825"/>
      <c r="W115" s="825"/>
      <c r="X115" s="825"/>
      <c r="Y115" s="825"/>
      <c r="Z115" s="825"/>
      <c r="AA115" s="825"/>
      <c r="AB115" s="825"/>
      <c r="AC115" s="825"/>
      <c r="AD115" s="825"/>
      <c r="AE115" s="825"/>
      <c r="AF115" s="825"/>
      <c r="AG115" s="825"/>
      <c r="AH115" s="825"/>
      <c r="AI115" s="825"/>
      <c r="AJ115" s="825"/>
      <c r="AK115" s="825"/>
      <c r="AL115" s="825"/>
      <c r="AM115" s="825"/>
      <c r="AN115" s="825"/>
      <c r="AO115" s="825"/>
      <c r="AP115" s="825"/>
    </row>
    <row r="116" spans="1:42">
      <c r="A116" s="825"/>
      <c r="B116" s="1136"/>
      <c r="C116" s="1136"/>
      <c r="D116" s="1153"/>
      <c r="E116" s="825"/>
      <c r="F116" s="825"/>
      <c r="G116" s="825"/>
      <c r="H116" s="825"/>
      <c r="I116" s="825"/>
      <c r="J116" s="825"/>
      <c r="K116" s="825"/>
      <c r="L116" s="825"/>
      <c r="M116" s="825"/>
      <c r="N116" s="825"/>
      <c r="O116" s="825"/>
      <c r="P116" s="825"/>
      <c r="Q116" s="825"/>
      <c r="R116" s="825"/>
      <c r="S116" s="825"/>
      <c r="T116" s="825"/>
      <c r="U116" s="825"/>
      <c r="V116" s="825"/>
      <c r="W116" s="825"/>
      <c r="X116" s="825"/>
      <c r="Y116" s="825"/>
      <c r="Z116" s="825"/>
      <c r="AA116" s="825"/>
      <c r="AB116" s="825"/>
      <c r="AC116" s="825"/>
      <c r="AD116" s="825"/>
      <c r="AE116" s="825"/>
      <c r="AF116" s="825"/>
      <c r="AG116" s="825"/>
      <c r="AH116" s="825"/>
      <c r="AI116" s="825"/>
      <c r="AJ116" s="825"/>
      <c r="AK116" s="825"/>
      <c r="AL116" s="825"/>
      <c r="AM116" s="825"/>
      <c r="AN116" s="825"/>
      <c r="AO116" s="825"/>
      <c r="AP116" s="825"/>
    </row>
    <row r="117" spans="1:42">
      <c r="A117" s="825"/>
      <c r="B117" s="1143" t="s">
        <v>890</v>
      </c>
      <c r="C117" s="1136"/>
      <c r="D117" s="825"/>
      <c r="E117" s="825"/>
      <c r="F117" s="825"/>
      <c r="G117" s="825"/>
      <c r="H117" s="825"/>
      <c r="I117" s="825"/>
      <c r="J117" s="825"/>
      <c r="K117" s="825"/>
      <c r="L117" s="825"/>
      <c r="M117" s="825"/>
      <c r="N117" s="825"/>
      <c r="O117" s="825"/>
      <c r="P117" s="825"/>
      <c r="Q117" s="825"/>
      <c r="R117" s="825"/>
      <c r="S117" s="825"/>
      <c r="T117" s="825"/>
      <c r="U117" s="825"/>
      <c r="V117" s="825"/>
      <c r="W117" s="825"/>
      <c r="X117" s="825"/>
      <c r="Y117" s="825"/>
      <c r="Z117" s="825"/>
      <c r="AA117" s="825"/>
      <c r="AB117" s="825"/>
      <c r="AC117" s="825"/>
      <c r="AD117" s="825"/>
      <c r="AE117" s="825"/>
      <c r="AF117" s="825"/>
      <c r="AG117" s="825"/>
      <c r="AH117" s="825"/>
      <c r="AI117" s="825"/>
      <c r="AJ117" s="825"/>
      <c r="AK117" s="825"/>
      <c r="AL117" s="825"/>
      <c r="AM117" s="825"/>
      <c r="AN117" s="825"/>
      <c r="AO117" s="825"/>
      <c r="AP117" s="825"/>
    </row>
    <row r="118" spans="1:42">
      <c r="A118" s="825"/>
      <c r="B118" s="1143"/>
      <c r="C118" s="1136"/>
      <c r="D118" s="825"/>
      <c r="E118" s="825"/>
      <c r="F118" s="825"/>
      <c r="G118" s="825"/>
      <c r="H118" s="825"/>
      <c r="I118" s="825"/>
      <c r="J118" s="825"/>
      <c r="K118" s="825"/>
      <c r="L118" s="825"/>
      <c r="M118" s="825"/>
      <c r="N118" s="825"/>
      <c r="O118" s="825"/>
      <c r="P118" s="825"/>
      <c r="Q118" s="825"/>
      <c r="R118" s="825"/>
      <c r="S118" s="825"/>
      <c r="T118" s="825"/>
      <c r="U118" s="825"/>
      <c r="V118" s="825"/>
      <c r="W118" s="825"/>
      <c r="X118" s="825"/>
      <c r="Y118" s="825"/>
      <c r="Z118" s="825"/>
      <c r="AA118" s="825"/>
      <c r="AB118" s="825"/>
      <c r="AC118" s="825"/>
      <c r="AD118" s="825"/>
      <c r="AE118" s="825"/>
      <c r="AF118" s="825"/>
      <c r="AG118" s="825"/>
      <c r="AH118" s="825"/>
      <c r="AI118" s="825"/>
      <c r="AJ118" s="825"/>
      <c r="AK118" s="825"/>
      <c r="AL118" s="825"/>
      <c r="AM118" s="825"/>
      <c r="AN118" s="825"/>
      <c r="AO118" s="825"/>
      <c r="AP118" s="825"/>
    </row>
    <row r="119" spans="1:42">
      <c r="A119" s="825"/>
      <c r="B119" s="1143"/>
      <c r="C119" s="825"/>
      <c r="D119" s="1131" t="s">
        <v>778</v>
      </c>
      <c r="E119" s="825"/>
      <c r="F119" s="825"/>
      <c r="G119" s="825"/>
      <c r="H119" s="825"/>
      <c r="I119" s="825"/>
      <c r="J119" s="825"/>
      <c r="K119" s="825"/>
      <c r="L119" s="825"/>
      <c r="M119" s="825"/>
      <c r="N119" s="825"/>
      <c r="O119" s="825"/>
      <c r="P119" s="825"/>
      <c r="Q119" s="825"/>
      <c r="R119" s="825"/>
      <c r="S119" s="825"/>
      <c r="T119" s="825"/>
      <c r="U119" s="825"/>
      <c r="V119" s="825"/>
      <c r="W119" s="825"/>
      <c r="X119" s="825"/>
      <c r="Y119" s="825"/>
      <c r="Z119" s="825"/>
      <c r="AA119" s="825"/>
      <c r="AB119" s="825"/>
      <c r="AC119" s="825"/>
      <c r="AD119" s="825"/>
      <c r="AE119" s="825"/>
      <c r="AF119" s="825"/>
      <c r="AG119" s="825"/>
      <c r="AH119" s="825"/>
      <c r="AI119" s="825"/>
      <c r="AJ119" s="825"/>
      <c r="AK119" s="825"/>
      <c r="AL119" s="825"/>
      <c r="AM119" s="825"/>
      <c r="AN119" s="825"/>
      <c r="AO119" s="825"/>
      <c r="AP119" s="825"/>
    </row>
    <row r="120" spans="1:42">
      <c r="A120" s="825"/>
      <c r="B120" s="1136"/>
      <c r="C120" s="1136"/>
      <c r="D120" s="825" t="s">
        <v>779</v>
      </c>
      <c r="E120" s="825"/>
      <c r="F120" s="825"/>
      <c r="G120" s="825"/>
      <c r="H120" s="825"/>
      <c r="I120" s="825"/>
      <c r="J120" s="825"/>
      <c r="K120" s="825"/>
      <c r="L120" s="825"/>
      <c r="M120" s="825"/>
      <c r="N120" s="825"/>
      <c r="O120" s="825"/>
      <c r="P120" s="825"/>
      <c r="Q120" s="825"/>
      <c r="R120" s="825"/>
      <c r="S120" s="825"/>
      <c r="T120" s="768">
        <v>5272.9962319368333</v>
      </c>
      <c r="U120" s="768">
        <v>5747.6422319368339</v>
      </c>
      <c r="V120" s="768">
        <v>6340.9682618711468</v>
      </c>
      <c r="W120" s="768">
        <v>5959.9964027472688</v>
      </c>
      <c r="X120" s="768">
        <v>5959.9964027472688</v>
      </c>
      <c r="Y120" s="768">
        <v>5959.9964027472688</v>
      </c>
      <c r="Z120" s="768">
        <v>5959.9964027472688</v>
      </c>
      <c r="AA120" s="768">
        <v>5113.1584027472682</v>
      </c>
      <c r="AB120" s="768">
        <v>4052.5451188337179</v>
      </c>
      <c r="AC120" s="768">
        <v>3691.2947830837179</v>
      </c>
      <c r="AD120" s="825"/>
      <c r="AE120" s="825"/>
      <c r="AF120" s="825"/>
      <c r="AG120" s="825"/>
      <c r="AH120" s="825"/>
      <c r="AI120" s="825"/>
      <c r="AJ120" s="825"/>
      <c r="AK120" s="825"/>
      <c r="AL120" s="825"/>
      <c r="AM120" s="825"/>
      <c r="AN120" s="825"/>
      <c r="AO120" s="825"/>
      <c r="AP120" s="825"/>
    </row>
    <row r="121" spans="1:42">
      <c r="A121" s="825"/>
      <c r="B121" s="1136"/>
      <c r="C121" s="1136"/>
      <c r="D121" s="825" t="s">
        <v>780</v>
      </c>
      <c r="E121" s="825"/>
      <c r="F121" s="825"/>
      <c r="G121" s="825"/>
      <c r="H121" s="825"/>
      <c r="I121" s="825"/>
      <c r="J121" s="825"/>
      <c r="K121" s="825"/>
      <c r="L121" s="825"/>
      <c r="M121" s="825"/>
      <c r="N121" s="825"/>
      <c r="O121" s="825"/>
      <c r="P121" s="825"/>
      <c r="Q121" s="825"/>
      <c r="R121" s="825"/>
      <c r="S121" s="825"/>
      <c r="T121" s="768">
        <v>400</v>
      </c>
      <c r="U121" s="768">
        <v>400</v>
      </c>
      <c r="V121" s="768">
        <v>550</v>
      </c>
      <c r="W121" s="768">
        <v>550</v>
      </c>
      <c r="X121" s="768">
        <v>550</v>
      </c>
      <c r="Y121" s="768">
        <v>150</v>
      </c>
      <c r="Z121" s="768">
        <v>150</v>
      </c>
      <c r="AA121" s="768">
        <v>150</v>
      </c>
      <c r="AB121" s="768">
        <v>150</v>
      </c>
      <c r="AC121" s="768">
        <v>0</v>
      </c>
      <c r="AD121" s="825"/>
      <c r="AE121" s="825"/>
      <c r="AF121" s="825"/>
      <c r="AG121" s="825"/>
      <c r="AH121" s="825"/>
      <c r="AI121" s="825"/>
      <c r="AJ121" s="825"/>
      <c r="AK121" s="825"/>
      <c r="AL121" s="825"/>
      <c r="AM121" s="825"/>
      <c r="AN121" s="825"/>
      <c r="AO121" s="825"/>
      <c r="AP121" s="825"/>
    </row>
    <row r="122" spans="1:42">
      <c r="A122" s="825"/>
      <c r="B122" s="1136"/>
      <c r="C122" s="1136"/>
      <c r="D122" s="825" t="s">
        <v>891</v>
      </c>
      <c r="E122" s="825"/>
      <c r="F122" s="825"/>
      <c r="G122" s="825"/>
      <c r="H122" s="825"/>
      <c r="I122" s="825"/>
      <c r="J122" s="825"/>
      <c r="K122" s="825"/>
      <c r="L122" s="825"/>
      <c r="M122" s="825"/>
      <c r="N122" s="825"/>
      <c r="O122" s="825"/>
      <c r="P122" s="825"/>
      <c r="Q122" s="825"/>
      <c r="R122" s="825"/>
      <c r="S122" s="825"/>
      <c r="T122" s="768">
        <v>992.82009992259157</v>
      </c>
      <c r="U122" s="768">
        <v>1120.7070022889534</v>
      </c>
      <c r="V122" s="768">
        <v>781.30402010804903</v>
      </c>
      <c r="W122" s="768">
        <v>593.45843484185571</v>
      </c>
      <c r="X122" s="768">
        <v>606.04449610371819</v>
      </c>
      <c r="Y122" s="768">
        <v>621.68441236109015</v>
      </c>
      <c r="Z122" s="768">
        <v>640.33494473192343</v>
      </c>
      <c r="AA122" s="768">
        <v>659.5449930738821</v>
      </c>
      <c r="AB122" s="768">
        <v>679.33134286609913</v>
      </c>
      <c r="AC122" s="768">
        <v>699.71128315208284</v>
      </c>
      <c r="AD122" s="825"/>
      <c r="AE122" s="825"/>
      <c r="AF122" s="825"/>
      <c r="AG122" s="825"/>
      <c r="AH122" s="825"/>
      <c r="AI122" s="825"/>
      <c r="AJ122" s="825"/>
      <c r="AK122" s="825"/>
      <c r="AL122" s="825"/>
      <c r="AM122" s="825"/>
      <c r="AN122" s="825"/>
      <c r="AO122" s="825"/>
      <c r="AP122" s="825"/>
    </row>
    <row r="123" spans="1:42">
      <c r="A123" s="825"/>
      <c r="B123" s="1136"/>
      <c r="C123" s="1136"/>
      <c r="D123" s="825" t="s">
        <v>892</v>
      </c>
      <c r="E123" s="825"/>
      <c r="F123" s="825"/>
      <c r="G123" s="825"/>
      <c r="H123" s="825"/>
      <c r="I123" s="825"/>
      <c r="J123" s="825"/>
      <c r="K123" s="825"/>
      <c r="L123" s="825"/>
      <c r="M123" s="825"/>
      <c r="N123" s="825"/>
      <c r="O123" s="825"/>
      <c r="P123" s="825"/>
      <c r="Q123" s="825"/>
      <c r="R123" s="825"/>
      <c r="S123" s="825"/>
      <c r="T123" s="768">
        <v>0</v>
      </c>
      <c r="U123" s="768">
        <v>0</v>
      </c>
      <c r="V123" s="768">
        <v>0</v>
      </c>
      <c r="W123" s="768">
        <v>0</v>
      </c>
      <c r="X123" s="768">
        <v>0</v>
      </c>
      <c r="Y123" s="768">
        <v>0</v>
      </c>
      <c r="Z123" s="768">
        <v>0</v>
      </c>
      <c r="AA123" s="768">
        <v>0</v>
      </c>
      <c r="AB123" s="768">
        <v>0</v>
      </c>
      <c r="AC123" s="768">
        <v>0</v>
      </c>
      <c r="AD123" s="825"/>
      <c r="AE123" s="825"/>
      <c r="AF123" s="825"/>
      <c r="AG123" s="825"/>
      <c r="AH123" s="825"/>
      <c r="AI123" s="825"/>
      <c r="AJ123" s="825"/>
      <c r="AK123" s="825"/>
      <c r="AL123" s="825"/>
      <c r="AM123" s="825"/>
      <c r="AN123" s="825"/>
      <c r="AO123" s="825"/>
      <c r="AP123" s="825"/>
    </row>
    <row r="124" spans="1:42">
      <c r="A124" s="825"/>
      <c r="B124" s="1136"/>
      <c r="C124" s="1136"/>
      <c r="D124" s="825" t="s">
        <v>893</v>
      </c>
      <c r="E124" s="825"/>
      <c r="F124" s="825"/>
      <c r="G124" s="825"/>
      <c r="H124" s="825"/>
      <c r="I124" s="825"/>
      <c r="J124" s="825"/>
      <c r="K124" s="825"/>
      <c r="L124" s="825"/>
      <c r="M124" s="825"/>
      <c r="N124" s="825"/>
      <c r="O124" s="825"/>
      <c r="P124" s="825"/>
      <c r="Q124" s="825"/>
      <c r="R124" s="825"/>
      <c r="S124" s="825"/>
      <c r="T124" s="768">
        <v>0</v>
      </c>
      <c r="U124" s="768">
        <v>0</v>
      </c>
      <c r="V124" s="768">
        <v>0</v>
      </c>
      <c r="W124" s="768">
        <v>0</v>
      </c>
      <c r="X124" s="768">
        <v>0</v>
      </c>
      <c r="Y124" s="768">
        <v>0</v>
      </c>
      <c r="Z124" s="768">
        <v>0</v>
      </c>
      <c r="AA124" s="768">
        <v>0</v>
      </c>
      <c r="AB124" s="768">
        <v>0</v>
      </c>
      <c r="AC124" s="768">
        <v>0</v>
      </c>
      <c r="AD124" s="825"/>
      <c r="AE124" s="825"/>
      <c r="AF124" s="825"/>
      <c r="AG124" s="825"/>
      <c r="AH124" s="825"/>
      <c r="AI124" s="825"/>
      <c r="AJ124" s="825"/>
      <c r="AK124" s="825"/>
      <c r="AL124" s="825"/>
      <c r="AM124" s="825"/>
      <c r="AN124" s="825"/>
      <c r="AO124" s="825"/>
      <c r="AP124" s="825"/>
    </row>
    <row r="125" spans="1:42">
      <c r="A125" s="825"/>
      <c r="B125" s="1136"/>
      <c r="C125" s="1136"/>
      <c r="D125" s="1131" t="s">
        <v>613</v>
      </c>
      <c r="E125" s="1131"/>
      <c r="F125" s="1131"/>
      <c r="G125" s="1131"/>
      <c r="H125" s="1131"/>
      <c r="I125" s="1131"/>
      <c r="J125" s="1131"/>
      <c r="K125" s="1131"/>
      <c r="L125" s="1131"/>
      <c r="M125" s="1131"/>
      <c r="N125" s="1131"/>
      <c r="O125" s="1131"/>
      <c r="P125" s="1131"/>
      <c r="Q125" s="1131"/>
      <c r="R125" s="1131"/>
      <c r="S125" s="1131"/>
      <c r="T125" s="772">
        <v>6665.8163318594252</v>
      </c>
      <c r="U125" s="772">
        <v>7268.3492342257869</v>
      </c>
      <c r="V125" s="772">
        <v>7672.2722819791961</v>
      </c>
      <c r="W125" s="772">
        <v>7103.4548375891245</v>
      </c>
      <c r="X125" s="772">
        <v>7116.0408988509871</v>
      </c>
      <c r="Y125" s="772">
        <v>6731.6808151083587</v>
      </c>
      <c r="Z125" s="772">
        <v>6750.3313474791921</v>
      </c>
      <c r="AA125" s="772">
        <v>5922.7033958211505</v>
      </c>
      <c r="AB125" s="772">
        <v>4881.8764616998169</v>
      </c>
      <c r="AC125" s="772">
        <v>4391.006066235801</v>
      </c>
      <c r="AD125" s="825"/>
      <c r="AE125" s="825"/>
      <c r="AF125" s="825"/>
      <c r="AG125" s="825"/>
      <c r="AH125" s="825"/>
      <c r="AI125" s="825"/>
      <c r="AJ125" s="825"/>
      <c r="AK125" s="825"/>
      <c r="AL125" s="825"/>
      <c r="AM125" s="825"/>
      <c r="AN125" s="825"/>
      <c r="AO125" s="825"/>
      <c r="AP125" s="825"/>
    </row>
    <row r="126" spans="1:42">
      <c r="A126" s="825"/>
      <c r="B126" s="1136"/>
      <c r="C126" s="1136"/>
      <c r="D126" s="825"/>
      <c r="E126" s="825"/>
      <c r="F126" s="825"/>
      <c r="G126" s="825"/>
      <c r="H126" s="825"/>
      <c r="I126" s="825"/>
      <c r="J126" s="825"/>
      <c r="K126" s="825"/>
      <c r="L126" s="825"/>
      <c r="M126" s="825"/>
      <c r="N126" s="825"/>
      <c r="O126" s="825"/>
      <c r="P126" s="825"/>
      <c r="Q126" s="825"/>
      <c r="R126" s="825"/>
      <c r="S126" s="825"/>
      <c r="T126" s="825"/>
      <c r="U126" s="825"/>
      <c r="V126" s="825"/>
      <c r="W126" s="825"/>
      <c r="X126" s="825"/>
      <c r="Y126" s="825"/>
      <c r="Z126" s="825"/>
      <c r="AA126" s="825"/>
      <c r="AB126" s="825"/>
      <c r="AC126" s="825"/>
      <c r="AD126" s="825"/>
      <c r="AE126" s="825"/>
      <c r="AF126" s="825"/>
      <c r="AG126" s="825"/>
      <c r="AH126" s="825"/>
      <c r="AI126" s="825"/>
      <c r="AJ126" s="825"/>
      <c r="AK126" s="825"/>
      <c r="AL126" s="825"/>
      <c r="AM126" s="825"/>
      <c r="AN126" s="825"/>
      <c r="AO126" s="825"/>
      <c r="AP126" s="825"/>
    </row>
    <row r="127" spans="1:42">
      <c r="A127" s="825"/>
      <c r="B127" s="1143"/>
      <c r="C127" s="825"/>
      <c r="D127" s="1131" t="s">
        <v>787</v>
      </c>
      <c r="E127" s="825"/>
      <c r="F127" s="825"/>
      <c r="G127" s="825"/>
      <c r="H127" s="825"/>
      <c r="I127" s="825"/>
      <c r="J127" s="825"/>
      <c r="K127" s="825"/>
      <c r="L127" s="825"/>
      <c r="M127" s="825"/>
      <c r="N127" s="825"/>
      <c r="O127" s="825"/>
      <c r="P127" s="825"/>
      <c r="Q127" s="825"/>
      <c r="R127" s="825"/>
      <c r="S127" s="825"/>
      <c r="T127" s="825"/>
      <c r="U127" s="825"/>
      <c r="V127" s="825"/>
      <c r="W127" s="825"/>
      <c r="X127" s="825"/>
      <c r="Y127" s="825"/>
      <c r="Z127" s="825"/>
      <c r="AA127" s="825"/>
      <c r="AB127" s="825"/>
      <c r="AC127" s="825"/>
      <c r="AD127" s="825"/>
      <c r="AE127" s="825"/>
      <c r="AF127" s="825"/>
      <c r="AG127" s="825"/>
      <c r="AH127" s="825"/>
      <c r="AI127" s="825"/>
      <c r="AJ127" s="825"/>
      <c r="AK127" s="825"/>
      <c r="AL127" s="825"/>
      <c r="AM127" s="825"/>
      <c r="AN127" s="825"/>
      <c r="AO127" s="825"/>
      <c r="AP127" s="825"/>
    </row>
    <row r="128" spans="1:42">
      <c r="A128" s="825"/>
      <c r="B128" s="1136"/>
      <c r="C128" s="1136"/>
      <c r="D128" s="825" t="s">
        <v>779</v>
      </c>
      <c r="E128" s="825"/>
      <c r="F128" s="825"/>
      <c r="G128" s="825"/>
      <c r="H128" s="825"/>
      <c r="I128" s="825"/>
      <c r="J128" s="825"/>
      <c r="K128" s="825"/>
      <c r="L128" s="825"/>
      <c r="M128" s="825"/>
      <c r="N128" s="825"/>
      <c r="O128" s="825"/>
      <c r="P128" s="825"/>
      <c r="Q128" s="825"/>
      <c r="R128" s="825"/>
      <c r="S128" s="825"/>
      <c r="T128" s="768">
        <v>-1000</v>
      </c>
      <c r="U128" s="768">
        <v>-1000</v>
      </c>
      <c r="V128" s="768">
        <v>-1387.22</v>
      </c>
      <c r="W128" s="768">
        <v>-1387.22</v>
      </c>
      <c r="X128" s="768">
        <v>-1387.22</v>
      </c>
      <c r="Y128" s="768">
        <v>-1387.22</v>
      </c>
      <c r="Z128" s="768">
        <v>-1287.22</v>
      </c>
      <c r="AA128" s="768">
        <v>-1087.22</v>
      </c>
      <c r="AB128" s="768">
        <v>-1015</v>
      </c>
      <c r="AC128" s="768">
        <v>-615</v>
      </c>
      <c r="AD128" s="825"/>
      <c r="AE128" s="825"/>
      <c r="AF128" s="825"/>
      <c r="AG128" s="825"/>
      <c r="AH128" s="825"/>
      <c r="AI128" s="825"/>
      <c r="AJ128" s="825"/>
      <c r="AK128" s="825"/>
      <c r="AL128" s="825"/>
      <c r="AM128" s="825"/>
      <c r="AN128" s="825"/>
      <c r="AO128" s="825"/>
      <c r="AP128" s="825"/>
    </row>
    <row r="129" spans="1:42">
      <c r="A129" s="825"/>
      <c r="B129" s="1136"/>
      <c r="C129" s="1136"/>
      <c r="D129" s="825" t="s">
        <v>780</v>
      </c>
      <c r="E129" s="825"/>
      <c r="F129" s="825"/>
      <c r="G129" s="825"/>
      <c r="H129" s="825"/>
      <c r="I129" s="825"/>
      <c r="J129" s="825"/>
      <c r="K129" s="825"/>
      <c r="L129" s="825"/>
      <c r="M129" s="825"/>
      <c r="N129" s="825"/>
      <c r="O129" s="825"/>
      <c r="P129" s="825"/>
      <c r="Q129" s="825"/>
      <c r="R129" s="825"/>
      <c r="S129" s="825"/>
      <c r="T129" s="768">
        <v>-400</v>
      </c>
      <c r="U129" s="768">
        <v>-400</v>
      </c>
      <c r="V129" s="768">
        <v>-12.779999999999973</v>
      </c>
      <c r="W129" s="768">
        <v>-12.779999999999973</v>
      </c>
      <c r="X129" s="768">
        <v>-12.779999999999973</v>
      </c>
      <c r="Y129" s="768">
        <v>387.22</v>
      </c>
      <c r="Z129" s="768">
        <v>387.22</v>
      </c>
      <c r="AA129" s="768">
        <v>387.22</v>
      </c>
      <c r="AB129" s="768">
        <v>315</v>
      </c>
      <c r="AC129" s="768">
        <v>315</v>
      </c>
      <c r="AD129" s="825"/>
      <c r="AE129" s="825"/>
      <c r="AF129" s="825"/>
      <c r="AG129" s="825"/>
      <c r="AH129" s="825"/>
      <c r="AI129" s="825"/>
      <c r="AJ129" s="825"/>
      <c r="AK129" s="825"/>
      <c r="AL129" s="825"/>
      <c r="AM129" s="825"/>
      <c r="AN129" s="825"/>
      <c r="AO129" s="825"/>
      <c r="AP129" s="825"/>
    </row>
    <row r="130" spans="1:42">
      <c r="A130" s="825"/>
      <c r="B130" s="1136"/>
      <c r="C130" s="1136"/>
      <c r="D130" s="825" t="s">
        <v>891</v>
      </c>
      <c r="E130" s="825"/>
      <c r="F130" s="825"/>
      <c r="G130" s="825"/>
      <c r="H130" s="825"/>
      <c r="I130" s="825"/>
      <c r="J130" s="825"/>
      <c r="K130" s="825"/>
      <c r="L130" s="825"/>
      <c r="M130" s="825"/>
      <c r="N130" s="825"/>
      <c r="O130" s="825"/>
      <c r="P130" s="825"/>
      <c r="Q130" s="825"/>
      <c r="R130" s="825"/>
      <c r="S130" s="825"/>
      <c r="T130" s="768">
        <v>400</v>
      </c>
      <c r="U130" s="768">
        <v>400</v>
      </c>
      <c r="V130" s="768">
        <v>400</v>
      </c>
      <c r="W130" s="768">
        <v>400</v>
      </c>
      <c r="X130" s="768">
        <v>400</v>
      </c>
      <c r="Y130" s="768">
        <v>0</v>
      </c>
      <c r="Z130" s="768">
        <v>0</v>
      </c>
      <c r="AA130" s="768">
        <v>0</v>
      </c>
      <c r="AB130" s="768">
        <v>0</v>
      </c>
      <c r="AC130" s="768">
        <v>0</v>
      </c>
      <c r="AD130" s="825"/>
      <c r="AE130" s="825"/>
      <c r="AF130" s="825"/>
      <c r="AG130" s="825"/>
      <c r="AH130" s="825"/>
      <c r="AI130" s="825"/>
      <c r="AJ130" s="825"/>
      <c r="AK130" s="825"/>
      <c r="AL130" s="825"/>
      <c r="AM130" s="825"/>
      <c r="AN130" s="825"/>
      <c r="AO130" s="825"/>
      <c r="AP130" s="825"/>
    </row>
    <row r="131" spans="1:42">
      <c r="A131" s="825"/>
      <c r="B131" s="1136"/>
      <c r="C131" s="1136"/>
      <c r="D131" s="825" t="s">
        <v>892</v>
      </c>
      <c r="E131" s="825"/>
      <c r="F131" s="825"/>
      <c r="G131" s="825"/>
      <c r="H131" s="825"/>
      <c r="I131" s="825"/>
      <c r="J131" s="825"/>
      <c r="K131" s="825"/>
      <c r="L131" s="825"/>
      <c r="M131" s="825"/>
      <c r="N131" s="825"/>
      <c r="O131" s="825"/>
      <c r="P131" s="825"/>
      <c r="Q131" s="825"/>
      <c r="R131" s="825"/>
      <c r="S131" s="825"/>
      <c r="T131" s="768">
        <v>1000</v>
      </c>
      <c r="U131" s="768">
        <v>1000</v>
      </c>
      <c r="V131" s="768">
        <v>1000</v>
      </c>
      <c r="W131" s="768">
        <v>1000</v>
      </c>
      <c r="X131" s="768">
        <v>1000</v>
      </c>
      <c r="Y131" s="768">
        <v>1000</v>
      </c>
      <c r="Z131" s="768">
        <v>900</v>
      </c>
      <c r="AA131" s="768">
        <v>700</v>
      </c>
      <c r="AB131" s="768">
        <v>700</v>
      </c>
      <c r="AC131" s="768">
        <v>300</v>
      </c>
      <c r="AD131" s="825"/>
      <c r="AE131" s="825"/>
      <c r="AF131" s="825"/>
      <c r="AG131" s="825"/>
      <c r="AH131" s="825"/>
      <c r="AI131" s="825"/>
      <c r="AJ131" s="825"/>
      <c r="AK131" s="825"/>
      <c r="AL131" s="825"/>
      <c r="AM131" s="825"/>
      <c r="AN131" s="825"/>
      <c r="AO131" s="825"/>
      <c r="AP131" s="825"/>
    </row>
    <row r="132" spans="1:42">
      <c r="A132" s="825"/>
      <c r="B132" s="1136"/>
      <c r="C132" s="1136"/>
      <c r="D132" s="825" t="s">
        <v>893</v>
      </c>
      <c r="E132" s="825"/>
      <c r="F132" s="825"/>
      <c r="G132" s="825"/>
      <c r="H132" s="825"/>
      <c r="I132" s="825"/>
      <c r="J132" s="825"/>
      <c r="K132" s="825"/>
      <c r="L132" s="825"/>
      <c r="M132" s="825"/>
      <c r="N132" s="825"/>
      <c r="O132" s="825"/>
      <c r="P132" s="825"/>
      <c r="Q132" s="825"/>
      <c r="R132" s="825"/>
      <c r="S132" s="825"/>
      <c r="T132" s="768">
        <v>0</v>
      </c>
      <c r="U132" s="768">
        <v>0</v>
      </c>
      <c r="V132" s="768">
        <v>0</v>
      </c>
      <c r="W132" s="768">
        <v>0</v>
      </c>
      <c r="X132" s="768">
        <v>0</v>
      </c>
      <c r="Y132" s="768">
        <v>0</v>
      </c>
      <c r="Z132" s="768">
        <v>0</v>
      </c>
      <c r="AA132" s="768">
        <v>0</v>
      </c>
      <c r="AB132" s="768">
        <v>0</v>
      </c>
      <c r="AC132" s="768">
        <v>0</v>
      </c>
      <c r="AD132" s="825"/>
      <c r="AE132" s="825"/>
      <c r="AF132" s="825"/>
      <c r="AG132" s="825"/>
      <c r="AH132" s="825"/>
      <c r="AI132" s="825"/>
      <c r="AJ132" s="825"/>
      <c r="AK132" s="825"/>
      <c r="AL132" s="825"/>
      <c r="AM132" s="825"/>
      <c r="AN132" s="825"/>
      <c r="AO132" s="825"/>
      <c r="AP132" s="825"/>
    </row>
    <row r="133" spans="1:42">
      <c r="A133" s="825"/>
      <c r="B133" s="1136"/>
      <c r="C133" s="1136"/>
      <c r="D133" s="1131" t="s">
        <v>613</v>
      </c>
      <c r="E133" s="1131"/>
      <c r="F133" s="1131"/>
      <c r="G133" s="1131"/>
      <c r="H133" s="1131"/>
      <c r="I133" s="1131"/>
      <c r="J133" s="1131"/>
      <c r="K133" s="1131"/>
      <c r="L133" s="1131"/>
      <c r="M133" s="1131"/>
      <c r="N133" s="1131"/>
      <c r="O133" s="1131"/>
      <c r="P133" s="1131"/>
      <c r="Q133" s="1131"/>
      <c r="R133" s="1131"/>
      <c r="S133" s="1131"/>
      <c r="T133" s="772">
        <v>0</v>
      </c>
      <c r="U133" s="772">
        <v>0</v>
      </c>
      <c r="V133" s="772">
        <v>0</v>
      </c>
      <c r="W133" s="772">
        <v>0</v>
      </c>
      <c r="X133" s="772">
        <v>0</v>
      </c>
      <c r="Y133" s="772">
        <v>0</v>
      </c>
      <c r="Z133" s="772">
        <v>0</v>
      </c>
      <c r="AA133" s="772">
        <v>0</v>
      </c>
      <c r="AB133" s="772">
        <v>0</v>
      </c>
      <c r="AC133" s="772">
        <v>0</v>
      </c>
      <c r="AD133" s="825"/>
      <c r="AE133" s="825"/>
      <c r="AF133" s="825"/>
      <c r="AG133" s="825"/>
      <c r="AH133" s="825"/>
      <c r="AI133" s="825"/>
      <c r="AJ133" s="825"/>
      <c r="AK133" s="825"/>
      <c r="AL133" s="825"/>
      <c r="AM133" s="825"/>
      <c r="AN133" s="825"/>
      <c r="AO133" s="825"/>
      <c r="AP133" s="825"/>
    </row>
    <row r="134" spans="1:42">
      <c r="A134" s="825"/>
      <c r="B134" s="1136"/>
      <c r="C134" s="1136"/>
      <c r="D134" s="1131"/>
      <c r="E134" s="825"/>
      <c r="F134" s="825"/>
      <c r="G134" s="825"/>
      <c r="H134" s="825"/>
      <c r="I134" s="825"/>
      <c r="J134" s="825"/>
      <c r="K134" s="825"/>
      <c r="L134" s="825"/>
      <c r="M134" s="825"/>
      <c r="N134" s="825"/>
      <c r="O134" s="825"/>
      <c r="P134" s="825"/>
      <c r="Q134" s="825"/>
      <c r="R134" s="825"/>
      <c r="S134" s="825"/>
      <c r="T134" s="825"/>
      <c r="U134" s="825"/>
      <c r="V134" s="825"/>
      <c r="W134" s="825"/>
      <c r="X134" s="825"/>
      <c r="Y134" s="825"/>
      <c r="Z134" s="825"/>
      <c r="AA134" s="825"/>
      <c r="AB134" s="825"/>
      <c r="AC134" s="825"/>
      <c r="AD134" s="825"/>
      <c r="AE134" s="825"/>
      <c r="AF134" s="825"/>
      <c r="AG134" s="825"/>
      <c r="AH134" s="825"/>
      <c r="AI134" s="825"/>
      <c r="AJ134" s="825"/>
      <c r="AK134" s="825"/>
      <c r="AL134" s="825"/>
      <c r="AM134" s="825"/>
      <c r="AN134" s="825"/>
      <c r="AO134" s="825"/>
      <c r="AP134" s="825"/>
    </row>
    <row r="135" spans="1:42">
      <c r="A135" s="825"/>
      <c r="B135" s="1143"/>
      <c r="C135" s="825"/>
      <c r="D135" s="1131" t="s">
        <v>788</v>
      </c>
      <c r="E135" s="825"/>
      <c r="F135" s="825"/>
      <c r="G135" s="825"/>
      <c r="H135" s="825"/>
      <c r="I135" s="825"/>
      <c r="J135" s="825"/>
      <c r="K135" s="825"/>
      <c r="L135" s="825"/>
      <c r="M135" s="825"/>
      <c r="N135" s="825"/>
      <c r="O135" s="825"/>
      <c r="P135" s="825"/>
      <c r="Q135" s="825"/>
      <c r="R135" s="825"/>
      <c r="S135" s="825"/>
      <c r="T135" s="825"/>
      <c r="U135" s="825"/>
      <c r="V135" s="825"/>
      <c r="W135" s="825"/>
      <c r="X135" s="825"/>
      <c r="Y135" s="825"/>
      <c r="Z135" s="825"/>
      <c r="AA135" s="825"/>
      <c r="AB135" s="825"/>
      <c r="AC135" s="825"/>
      <c r="AD135" s="825"/>
      <c r="AE135" s="825"/>
      <c r="AF135" s="825"/>
      <c r="AG135" s="825"/>
      <c r="AH135" s="825"/>
      <c r="AI135" s="825"/>
      <c r="AJ135" s="825"/>
      <c r="AK135" s="825"/>
      <c r="AL135" s="825"/>
      <c r="AM135" s="825"/>
      <c r="AN135" s="825"/>
      <c r="AO135" s="825"/>
      <c r="AP135" s="825"/>
    </row>
    <row r="136" spans="1:42">
      <c r="A136" s="825"/>
      <c r="B136" s="1136"/>
      <c r="C136" s="1136"/>
      <c r="D136" s="825" t="s">
        <v>779</v>
      </c>
      <c r="E136" s="825"/>
      <c r="F136" s="825"/>
      <c r="G136" s="825"/>
      <c r="H136" s="825"/>
      <c r="I136" s="825"/>
      <c r="J136" s="825"/>
      <c r="K136" s="825"/>
      <c r="L136" s="825"/>
      <c r="M136" s="825"/>
      <c r="N136" s="825"/>
      <c r="O136" s="825"/>
      <c r="P136" s="825"/>
      <c r="Q136" s="825"/>
      <c r="R136" s="825"/>
      <c r="S136" s="825"/>
      <c r="T136" s="768">
        <v>4272.9962319368333</v>
      </c>
      <c r="U136" s="768">
        <v>4747.6422319368339</v>
      </c>
      <c r="V136" s="768">
        <v>4953.7482618711465</v>
      </c>
      <c r="W136" s="768">
        <v>4572.7764027472685</v>
      </c>
      <c r="X136" s="768">
        <v>4572.7764027472685</v>
      </c>
      <c r="Y136" s="768">
        <v>4572.7764027472685</v>
      </c>
      <c r="Z136" s="768">
        <v>4672.7764027472685</v>
      </c>
      <c r="AA136" s="768">
        <v>4025.9384027472679</v>
      </c>
      <c r="AB136" s="768">
        <v>3037.5451188337179</v>
      </c>
      <c r="AC136" s="768">
        <v>3076.2947830837179</v>
      </c>
      <c r="AD136" s="825"/>
      <c r="AE136" s="825"/>
      <c r="AF136" s="825"/>
      <c r="AG136" s="825"/>
      <c r="AH136" s="825"/>
      <c r="AI136" s="825"/>
      <c r="AJ136" s="825"/>
      <c r="AK136" s="825"/>
      <c r="AL136" s="825"/>
      <c r="AM136" s="825"/>
      <c r="AN136" s="825"/>
      <c r="AO136" s="825"/>
      <c r="AP136" s="825"/>
    </row>
    <row r="137" spans="1:42">
      <c r="A137" s="825"/>
      <c r="B137" s="1136"/>
      <c r="C137" s="1136"/>
      <c r="D137" s="825" t="s">
        <v>780</v>
      </c>
      <c r="E137" s="825"/>
      <c r="F137" s="825"/>
      <c r="G137" s="825"/>
      <c r="H137" s="825"/>
      <c r="I137" s="825"/>
      <c r="J137" s="825"/>
      <c r="K137" s="825"/>
      <c r="L137" s="825"/>
      <c r="M137" s="825"/>
      <c r="N137" s="825"/>
      <c r="O137" s="825"/>
      <c r="P137" s="825"/>
      <c r="Q137" s="825"/>
      <c r="R137" s="825"/>
      <c r="S137" s="825"/>
      <c r="T137" s="768">
        <v>0</v>
      </c>
      <c r="U137" s="768">
        <v>0</v>
      </c>
      <c r="V137" s="768">
        <v>537.22</v>
      </c>
      <c r="W137" s="768">
        <v>537.22</v>
      </c>
      <c r="X137" s="768">
        <v>537.22</v>
      </c>
      <c r="Y137" s="768">
        <v>537.22</v>
      </c>
      <c r="Z137" s="768">
        <v>537.22</v>
      </c>
      <c r="AA137" s="768">
        <v>537.22</v>
      </c>
      <c r="AB137" s="768">
        <v>465</v>
      </c>
      <c r="AC137" s="768">
        <v>315</v>
      </c>
      <c r="AD137" s="825"/>
      <c r="AE137" s="825"/>
      <c r="AF137" s="825"/>
      <c r="AG137" s="825"/>
      <c r="AH137" s="825"/>
      <c r="AI137" s="825"/>
      <c r="AJ137" s="825"/>
      <c r="AK137" s="825"/>
      <c r="AL137" s="825"/>
      <c r="AM137" s="825"/>
      <c r="AN137" s="825"/>
      <c r="AO137" s="825"/>
      <c r="AP137" s="825"/>
    </row>
    <row r="138" spans="1:42">
      <c r="A138" s="825"/>
      <c r="B138" s="1136"/>
      <c r="C138" s="1136"/>
      <c r="D138" s="825" t="s">
        <v>891</v>
      </c>
      <c r="E138" s="825"/>
      <c r="F138" s="825"/>
      <c r="G138" s="825"/>
      <c r="H138" s="825"/>
      <c r="I138" s="825"/>
      <c r="J138" s="825"/>
      <c r="K138" s="825"/>
      <c r="L138" s="825"/>
      <c r="M138" s="825"/>
      <c r="N138" s="825"/>
      <c r="O138" s="825"/>
      <c r="P138" s="825"/>
      <c r="Q138" s="825"/>
      <c r="R138" s="825"/>
      <c r="S138" s="825"/>
      <c r="T138" s="768">
        <v>1392.8200999225915</v>
      </c>
      <c r="U138" s="768">
        <v>1520.7070022889534</v>
      </c>
      <c r="V138" s="768">
        <v>1181.3040201080489</v>
      </c>
      <c r="W138" s="768">
        <v>993.45843484185571</v>
      </c>
      <c r="X138" s="768">
        <v>1006.0444961037182</v>
      </c>
      <c r="Y138" s="768">
        <v>621.68441236109015</v>
      </c>
      <c r="Z138" s="768">
        <v>640.33494473192343</v>
      </c>
      <c r="AA138" s="768">
        <v>659.5449930738821</v>
      </c>
      <c r="AB138" s="768">
        <v>679.33134286609913</v>
      </c>
      <c r="AC138" s="768">
        <v>699.71128315208284</v>
      </c>
      <c r="AD138" s="825"/>
      <c r="AE138" s="825"/>
      <c r="AF138" s="825"/>
      <c r="AG138" s="825"/>
      <c r="AH138" s="825"/>
      <c r="AI138" s="825"/>
      <c r="AJ138" s="825"/>
      <c r="AK138" s="825"/>
      <c r="AL138" s="825"/>
      <c r="AM138" s="825"/>
      <c r="AN138" s="825"/>
      <c r="AO138" s="825"/>
      <c r="AP138" s="825"/>
    </row>
    <row r="139" spans="1:42">
      <c r="A139" s="825"/>
      <c r="B139" s="1136"/>
      <c r="C139" s="1136"/>
      <c r="D139" s="825" t="s">
        <v>892</v>
      </c>
      <c r="E139" s="825"/>
      <c r="F139" s="825"/>
      <c r="G139" s="825"/>
      <c r="H139" s="825"/>
      <c r="I139" s="825"/>
      <c r="J139" s="825"/>
      <c r="K139" s="825"/>
      <c r="L139" s="825"/>
      <c r="M139" s="825"/>
      <c r="N139" s="825"/>
      <c r="O139" s="825"/>
      <c r="P139" s="825"/>
      <c r="Q139" s="825"/>
      <c r="R139" s="825"/>
      <c r="S139" s="825"/>
      <c r="T139" s="768">
        <v>1000</v>
      </c>
      <c r="U139" s="768">
        <v>1000</v>
      </c>
      <c r="V139" s="768">
        <v>1000</v>
      </c>
      <c r="W139" s="768">
        <v>1000</v>
      </c>
      <c r="X139" s="768">
        <v>1000</v>
      </c>
      <c r="Y139" s="768">
        <v>1000</v>
      </c>
      <c r="Z139" s="768">
        <v>900</v>
      </c>
      <c r="AA139" s="768">
        <v>700</v>
      </c>
      <c r="AB139" s="768">
        <v>700</v>
      </c>
      <c r="AC139" s="768">
        <v>300</v>
      </c>
      <c r="AD139" s="825"/>
      <c r="AE139" s="825"/>
      <c r="AF139" s="825"/>
      <c r="AG139" s="825"/>
      <c r="AH139" s="825"/>
      <c r="AI139" s="825"/>
      <c r="AJ139" s="825"/>
      <c r="AK139" s="825"/>
      <c r="AL139" s="825"/>
      <c r="AM139" s="825"/>
      <c r="AN139" s="825"/>
      <c r="AO139" s="825"/>
      <c r="AP139" s="825"/>
    </row>
    <row r="140" spans="1:42">
      <c r="A140" s="825"/>
      <c r="B140" s="1136"/>
      <c r="C140" s="1136"/>
      <c r="D140" s="825" t="s">
        <v>893</v>
      </c>
      <c r="E140" s="825"/>
      <c r="F140" s="825"/>
      <c r="G140" s="825"/>
      <c r="H140" s="825"/>
      <c r="I140" s="825"/>
      <c r="J140" s="825"/>
      <c r="K140" s="825"/>
      <c r="L140" s="825"/>
      <c r="M140" s="825"/>
      <c r="N140" s="825"/>
      <c r="O140" s="825"/>
      <c r="P140" s="825"/>
      <c r="Q140" s="825"/>
      <c r="R140" s="825"/>
      <c r="S140" s="825"/>
      <c r="T140" s="768">
        <v>0</v>
      </c>
      <c r="U140" s="768">
        <v>0</v>
      </c>
      <c r="V140" s="768">
        <v>0</v>
      </c>
      <c r="W140" s="768">
        <v>0</v>
      </c>
      <c r="X140" s="768">
        <v>0</v>
      </c>
      <c r="Y140" s="768">
        <v>0</v>
      </c>
      <c r="Z140" s="768">
        <v>0</v>
      </c>
      <c r="AA140" s="768">
        <v>0</v>
      </c>
      <c r="AB140" s="768">
        <v>0</v>
      </c>
      <c r="AC140" s="768">
        <v>0</v>
      </c>
      <c r="AD140" s="825"/>
      <c r="AE140" s="825"/>
      <c r="AF140" s="825"/>
      <c r="AG140" s="825"/>
      <c r="AH140" s="825"/>
      <c r="AI140" s="825"/>
      <c r="AJ140" s="825"/>
      <c r="AK140" s="825"/>
      <c r="AL140" s="825"/>
      <c r="AM140" s="825"/>
      <c r="AN140" s="825"/>
      <c r="AO140" s="825"/>
      <c r="AP140" s="825"/>
    </row>
    <row r="141" spans="1:42">
      <c r="A141" s="825"/>
      <c r="B141" s="1136"/>
      <c r="C141" s="1136"/>
      <c r="D141" s="1131" t="s">
        <v>613</v>
      </c>
      <c r="E141" s="1131"/>
      <c r="F141" s="1131"/>
      <c r="G141" s="1131"/>
      <c r="H141" s="1131"/>
      <c r="I141" s="1131"/>
      <c r="J141" s="1131"/>
      <c r="K141" s="1131"/>
      <c r="L141" s="1131"/>
      <c r="M141" s="1131"/>
      <c r="N141" s="1131"/>
      <c r="O141" s="1131"/>
      <c r="P141" s="1131"/>
      <c r="Q141" s="1131"/>
      <c r="R141" s="1131"/>
      <c r="S141" s="1131"/>
      <c r="T141" s="772">
        <v>6665.8163318594252</v>
      </c>
      <c r="U141" s="772">
        <v>7268.3492342257869</v>
      </c>
      <c r="V141" s="772">
        <v>7672.2722819791961</v>
      </c>
      <c r="W141" s="772">
        <v>7103.4548375891245</v>
      </c>
      <c r="X141" s="772">
        <v>7116.0408988509871</v>
      </c>
      <c r="Y141" s="772">
        <v>6731.6808151083587</v>
      </c>
      <c r="Z141" s="772">
        <v>6750.3313474791921</v>
      </c>
      <c r="AA141" s="772">
        <v>5922.7033958211505</v>
      </c>
      <c r="AB141" s="772">
        <v>4881.8764616998169</v>
      </c>
      <c r="AC141" s="772">
        <v>4391.006066235801</v>
      </c>
      <c r="AD141" s="825"/>
      <c r="AE141" s="825"/>
      <c r="AF141" s="825"/>
      <c r="AG141" s="825"/>
      <c r="AH141" s="825"/>
      <c r="AI141" s="825"/>
      <c r="AJ141" s="825"/>
      <c r="AK141" s="825"/>
      <c r="AL141" s="825"/>
      <c r="AM141" s="825"/>
      <c r="AN141" s="825"/>
      <c r="AO141" s="825"/>
      <c r="AP141" s="825"/>
    </row>
    <row r="142" spans="1:42">
      <c r="A142" s="825"/>
      <c r="B142" s="1136"/>
      <c r="C142" s="1136"/>
      <c r="D142" s="1131"/>
      <c r="E142" s="825"/>
      <c r="F142" s="825"/>
      <c r="G142" s="825"/>
      <c r="H142" s="825"/>
      <c r="I142" s="825"/>
      <c r="J142" s="825"/>
      <c r="K142" s="825"/>
      <c r="L142" s="825"/>
      <c r="M142" s="825"/>
      <c r="N142" s="825"/>
      <c r="O142" s="825"/>
      <c r="P142" s="825"/>
      <c r="Q142" s="825"/>
      <c r="R142" s="825"/>
      <c r="S142" s="825"/>
      <c r="T142" s="825"/>
      <c r="U142" s="825"/>
      <c r="V142" s="825"/>
      <c r="W142" s="825"/>
      <c r="X142" s="825"/>
      <c r="Y142" s="825"/>
      <c r="Z142" s="825"/>
      <c r="AA142" s="825"/>
      <c r="AB142" s="825"/>
      <c r="AC142" s="825"/>
      <c r="AD142" s="825"/>
      <c r="AE142" s="825"/>
      <c r="AF142" s="825"/>
      <c r="AG142" s="825"/>
      <c r="AH142" s="825"/>
      <c r="AI142" s="825"/>
      <c r="AJ142" s="825"/>
      <c r="AK142" s="825"/>
      <c r="AL142" s="825"/>
      <c r="AM142" s="825"/>
      <c r="AN142" s="825"/>
      <c r="AO142" s="825"/>
      <c r="AP142" s="825"/>
    </row>
    <row r="143" spans="1:42" ht="15" customHeight="1">
      <c r="A143" s="1160"/>
      <c r="B143" s="1161" t="s">
        <v>789</v>
      </c>
      <c r="C143" s="1161"/>
      <c r="D143" s="1162"/>
      <c r="E143" s="1162"/>
      <c r="F143" s="1162"/>
      <c r="G143" s="1162"/>
      <c r="H143" s="1162"/>
      <c r="I143" s="1162"/>
      <c r="J143" s="1162"/>
      <c r="K143" s="1162"/>
      <c r="L143" s="1162"/>
      <c r="M143" s="1162"/>
      <c r="N143" s="1162"/>
      <c r="O143" s="1162"/>
      <c r="P143" s="1162"/>
      <c r="Q143" s="1162"/>
      <c r="R143" s="1162"/>
      <c r="S143" s="1162"/>
      <c r="T143" s="1162"/>
      <c r="U143" s="1162"/>
      <c r="V143" s="1162"/>
      <c r="W143" s="1162"/>
      <c r="X143" s="1162"/>
      <c r="Y143" s="1162"/>
      <c r="Z143" s="1162"/>
      <c r="AA143" s="1162"/>
      <c r="AB143" s="1162"/>
      <c r="AC143" s="1162"/>
      <c r="AD143" s="1163"/>
      <c r="AE143" s="1163"/>
      <c r="AF143" s="1163"/>
      <c r="AG143" s="1163"/>
      <c r="AH143" s="1163"/>
      <c r="AI143" s="1163"/>
      <c r="AJ143" s="1163"/>
      <c r="AK143" s="1163"/>
      <c r="AL143" s="1163"/>
      <c r="AM143" s="121"/>
      <c r="AN143" s="121"/>
      <c r="AO143" s="121"/>
      <c r="AP143" s="121"/>
    </row>
    <row r="144" spans="1:42">
      <c r="A144" s="825"/>
      <c r="B144" s="1136"/>
      <c r="C144" s="1136"/>
      <c r="D144" s="825"/>
      <c r="E144" s="825"/>
      <c r="F144" s="825"/>
      <c r="G144" s="825"/>
      <c r="H144" s="825"/>
      <c r="I144" s="825"/>
      <c r="J144" s="825"/>
      <c r="K144" s="825"/>
      <c r="L144" s="825"/>
      <c r="M144" s="825"/>
      <c r="N144" s="825"/>
      <c r="O144" s="825"/>
      <c r="P144" s="825"/>
      <c r="Q144" s="825"/>
      <c r="R144" s="825"/>
      <c r="S144" s="825"/>
      <c r="T144" s="825"/>
      <c r="U144" s="825"/>
      <c r="V144" s="825"/>
      <c r="W144" s="825"/>
      <c r="X144" s="825"/>
      <c r="Y144" s="825"/>
      <c r="Z144" s="825"/>
      <c r="AA144" s="825"/>
      <c r="AB144" s="825"/>
      <c r="AC144" s="825"/>
      <c r="AD144" s="825"/>
      <c r="AE144" s="825"/>
      <c r="AF144" s="825"/>
      <c r="AG144" s="825"/>
      <c r="AH144" s="825"/>
      <c r="AI144" s="825"/>
      <c r="AJ144" s="825"/>
      <c r="AK144" s="825"/>
      <c r="AL144" s="825"/>
      <c r="AM144" s="825"/>
      <c r="AN144" s="825"/>
      <c r="AO144" s="825"/>
      <c r="AP144" s="825"/>
    </row>
    <row r="145" spans="1:42">
      <c r="A145" s="825"/>
      <c r="B145" s="1136"/>
      <c r="C145" s="1136"/>
      <c r="D145" s="825"/>
      <c r="E145" s="825"/>
      <c r="F145" s="825"/>
      <c r="G145" s="825"/>
      <c r="H145" s="825"/>
      <c r="I145" s="825"/>
      <c r="J145" s="825"/>
      <c r="K145" s="825"/>
      <c r="L145" s="825"/>
      <c r="M145" s="825"/>
      <c r="N145" s="825"/>
      <c r="O145" s="825"/>
      <c r="P145" s="825"/>
      <c r="Q145" s="825"/>
      <c r="R145" s="825"/>
      <c r="S145" s="825"/>
      <c r="T145" s="825"/>
      <c r="U145" s="825"/>
      <c r="V145" s="825"/>
      <c r="W145" s="825"/>
      <c r="X145" s="825"/>
      <c r="Y145" s="825"/>
      <c r="Z145" s="825"/>
      <c r="AA145" s="825"/>
      <c r="AB145" s="825"/>
      <c r="AC145" s="825"/>
      <c r="AD145" s="825"/>
      <c r="AE145" s="825"/>
      <c r="AF145" s="825"/>
      <c r="AG145" s="825"/>
      <c r="AH145" s="825"/>
      <c r="AI145" s="825"/>
      <c r="AJ145" s="825"/>
      <c r="AK145" s="825"/>
      <c r="AL145" s="825"/>
      <c r="AM145" s="825"/>
      <c r="AN145" s="825"/>
      <c r="AO145" s="825"/>
      <c r="AP145" s="825"/>
    </row>
    <row r="146" spans="1:42"/>
  </sheetData>
  <sheetProtection insertRows="0" deleteRows="0" sort="0" autoFilter="0" pivotTables="0"/>
  <dataConsolidate/>
  <mergeCells count="47">
    <mergeCell ref="D51:Q51"/>
    <mergeCell ref="T7:X7"/>
    <mergeCell ref="Y7:AC7"/>
    <mergeCell ref="D48:Q48"/>
    <mergeCell ref="D49:Q49"/>
    <mergeCell ref="D50:Q50"/>
    <mergeCell ref="D65:R65"/>
    <mergeCell ref="D52:Q52"/>
    <mergeCell ref="D53:Q53"/>
    <mergeCell ref="D54:Q54"/>
    <mergeCell ref="D55:Q55"/>
    <mergeCell ref="D56:Q56"/>
    <mergeCell ref="D57:Q57"/>
    <mergeCell ref="D60:R60"/>
    <mergeCell ref="D61:R61"/>
    <mergeCell ref="D62:R62"/>
    <mergeCell ref="D63:R63"/>
    <mergeCell ref="D64:R64"/>
    <mergeCell ref="D77:R77"/>
    <mergeCell ref="D66:R66"/>
    <mergeCell ref="D67:R67"/>
    <mergeCell ref="D68:R68"/>
    <mergeCell ref="D69:R69"/>
    <mergeCell ref="D70:R70"/>
    <mergeCell ref="D71:R71"/>
    <mergeCell ref="D72:R72"/>
    <mergeCell ref="D73:R73"/>
    <mergeCell ref="D74:R74"/>
    <mergeCell ref="D75:R75"/>
    <mergeCell ref="D76:R76"/>
    <mergeCell ref="D105:R105"/>
    <mergeCell ref="D87:R87"/>
    <mergeCell ref="D88:R88"/>
    <mergeCell ref="D89:R89"/>
    <mergeCell ref="D90:R90"/>
    <mergeCell ref="D91:R91"/>
    <mergeCell ref="D92:R92"/>
    <mergeCell ref="D96:R96"/>
    <mergeCell ref="D97:R97"/>
    <mergeCell ref="D98:R98"/>
    <mergeCell ref="D99:R99"/>
    <mergeCell ref="D101:R101"/>
    <mergeCell ref="D106:R106"/>
    <mergeCell ref="D107:R107"/>
    <mergeCell ref="D111:R111"/>
    <mergeCell ref="D112:R112"/>
    <mergeCell ref="D113:R113"/>
  </mergeCells>
  <conditionalFormatting sqref="T14:AC29 T94:AC94">
    <cfRule type="cellIs" priority="8" stopIfTrue="1" operator="greaterThanOrEqual">
      <formula>0</formula>
    </cfRule>
  </conditionalFormatting>
  <conditionalFormatting sqref="T41:AC41">
    <cfRule type="expression" dxfId="28" priority="4">
      <formula>T41&lt;&gt;"OK"</formula>
    </cfRule>
  </conditionalFormatting>
  <conditionalFormatting sqref="T61:AC76">
    <cfRule type="cellIs" priority="2" stopIfTrue="1" operator="greaterThanOrEqual">
      <formula>0</formula>
    </cfRule>
  </conditionalFormatting>
  <conditionalFormatting sqref="T80:AC80">
    <cfRule type="cellIs" priority="1" stopIfTrue="1" operator="greaterThanOrEqual">
      <formula>0</formula>
    </cfRule>
  </conditionalFormatting>
  <conditionalFormatting sqref="T93:AC93 T102:AC102 T108:AC108 T114:AC114">
    <cfRule type="expression" dxfId="27" priority="6">
      <formula>T92&lt;&gt;1</formula>
    </cfRule>
  </conditionalFormatting>
  <conditionalFormatting sqref="T105:AC106">
    <cfRule type="cellIs" priority="3" stopIfTrue="1" operator="greaterThanOrEqual">
      <formula>0</formula>
    </cfRule>
  </conditionalFormatting>
  <conditionalFormatting sqref="T111:AC112">
    <cfRule type="cellIs" priority="5" stopIfTrue="1" operator="greaterThanOrEqual">
      <formula>0</formula>
    </cfRule>
  </conditionalFormatting>
  <printOptions headings="1"/>
  <pageMargins left="0.35433070866141736" right="0.31496062992125984" top="1.5354330708661419" bottom="0.62992125984251968" header="0" footer="0.27559055118110237"/>
  <pageSetup paperSize="9" scale="26"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S64"/>
  <sheetViews>
    <sheetView zoomScaleNormal="100" workbookViewId="0">
      <selection activeCell="A6" sqref="A6"/>
    </sheetView>
  </sheetViews>
  <sheetFormatPr defaultColWidth="9" defaultRowHeight="13.5"/>
  <cols>
    <col min="1" max="1" width="8.3828125" style="114" customWidth="1"/>
    <col min="2" max="2" width="52.15234375" style="114" bestFit="1" customWidth="1"/>
    <col min="3" max="4" width="4.23046875" style="114" customWidth="1"/>
    <col min="5" max="5" width="14.15234375" style="136" customWidth="1"/>
    <col min="6" max="10" width="11.15234375" style="114" customWidth="1"/>
    <col min="11" max="11" width="5" style="114" customWidth="1"/>
    <col min="12" max="12" width="9" style="114"/>
    <col min="13" max="13" width="9" style="88"/>
    <col min="14" max="16384" width="9" style="114"/>
  </cols>
  <sheetData>
    <row r="1" spans="1:19" ht="20">
      <c r="A1" s="324" t="s">
        <v>894</v>
      </c>
      <c r="B1" s="326"/>
      <c r="C1" s="326"/>
      <c r="D1" s="326"/>
      <c r="E1" s="837"/>
      <c r="F1" s="327"/>
      <c r="G1" s="327"/>
      <c r="H1" s="327"/>
      <c r="I1" s="327"/>
      <c r="J1" s="327"/>
      <c r="K1" s="456"/>
    </row>
    <row r="2" spans="1:19" ht="20">
      <c r="A2" s="329" t="str">
        <f>Licensee</f>
        <v>Cadent-NW</v>
      </c>
      <c r="B2" s="331"/>
      <c r="C2" s="331"/>
      <c r="D2" s="331"/>
      <c r="E2" s="838"/>
      <c r="F2" s="332"/>
      <c r="G2" s="332"/>
      <c r="H2" s="332"/>
      <c r="I2" s="332"/>
      <c r="J2" s="332"/>
      <c r="K2" s="334"/>
    </row>
    <row r="3" spans="1:19" ht="20">
      <c r="A3" s="331">
        <f>Reporting_Year</f>
        <v>2024</v>
      </c>
      <c r="B3" s="335"/>
      <c r="C3" s="335"/>
      <c r="D3" s="335"/>
      <c r="E3" s="335"/>
      <c r="F3" s="335"/>
      <c r="G3" s="335"/>
      <c r="H3" s="335"/>
      <c r="I3" s="335"/>
      <c r="J3" s="335"/>
      <c r="K3" s="337"/>
    </row>
    <row r="4" spans="1:19" s="339" customFormat="1" ht="12.75" customHeight="1">
      <c r="E4" s="467"/>
      <c r="M4" s="389"/>
    </row>
    <row r="5" spans="1:19" s="339" customFormat="1">
      <c r="B5" s="480"/>
      <c r="C5" s="480"/>
      <c r="D5" s="480"/>
      <c r="E5" s="467"/>
      <c r="F5" s="481" t="str">
        <f>IF(F6&lt;=Reporting_Year,"Actuals","Forecast")</f>
        <v>Actuals</v>
      </c>
      <c r="G5" s="481" t="str">
        <f>IF(G6&lt;=Reporting_Year,"Actuals","Forecast")</f>
        <v>Actuals</v>
      </c>
      <c r="H5" s="481" t="str">
        <f>IF(H6&lt;=Reporting_Year,"Actuals","Forecast")</f>
        <v>Actuals</v>
      </c>
      <c r="I5" s="481" t="str">
        <f>IF(I6&lt;=Reporting_Year,"Actuals","Forecast")</f>
        <v>Forecast</v>
      </c>
      <c r="J5" s="481" t="str">
        <f>IF(J6&lt;=Reporting_Year,"Actuals","Forecast")</f>
        <v>Forecast</v>
      </c>
      <c r="M5" s="389"/>
    </row>
    <row r="6" spans="1:19" s="339" customFormat="1">
      <c r="E6" s="467"/>
      <c r="F6" s="457">
        <f>'RFPR cover'!$C$6</f>
        <v>2022</v>
      </c>
      <c r="G6" s="458">
        <f>F6+1</f>
        <v>2023</v>
      </c>
      <c r="H6" s="458">
        <f t="shared" ref="H6:J6" si="0">G6+1</f>
        <v>2024</v>
      </c>
      <c r="I6" s="458">
        <f t="shared" si="0"/>
        <v>2025</v>
      </c>
      <c r="J6" s="458">
        <f t="shared" si="0"/>
        <v>2026</v>
      </c>
      <c r="M6" s="389"/>
    </row>
    <row r="7" spans="1:19" s="339" customFormat="1">
      <c r="E7" s="467"/>
      <c r="F7" s="457" t="str">
        <f>RIIO_2_start_date-1&amp;"/"&amp;RIGHT(RIIO_2_start_date,2)</f>
        <v>2021/22</v>
      </c>
      <c r="G7" s="457" t="str">
        <f>RIIO_2_start_date&amp;"/"&amp;RIGHT(RIIO_2_start_date+1,2)</f>
        <v>2022/23</v>
      </c>
      <c r="H7" s="457" t="str">
        <f>RIIO_2_start_date+1&amp;"/"&amp;RIGHT(RIIO_2_start_date+2,2)</f>
        <v>2023/24</v>
      </c>
      <c r="I7" s="457" t="str">
        <f>RIIO_2_start_date+2&amp;"/"&amp;RIGHT(RIIO_2_start_date+3,2)</f>
        <v>2024/25</v>
      </c>
      <c r="J7" s="562" t="str">
        <f>RIIO_2_start_date+3&amp;"/"&amp;RIGHT(RIIO_2_start_date+4,2)</f>
        <v>2025/26</v>
      </c>
      <c r="M7" s="389"/>
    </row>
    <row r="8" spans="1:19" s="339" customFormat="1">
      <c r="E8" s="467"/>
      <c r="F8" s="467"/>
      <c r="G8" s="467"/>
      <c r="H8" s="467"/>
      <c r="I8" s="467"/>
      <c r="J8" s="467"/>
      <c r="K8" s="467"/>
      <c r="L8" s="467"/>
      <c r="M8" s="467"/>
      <c r="N8" s="467"/>
      <c r="O8" s="467"/>
      <c r="P8" s="467"/>
      <c r="Q8" s="467"/>
      <c r="R8" s="467"/>
      <c r="S8" s="467"/>
    </row>
    <row r="9" spans="1:19" s="339" customFormat="1">
      <c r="B9" s="839" t="s">
        <v>895</v>
      </c>
      <c r="C9" s="839"/>
      <c r="D9" s="839"/>
      <c r="L9" s="467"/>
      <c r="M9" s="389"/>
    </row>
    <row r="10" spans="1:19" s="339" customFormat="1">
      <c r="L10" s="467"/>
    </row>
    <row r="11" spans="1:19" s="339" customFormat="1">
      <c r="B11" s="840"/>
      <c r="C11" s="840"/>
      <c r="D11" s="840"/>
      <c r="E11" s="840"/>
      <c r="F11" s="840"/>
      <c r="G11" s="840"/>
      <c r="H11" s="840"/>
      <c r="I11" s="840"/>
      <c r="J11" s="840"/>
      <c r="K11" s="840"/>
      <c r="L11" s="467"/>
      <c r="M11" s="389"/>
    </row>
    <row r="12" spans="1:19" s="339" customFormat="1">
      <c r="B12" s="114" t="s">
        <v>896</v>
      </c>
      <c r="C12" s="114"/>
      <c r="D12" s="114"/>
      <c r="E12" s="841" t="str">
        <f>Data!$C$9</f>
        <v>£m 18/19</v>
      </c>
      <c r="F12" s="842">
        <v>2349.0599472500089</v>
      </c>
      <c r="G12" s="842">
        <v>2364.8748036157072</v>
      </c>
      <c r="H12" s="842">
        <v>2381.9779841367995</v>
      </c>
      <c r="I12" s="842">
        <v>2394.2280216653749</v>
      </c>
      <c r="J12" s="842">
        <v>2411.9443994345647</v>
      </c>
      <c r="L12" s="339" t="s">
        <v>897</v>
      </c>
      <c r="M12" s="389"/>
    </row>
    <row r="13" spans="1:19" s="339" customFormat="1">
      <c r="M13" s="389"/>
    </row>
    <row r="14" spans="1:19" s="339" customFormat="1">
      <c r="B14" s="840"/>
      <c r="C14" s="840"/>
      <c r="D14" s="840"/>
      <c r="E14" s="467"/>
      <c r="F14" s="467"/>
      <c r="G14" s="467"/>
      <c r="H14" s="467"/>
      <c r="I14" s="467"/>
      <c r="J14" s="467"/>
      <c r="M14" s="389"/>
    </row>
    <row r="15" spans="1:19" s="339" customFormat="1" ht="14">
      <c r="B15" s="339" t="s">
        <v>898</v>
      </c>
      <c r="E15" s="841" t="str">
        <f>Data!$C$9</f>
        <v>£m 18/19</v>
      </c>
      <c r="F15" s="842">
        <v>2300.8554512493688</v>
      </c>
      <c r="G15" s="861">
        <f>F24</f>
        <v>2349.0599472500089</v>
      </c>
      <c r="H15" s="861">
        <f>G24</f>
        <v>2364.8748036157072</v>
      </c>
      <c r="I15" s="861">
        <f>H24</f>
        <v>2381.9779841367995</v>
      </c>
      <c r="J15" s="861">
        <f>I24</f>
        <v>2394.2280216653749</v>
      </c>
      <c r="L15" s="339" t="s">
        <v>899</v>
      </c>
      <c r="M15" s="389"/>
    </row>
    <row r="16" spans="1:19" s="339" customFormat="1">
      <c r="B16" s="339" t="s">
        <v>900</v>
      </c>
      <c r="E16" s="841" t="str">
        <f>Data!$C$9</f>
        <v>£m 18/19</v>
      </c>
      <c r="F16" s="843">
        <v>0</v>
      </c>
      <c r="G16" s="843">
        <v>0</v>
      </c>
      <c r="H16" s="843">
        <v>0</v>
      </c>
      <c r="I16" s="843">
        <v>0</v>
      </c>
      <c r="J16" s="843">
        <v>0</v>
      </c>
      <c r="L16" s="339" t="s">
        <v>901</v>
      </c>
      <c r="M16" s="389"/>
    </row>
    <row r="17" spans="1:19" s="339" customFormat="1">
      <c r="B17" s="482" t="s">
        <v>902</v>
      </c>
      <c r="C17" s="482"/>
      <c r="D17" s="482"/>
      <c r="E17" s="841" t="str">
        <f>Data!$C$9</f>
        <v>£m 18/19</v>
      </c>
      <c r="F17" s="862">
        <f>SUM(F15:F16)</f>
        <v>2300.8554512493688</v>
      </c>
      <c r="G17" s="863">
        <f t="shared" ref="G17:J17" si="1">SUM(G15:G16)</f>
        <v>2349.0599472500089</v>
      </c>
      <c r="H17" s="863">
        <f t="shared" si="1"/>
        <v>2364.8748036157072</v>
      </c>
      <c r="I17" s="863">
        <f t="shared" si="1"/>
        <v>2381.9779841367995</v>
      </c>
      <c r="J17" s="863">
        <f t="shared" si="1"/>
        <v>2394.2280216653749</v>
      </c>
      <c r="L17" s="467"/>
      <c r="M17" s="389"/>
    </row>
    <row r="18" spans="1:19" s="339" customFormat="1">
      <c r="B18" s="844" t="s">
        <v>903</v>
      </c>
      <c r="C18" s="844"/>
      <c r="D18" s="844"/>
      <c r="E18" s="841" t="str">
        <f>Data!$C$9</f>
        <v>£m 18/19</v>
      </c>
      <c r="F18" s="845">
        <v>168.66700240583532</v>
      </c>
      <c r="G18" s="845">
        <v>140.35529702959266</v>
      </c>
      <c r="H18" s="845">
        <v>144.32764844432728</v>
      </c>
      <c r="I18" s="845">
        <v>142.19563465958836</v>
      </c>
      <c r="J18" s="845">
        <v>150.15096085314329</v>
      </c>
      <c r="L18" s="339" t="s">
        <v>904</v>
      </c>
      <c r="M18" s="389"/>
    </row>
    <row r="19" spans="1:19" s="339" customFormat="1">
      <c r="B19" s="844" t="s">
        <v>905</v>
      </c>
      <c r="C19" s="844"/>
      <c r="D19" s="844"/>
      <c r="E19" s="841" t="str">
        <f>Data!$C$9</f>
        <v>£m 18/19</v>
      </c>
      <c r="F19" s="846">
        <v>0</v>
      </c>
      <c r="G19" s="847">
        <v>0</v>
      </c>
      <c r="H19" s="847">
        <v>0</v>
      </c>
      <c r="I19" s="847">
        <v>0</v>
      </c>
      <c r="J19" s="847">
        <v>0</v>
      </c>
      <c r="L19" s="467"/>
      <c r="M19" s="389"/>
    </row>
    <row r="20" spans="1:19" s="339" customFormat="1">
      <c r="B20" s="848" t="s">
        <v>906</v>
      </c>
      <c r="C20" s="848"/>
      <c r="D20" s="848"/>
      <c r="E20" s="841" t="str">
        <f>Data!$C$9</f>
        <v>£m 18/19</v>
      </c>
      <c r="F20" s="864">
        <f>SUM(F18:F19)</f>
        <v>168.66700240583532</v>
      </c>
      <c r="G20" s="864">
        <f t="shared" ref="G20:J20" si="2">SUM(G18:G19)</f>
        <v>140.35529702959266</v>
      </c>
      <c r="H20" s="864">
        <f t="shared" si="2"/>
        <v>144.32764844432728</v>
      </c>
      <c r="I20" s="864">
        <f t="shared" si="2"/>
        <v>142.19563465958836</v>
      </c>
      <c r="J20" s="864">
        <f t="shared" si="2"/>
        <v>150.15096085314329</v>
      </c>
      <c r="L20" s="467"/>
      <c r="M20" s="389"/>
    </row>
    <row r="21" spans="1:19" s="339" customFormat="1">
      <c r="B21" s="844" t="s">
        <v>907</v>
      </c>
      <c r="C21" s="844"/>
      <c r="D21" s="844"/>
      <c r="E21" s="841" t="str">
        <f>Data!$C$9</f>
        <v>£m 18/19</v>
      </c>
      <c r="F21" s="849">
        <v>-120.46250640519537</v>
      </c>
      <c r="G21" s="849">
        <v>-124.54044066389471</v>
      </c>
      <c r="H21" s="849">
        <v>-127.22446792323491</v>
      </c>
      <c r="I21" s="849">
        <v>-129.94559713101324</v>
      </c>
      <c r="J21" s="849">
        <v>-132.43458308395327</v>
      </c>
      <c r="L21" s="339" t="s">
        <v>908</v>
      </c>
      <c r="M21" s="389"/>
    </row>
    <row r="22" spans="1:19" s="339" customFormat="1">
      <c r="B22" s="844" t="s">
        <v>909</v>
      </c>
      <c r="C22" s="844"/>
      <c r="D22" s="844"/>
      <c r="E22" s="841" t="str">
        <f>Data!$C$9</f>
        <v>£m 18/19</v>
      </c>
      <c r="F22" s="851">
        <v>0</v>
      </c>
      <c r="G22" s="852">
        <v>0</v>
      </c>
      <c r="H22" s="852">
        <v>0</v>
      </c>
      <c r="I22" s="852">
        <v>0</v>
      </c>
      <c r="J22" s="852">
        <v>0</v>
      </c>
      <c r="L22" s="467"/>
      <c r="M22" s="389"/>
    </row>
    <row r="23" spans="1:19" s="339" customFormat="1">
      <c r="B23" s="396" t="s">
        <v>910</v>
      </c>
      <c r="C23" s="396"/>
      <c r="D23" s="396"/>
      <c r="E23" s="841" t="str">
        <f>Data!$C$9</f>
        <v>£m 18/19</v>
      </c>
      <c r="F23" s="865">
        <f>SUM(F21:F22)</f>
        <v>-120.46250640519537</v>
      </c>
      <c r="G23" s="865">
        <f t="shared" ref="G23:J23" si="3">SUM(G21:G22)</f>
        <v>-124.54044066389471</v>
      </c>
      <c r="H23" s="865">
        <f t="shared" si="3"/>
        <v>-127.22446792323491</v>
      </c>
      <c r="I23" s="865">
        <f t="shared" si="3"/>
        <v>-129.94559713101324</v>
      </c>
      <c r="J23" s="865">
        <f t="shared" si="3"/>
        <v>-132.43458308395327</v>
      </c>
      <c r="L23" s="1242"/>
      <c r="M23" s="1242"/>
      <c r="N23" s="1242"/>
      <c r="O23" s="1242"/>
    </row>
    <row r="24" spans="1:19" s="339" customFormat="1">
      <c r="B24" s="482" t="s">
        <v>911</v>
      </c>
      <c r="C24" s="482"/>
      <c r="D24" s="482"/>
      <c r="E24" s="841" t="str">
        <f>Data!$C$9</f>
        <v>£m 18/19</v>
      </c>
      <c r="F24" s="866">
        <f>F17+F20+F23</f>
        <v>2349.0599472500089</v>
      </c>
      <c r="G24" s="866">
        <f t="shared" ref="G24:J24" si="4">G17+G20+G23</f>
        <v>2364.8748036157072</v>
      </c>
      <c r="H24" s="866">
        <f t="shared" si="4"/>
        <v>2381.9779841367995</v>
      </c>
      <c r="I24" s="866">
        <f t="shared" si="4"/>
        <v>2394.2280216653749</v>
      </c>
      <c r="J24" s="866">
        <f t="shared" si="4"/>
        <v>2411.9443994345647</v>
      </c>
      <c r="L24" s="467"/>
      <c r="M24" s="389"/>
    </row>
    <row r="25" spans="1:19" s="339" customFormat="1">
      <c r="B25" s="482"/>
      <c r="C25" s="482"/>
      <c r="D25" s="482"/>
      <c r="E25" s="841"/>
      <c r="F25" s="841"/>
      <c r="G25" s="841"/>
      <c r="H25" s="841"/>
      <c r="I25" s="841"/>
      <c r="J25" s="841"/>
      <c r="K25" s="841"/>
      <c r="L25" s="467"/>
      <c r="M25" s="841"/>
      <c r="N25" s="841"/>
    </row>
    <row r="26" spans="1:19" s="339" customFormat="1">
      <c r="B26" s="482" t="s">
        <v>912</v>
      </c>
      <c r="C26" s="841"/>
      <c r="D26" s="841"/>
      <c r="E26" s="841" t="str">
        <f>Data!$C$9</f>
        <v>£m 18/19</v>
      </c>
      <c r="F26" s="866">
        <f>F19+F22</f>
        <v>0</v>
      </c>
      <c r="G26" s="867">
        <f>G19+G22</f>
        <v>0</v>
      </c>
      <c r="H26" s="867">
        <f t="shared" ref="H26:J26" si="5">H19+H22</f>
        <v>0</v>
      </c>
      <c r="I26" s="867">
        <f t="shared" si="5"/>
        <v>0</v>
      </c>
      <c r="J26" s="868">
        <f t="shared" si="5"/>
        <v>0</v>
      </c>
      <c r="K26" s="841"/>
      <c r="L26" s="467"/>
      <c r="M26" s="841"/>
      <c r="N26" s="841"/>
    </row>
    <row r="27" spans="1:19" s="339" customFormat="1">
      <c r="B27" s="482" t="s">
        <v>913</v>
      </c>
      <c r="C27" s="841"/>
      <c r="D27" s="841"/>
      <c r="E27" s="854"/>
      <c r="F27" s="869" t="str">
        <f>IF(F5="Actuals",IF(ABS((F24-SUM($F26:F$26))-F12)&lt;0.1,"TRUE","FALSE"),"NA")</f>
        <v>TRUE</v>
      </c>
      <c r="G27" s="870" t="str">
        <f>IF(G5="Actuals",IF(ABS((G24-SUM($F26:G$26))-G12)&lt;0.1,"TRUE","FALSE"),"NA")</f>
        <v>TRUE</v>
      </c>
      <c r="H27" s="870" t="str">
        <f>IF(H5="Actuals",IF(ABS((H24-SUM($F26:H$26))-H12)&lt;0.1,"TRUE","FALSE"),"NA")</f>
        <v>TRUE</v>
      </c>
      <c r="I27" s="870" t="str">
        <f>IF(I5="Actuals",IF(ABS((I24-SUM($F26:I$26))-I12)&lt;0.1,"TRUE","FALSE"),"NA")</f>
        <v>NA</v>
      </c>
      <c r="J27" s="871" t="str">
        <f>IF(J5="Actuals",IF(ABS((J24-SUM($F26:J$26))-J12)&lt;0.1,"TRUE","FALSE"),"NA")</f>
        <v>NA</v>
      </c>
      <c r="K27" s="841"/>
      <c r="L27" s="467"/>
      <c r="N27" s="841"/>
    </row>
    <row r="28" spans="1:19" s="339" customFormat="1">
      <c r="B28" s="482"/>
      <c r="C28" s="482"/>
      <c r="D28" s="482"/>
      <c r="E28" s="841"/>
      <c r="F28" s="841"/>
      <c r="G28" s="841"/>
      <c r="H28" s="841"/>
      <c r="I28" s="841"/>
      <c r="J28" s="841"/>
      <c r="K28" s="841"/>
      <c r="L28" s="467"/>
      <c r="M28" s="841"/>
      <c r="N28" s="841"/>
    </row>
    <row r="29" spans="1:19" s="339" customFormat="1">
      <c r="B29" s="482"/>
      <c r="C29" s="482"/>
      <c r="D29" s="482"/>
      <c r="E29" s="841"/>
      <c r="F29" s="853"/>
      <c r="G29" s="841"/>
      <c r="H29" s="853"/>
      <c r="I29" s="853"/>
      <c r="J29" s="853"/>
      <c r="K29" s="841"/>
      <c r="L29" s="467"/>
      <c r="M29" s="841"/>
      <c r="N29" s="841"/>
    </row>
    <row r="30" spans="1:19" s="339" customFormat="1">
      <c r="A30" s="114"/>
      <c r="B30" s="339" t="s">
        <v>914</v>
      </c>
      <c r="E30" s="136" t="s">
        <v>915</v>
      </c>
      <c r="F30" s="1221">
        <f>IF(Sector="ED2",(INDEX(Data!C29:N29,MATCH(RIIO_2_start_date-1,Data!C27:N27,0))/Data!$E$28),INDEX(Data!C20:N20,MATCH(RIIO_2_start_date-1,Data!C18:N18,0))/Data!$C$19)</f>
        <v>1.0533528227824487</v>
      </c>
      <c r="G30" s="841"/>
      <c r="H30" s="853"/>
      <c r="I30" s="853"/>
      <c r="J30" s="855"/>
      <c r="K30" s="856"/>
      <c r="L30" s="467"/>
      <c r="M30" s="1249"/>
      <c r="N30" s="1249"/>
    </row>
    <row r="31" spans="1:19" s="339" customFormat="1">
      <c r="B31" s="482"/>
      <c r="C31" s="482"/>
      <c r="D31" s="482"/>
      <c r="E31" s="841"/>
      <c r="F31" s="857"/>
      <c r="G31" s="857"/>
      <c r="H31" s="857"/>
      <c r="I31" s="857"/>
      <c r="J31" s="857"/>
      <c r="K31" s="841"/>
      <c r="L31" s="467"/>
    </row>
    <row r="32" spans="1:19" s="339" customFormat="1">
      <c r="B32" s="482" t="s">
        <v>911</v>
      </c>
      <c r="C32" s="482"/>
      <c r="D32" s="482"/>
      <c r="E32" s="29" t="s">
        <v>522</v>
      </c>
      <c r="F32" s="872">
        <f>IF(Sector="ED2",F24*Data!H36,F24*Combined_real_to_nominal_prices_conversion_factor__financial_year_end)</f>
        <v>2652.5983787125238</v>
      </c>
      <c r="G32" s="872">
        <f>IF(Sector="ED2",G24*Data!I36,G24*Combined_real_to_nominal_prices_conversion_factor__financial_year_end)</f>
        <v>2892.7113603249177</v>
      </c>
      <c r="H32" s="872">
        <f>IF(Sector="ED2",H24*Data!J36,H24*Combined_real_to_nominal_prices_conversion_factor__financial_year_end)</f>
        <v>3008.8625428007149</v>
      </c>
      <c r="I32" s="872">
        <f>IF(Sector="ED2",I24*Data!K36,I24*Combined_real_to_nominal_prices_conversion_factor__financial_year_end)</f>
        <v>3073.4482699843616</v>
      </c>
      <c r="J32" s="872">
        <f>IF(Sector="ED2",J24*Data!L36,J24*Combined_real_to_nominal_prices_conversion_factor__financial_year_end)</f>
        <v>3143.4632519794072</v>
      </c>
      <c r="K32" s="1267"/>
      <c r="Q32" s="1242"/>
      <c r="R32" s="1242"/>
      <c r="S32" s="1242"/>
    </row>
    <row r="33" spans="1:14" s="339" customFormat="1">
      <c r="B33" s="482"/>
      <c r="C33" s="482"/>
      <c r="D33" s="482"/>
      <c r="E33" s="841"/>
      <c r="F33" s="841"/>
      <c r="G33" s="841"/>
      <c r="H33" s="841"/>
      <c r="I33" s="841"/>
      <c r="J33" s="841"/>
      <c r="K33" s="841"/>
      <c r="L33" s="467"/>
      <c r="M33" s="841"/>
      <c r="N33" s="841"/>
    </row>
    <row r="34" spans="1:14" s="339" customFormat="1">
      <c r="B34" s="389" t="s">
        <v>916</v>
      </c>
      <c r="C34" s="389"/>
      <c r="D34" s="389"/>
      <c r="E34" s="841" t="s">
        <v>917</v>
      </c>
      <c r="F34" s="873">
        <f>INDEX(Data!$H$63:$P$91,MATCH('RFPR cover'!$C$7,Data!$B$63:$B$91,0),MATCH('R7 - RAV'!F$6,Data!$H$62:$P$62,0))</f>
        <v>2.0500000000000001E-2</v>
      </c>
      <c r="G34" s="873">
        <f>INDEX(Data!$H$63:$P$91,MATCH('RFPR cover'!$C$7,Data!$B$63:$B$91,0),MATCH('R7 - RAV'!G$6,Data!$H$62:$P$62,0))</f>
        <v>1.9E-2</v>
      </c>
      <c r="H34" s="873">
        <f>INDEX(Data!$H$63:$P$91,MATCH('RFPR cover'!$C$7,Data!$B$63:$B$91,0),MATCH('R7 - RAV'!H$6,Data!$H$62:$P$62,0))</f>
        <v>1.9199999999999998E-2</v>
      </c>
      <c r="I34" s="873">
        <f>INDEX(Data!$H$63:$P$91,MATCH('RFPR cover'!$C$7,Data!$B$63:$B$91,0),MATCH('R7 - RAV'!I$6,Data!$H$62:$P$62,0))</f>
        <v>2.1100000000000001E-2</v>
      </c>
      <c r="J34" s="873">
        <f>INDEX(Data!$H$63:$P$91,MATCH('RFPR cover'!$C$7,Data!$B$63:$B$91,0),MATCH('R7 - RAV'!J$6,Data!$H$62:$P$62,0))</f>
        <v>2.29E-2</v>
      </c>
      <c r="K34" s="841"/>
      <c r="L34" s="467"/>
      <c r="M34" s="841"/>
      <c r="N34" s="841"/>
    </row>
    <row r="35" spans="1:14" s="339" customFormat="1">
      <c r="B35" s="389" t="s">
        <v>918</v>
      </c>
      <c r="C35" s="389"/>
      <c r="D35" s="389"/>
      <c r="E35" s="841" t="s">
        <v>917</v>
      </c>
      <c r="F35" s="874">
        <f>INDEX(Data!$O$63:$U$91,MATCH('RFPR cover'!$C$7,Data!$B$63:$B$91,0),MATCH('R7 - RAV'!F$6,Data!$O$62:$U$62,0))</f>
        <v>4.5181881000000007E-2</v>
      </c>
      <c r="G35" s="874">
        <f>INDEX(Data!$O$63:$U$91,MATCH('RFPR cover'!$C$7,Data!$B$63:$B$91,0),MATCH('R7 - RAV'!G$6,Data!$O$62:$U$62,0))</f>
        <v>4.5568104999999998E-2</v>
      </c>
      <c r="H35" s="874">
        <f>INDEX(Data!$O$63:$U$91,MATCH('RFPR cover'!$C$7,Data!$B$63:$B$91,0),MATCH('R7 - RAV'!H$6,Data!$O$62:$U$62,0))</f>
        <v>5.2833943999999994E-2</v>
      </c>
      <c r="I35" s="874">
        <f>INDEX(Data!$O$63:$U$91,MATCH('RFPR cover'!$C$7,Data!$B$63:$B$91,0),MATCH('R7 - RAV'!I$6,Data!$O$62:$U$62,0))</f>
        <v>5.5875458000000003E-2</v>
      </c>
      <c r="J35" s="874">
        <f>INDEX(Data!$O$63:$U$91,MATCH('RFPR cover'!$C$7,Data!$B$63:$B$91,0),MATCH('R7 - RAV'!J$6,Data!$O$62:$U$62,0))</f>
        <v>5.5175426999999992E-2</v>
      </c>
      <c r="K35" s="841"/>
      <c r="L35" s="467"/>
      <c r="M35" s="841"/>
      <c r="N35" s="841"/>
    </row>
    <row r="36" spans="1:14">
      <c r="A36" s="339"/>
      <c r="B36" s="389" t="s">
        <v>919</v>
      </c>
      <c r="C36" s="389"/>
      <c r="D36" s="389"/>
      <c r="E36" s="841" t="s">
        <v>486</v>
      </c>
      <c r="F36" s="875">
        <f t="shared" ref="F36:J36" si="6">Notional_Gearing</f>
        <v>0.6</v>
      </c>
      <c r="G36" s="875">
        <f t="shared" si="6"/>
        <v>0.6</v>
      </c>
      <c r="H36" s="875">
        <f t="shared" si="6"/>
        <v>0.6</v>
      </c>
      <c r="I36" s="875">
        <f t="shared" si="6"/>
        <v>0.6</v>
      </c>
      <c r="J36" s="875">
        <f t="shared" si="6"/>
        <v>0.6</v>
      </c>
      <c r="K36" s="841"/>
      <c r="L36" s="467"/>
      <c r="M36" s="841"/>
      <c r="N36" s="841"/>
    </row>
    <row r="37" spans="1:14">
      <c r="B37" s="114" t="s">
        <v>920</v>
      </c>
      <c r="E37" s="841" t="s">
        <v>917</v>
      </c>
      <c r="F37" s="876">
        <f t="shared" ref="F37:J37" si="7">F34*F36+F35*(1-F36)</f>
        <v>3.0372752400000001E-2</v>
      </c>
      <c r="G37" s="877">
        <f t="shared" si="7"/>
        <v>2.9627241999999998E-2</v>
      </c>
      <c r="H37" s="877">
        <f t="shared" si="7"/>
        <v>3.2653577599999997E-2</v>
      </c>
      <c r="I37" s="877">
        <f t="shared" si="7"/>
        <v>3.5010183200000003E-2</v>
      </c>
      <c r="J37" s="877">
        <f t="shared" si="7"/>
        <v>3.5810170799999999E-2</v>
      </c>
      <c r="K37" s="841"/>
      <c r="L37" s="467"/>
      <c r="M37" s="841"/>
      <c r="N37" s="841"/>
    </row>
    <row r="38" spans="1:14" s="339" customFormat="1">
      <c r="A38" s="114"/>
      <c r="B38" s="114"/>
      <c r="C38" s="114"/>
      <c r="D38" s="114"/>
      <c r="E38" s="858"/>
      <c r="F38" s="859"/>
      <c r="G38" s="859"/>
      <c r="H38" s="859"/>
      <c r="I38" s="859"/>
      <c r="J38" s="859"/>
      <c r="K38" s="841"/>
      <c r="L38" s="467"/>
      <c r="M38" s="841"/>
      <c r="N38" s="841"/>
    </row>
    <row r="39" spans="1:14" s="339" customFormat="1">
      <c r="A39" s="114"/>
      <c r="B39" s="88" t="s">
        <v>921</v>
      </c>
      <c r="C39" s="88"/>
      <c r="D39" s="88"/>
      <c r="E39" s="841" t="str">
        <f>Data!$C$9</f>
        <v>£m 18/19</v>
      </c>
      <c r="F39" s="18">
        <f>F41*F36</f>
        <v>1374.2013364876218</v>
      </c>
      <c r="G39" s="19">
        <f t="shared" ref="G39:J39" si="8">G41*G36</f>
        <v>1393.7658377522025</v>
      </c>
      <c r="H39" s="19">
        <f t="shared" si="8"/>
        <v>1401.4596517096275</v>
      </c>
      <c r="I39" s="19">
        <f t="shared" si="8"/>
        <v>1408.5657040727276</v>
      </c>
      <c r="J39" s="19">
        <f t="shared" si="8"/>
        <v>1416.8359048970412</v>
      </c>
      <c r="K39" s="841"/>
      <c r="L39" s="467"/>
      <c r="M39" s="841"/>
      <c r="N39" s="841"/>
    </row>
    <row r="40" spans="1:14" s="339" customFormat="1">
      <c r="A40" s="114"/>
      <c r="B40" s="88" t="s">
        <v>922</v>
      </c>
      <c r="C40" s="88"/>
      <c r="D40" s="88"/>
      <c r="E40" s="841" t="str">
        <f>Data!$C$9</f>
        <v>£m 18/19</v>
      </c>
      <c r="F40" s="73">
        <f>F41*(1-F36)</f>
        <v>916.13422432508128</v>
      </c>
      <c r="G40" s="74">
        <f t="shared" ref="G40:J40" si="9">G41*(1-G36)</f>
        <v>929.17722516813501</v>
      </c>
      <c r="H40" s="74">
        <f t="shared" si="9"/>
        <v>934.30643447308512</v>
      </c>
      <c r="I40" s="74">
        <f t="shared" si="9"/>
        <v>939.04380271515186</v>
      </c>
      <c r="J40" s="74">
        <f t="shared" si="9"/>
        <v>944.55726993136091</v>
      </c>
      <c r="K40" s="841"/>
      <c r="L40" s="467"/>
      <c r="M40" s="841"/>
      <c r="N40" s="841"/>
    </row>
    <row r="41" spans="1:14" s="339" customFormat="1">
      <c r="A41" s="114"/>
      <c r="B41" s="114" t="s">
        <v>923</v>
      </c>
      <c r="C41" s="114"/>
      <c r="D41" s="114"/>
      <c r="E41" s="841" t="str">
        <f>Data!$C$9</f>
        <v>£m 18/19</v>
      </c>
      <c r="F41" s="21">
        <f>AVERAGE(F17,F24*(1/(1+F37)))</f>
        <v>2290.3355608127031</v>
      </c>
      <c r="G41" s="21">
        <f t="shared" ref="G41:J41" si="10">AVERAGE(G17,G24*(1/(1+G37)))</f>
        <v>2322.9430629203375</v>
      </c>
      <c r="H41" s="21">
        <f t="shared" si="10"/>
        <v>2335.7660861827126</v>
      </c>
      <c r="I41" s="21">
        <f t="shared" si="10"/>
        <v>2347.6095067878796</v>
      </c>
      <c r="J41" s="21">
        <f t="shared" si="10"/>
        <v>2361.3931748284022</v>
      </c>
      <c r="K41" s="841"/>
      <c r="L41" s="467"/>
      <c r="M41" s="841"/>
      <c r="N41" s="841"/>
    </row>
    <row r="42" spans="1:14" s="339" customFormat="1">
      <c r="A42" s="114"/>
      <c r="B42" s="114"/>
      <c r="C42" s="114"/>
      <c r="D42" s="114"/>
      <c r="E42" s="841"/>
      <c r="F42" s="841"/>
      <c r="G42" s="841"/>
      <c r="H42" s="841"/>
      <c r="I42" s="841"/>
      <c r="J42" s="841"/>
      <c r="K42" s="841"/>
      <c r="L42" s="467"/>
      <c r="M42" s="841"/>
      <c r="N42" s="841"/>
    </row>
    <row r="43" spans="1:14" s="339" customFormat="1">
      <c r="A43" s="114"/>
      <c r="B43" s="88" t="s">
        <v>924</v>
      </c>
      <c r="C43" s="88"/>
      <c r="D43" s="88"/>
      <c r="E43" s="841" t="str">
        <f>Data!$C$9</f>
        <v>£m 18/19</v>
      </c>
      <c r="F43" s="154">
        <f>F34*F39</f>
        <v>28.171127397996248</v>
      </c>
      <c r="G43" s="155">
        <f t="shared" ref="G43:J44" si="11">G34*G39</f>
        <v>26.481550917291848</v>
      </c>
      <c r="H43" s="155">
        <f t="shared" si="11"/>
        <v>26.908025312824844</v>
      </c>
      <c r="I43" s="155">
        <f t="shared" si="11"/>
        <v>29.720736355934555</v>
      </c>
      <c r="J43" s="155">
        <f t="shared" si="11"/>
        <v>32.445542222142244</v>
      </c>
      <c r="K43" s="841"/>
      <c r="L43" s="467"/>
      <c r="M43" s="841"/>
      <c r="N43" s="841"/>
    </row>
    <row r="44" spans="1:14">
      <c r="B44" s="88" t="s">
        <v>925</v>
      </c>
      <c r="C44" s="88"/>
      <c r="D44" s="88"/>
      <c r="E44" s="841" t="str">
        <f>Data!$C$9</f>
        <v>£m 18/19</v>
      </c>
      <c r="F44" s="15">
        <f>F35*F40</f>
        <v>41.392667503483132</v>
      </c>
      <c r="G44" s="16">
        <f t="shared" si="11"/>
        <v>42.340845360070219</v>
      </c>
      <c r="H44" s="16">
        <f t="shared" si="11"/>
        <v>49.363093837790643</v>
      </c>
      <c r="I44" s="16">
        <f t="shared" si="11"/>
        <v>52.469502558770756</v>
      </c>
      <c r="J44" s="16">
        <f t="shared" si="11"/>
        <v>52.116350694417093</v>
      </c>
      <c r="K44" s="841"/>
      <c r="L44" s="467"/>
      <c r="M44" s="841"/>
      <c r="N44" s="841"/>
    </row>
    <row r="45" spans="1:14">
      <c r="B45" s="114" t="s">
        <v>926</v>
      </c>
      <c r="E45" s="841" t="str">
        <f>Data!$C$9</f>
        <v>£m 18/19</v>
      </c>
      <c r="F45" s="21">
        <f>SUM(F43:F44)</f>
        <v>69.563794901479383</v>
      </c>
      <c r="G45" s="22">
        <f t="shared" ref="G45:J45" si="12">SUM(G43:G44)</f>
        <v>68.82239627736206</v>
      </c>
      <c r="H45" s="22">
        <f t="shared" si="12"/>
        <v>76.27111915061549</v>
      </c>
      <c r="I45" s="22">
        <f t="shared" si="12"/>
        <v>82.190238914705304</v>
      </c>
      <c r="J45" s="22">
        <f t="shared" si="12"/>
        <v>84.561892916559344</v>
      </c>
      <c r="K45" s="841"/>
      <c r="L45" s="467"/>
      <c r="M45" s="841"/>
      <c r="N45" s="841"/>
    </row>
    <row r="46" spans="1:14">
      <c r="K46" s="841"/>
      <c r="L46" s="467"/>
      <c r="M46" s="841"/>
      <c r="N46" s="841"/>
    </row>
    <row r="47" spans="1:14">
      <c r="B47" s="88"/>
      <c r="C47" s="88"/>
      <c r="D47" s="88"/>
      <c r="E47" s="29"/>
      <c r="F47" s="573"/>
      <c r="G47" s="573"/>
      <c r="H47" s="573"/>
      <c r="I47" s="573"/>
      <c r="J47" s="573"/>
      <c r="K47" s="841"/>
      <c r="L47" s="467"/>
      <c r="M47" s="841"/>
      <c r="N47" s="841"/>
    </row>
    <row r="48" spans="1:14">
      <c r="B48" s="88"/>
      <c r="C48" s="88"/>
      <c r="D48" s="88"/>
      <c r="E48" s="29"/>
      <c r="F48" s="573"/>
      <c r="G48" s="573"/>
      <c r="H48" s="573"/>
      <c r="I48" s="573"/>
      <c r="J48" s="573"/>
      <c r="K48" s="841"/>
      <c r="L48" s="467"/>
      <c r="M48" s="841"/>
      <c r="N48" s="841"/>
    </row>
    <row r="49" spans="2:14">
      <c r="E49" s="29"/>
      <c r="F49" s="860"/>
      <c r="G49" s="860"/>
      <c r="H49" s="860"/>
      <c r="I49" s="860"/>
      <c r="J49" s="860"/>
      <c r="K49" s="841"/>
      <c r="L49" s="467"/>
      <c r="M49" s="841"/>
      <c r="N49" s="841"/>
    </row>
    <row r="50" spans="2:14">
      <c r="E50" s="841"/>
      <c r="F50" s="841"/>
      <c r="G50" s="841"/>
      <c r="H50" s="841"/>
      <c r="I50" s="841"/>
      <c r="J50" s="841"/>
      <c r="K50" s="841"/>
      <c r="L50" s="467"/>
      <c r="M50" s="841"/>
      <c r="N50" s="841"/>
    </row>
    <row r="54" spans="2:14">
      <c r="E54" s="114"/>
      <c r="M54" s="114"/>
    </row>
    <row r="55" spans="2:14">
      <c r="E55" s="114"/>
      <c r="M55" s="114"/>
    </row>
    <row r="56" spans="2:14">
      <c r="B56" s="88"/>
      <c r="C56" s="88"/>
      <c r="D56" s="88"/>
      <c r="E56" s="29"/>
      <c r="F56" s="573"/>
      <c r="G56" s="573"/>
      <c r="H56" s="573"/>
      <c r="I56" s="573"/>
      <c r="J56" s="573"/>
      <c r="K56" s="429"/>
    </row>
    <row r="57" spans="2:14">
      <c r="B57" s="88"/>
      <c r="C57" s="88"/>
      <c r="D57" s="88"/>
      <c r="E57" s="29"/>
      <c r="F57" s="860"/>
      <c r="G57" s="860"/>
      <c r="H57" s="860"/>
      <c r="I57" s="860"/>
      <c r="J57" s="860"/>
    </row>
    <row r="58" spans="2:14">
      <c r="E58" s="29"/>
      <c r="F58" s="573"/>
      <c r="G58" s="573"/>
      <c r="H58" s="573"/>
      <c r="I58" s="573"/>
      <c r="J58" s="573"/>
    </row>
    <row r="59" spans="2:14">
      <c r="B59" s="429"/>
      <c r="C59" s="429"/>
      <c r="D59" s="429"/>
      <c r="E59" s="40"/>
      <c r="F59" s="40"/>
      <c r="G59" s="40"/>
      <c r="H59" s="40"/>
      <c r="I59" s="40"/>
      <c r="J59" s="40"/>
    </row>
    <row r="60" spans="2:14">
      <c r="B60" s="429"/>
      <c r="C60" s="429"/>
      <c r="D60" s="429"/>
      <c r="E60" s="40"/>
      <c r="F60" s="40"/>
      <c r="G60" s="40"/>
      <c r="H60" s="40"/>
      <c r="I60" s="40"/>
      <c r="J60" s="40"/>
    </row>
    <row r="61" spans="2:14">
      <c r="B61" s="429"/>
      <c r="C61" s="429"/>
      <c r="D61" s="429"/>
      <c r="E61" s="40"/>
      <c r="F61" s="40"/>
      <c r="G61" s="40"/>
      <c r="H61" s="40"/>
      <c r="I61" s="40"/>
      <c r="J61" s="40"/>
    </row>
    <row r="64" spans="2:14">
      <c r="B64" s="429"/>
      <c r="C64" s="429"/>
      <c r="D64" s="429"/>
      <c r="E64" s="40"/>
      <c r="F64" s="40"/>
      <c r="G64" s="40"/>
      <c r="H64" s="40"/>
      <c r="I64" s="40"/>
      <c r="J64" s="40"/>
    </row>
  </sheetData>
  <sheetProtection insertRows="0" sort="0" autoFilter="0" pivotTables="0"/>
  <conditionalFormatting sqref="F5:J5 F6:I6">
    <cfRule type="expression" dxfId="26" priority="15">
      <formula>AND(F$5="Actuals",G$5="Forecast")</formula>
    </cfRule>
  </conditionalFormatting>
  <conditionalFormatting sqref="F7:J7">
    <cfRule type="expression" dxfId="25" priority="1">
      <formula>AND(F$5="Actuals",G$5="Forecast")</formula>
    </cfRule>
  </conditionalFormatting>
  <conditionalFormatting sqref="J6">
    <cfRule type="expression" dxfId="24" priority="256">
      <formula>AND(J$5="Actuals",#REF!="Forecast")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79"/>
  <sheetViews>
    <sheetView zoomScaleNormal="100" workbookViewId="0">
      <selection activeCell="A5" sqref="A5"/>
    </sheetView>
  </sheetViews>
  <sheetFormatPr defaultColWidth="9" defaultRowHeight="13.5"/>
  <cols>
    <col min="1" max="1" width="8.3828125" style="114" customWidth="1"/>
    <col min="2" max="2" width="75" style="114" customWidth="1"/>
    <col min="3" max="3" width="15.15234375" style="114" customWidth="1"/>
    <col min="4" max="4" width="14.765625" style="114" customWidth="1"/>
    <col min="5" max="5" width="14.84375" style="114" customWidth="1"/>
    <col min="6" max="6" width="14.3828125" style="114" customWidth="1"/>
    <col min="7" max="8" width="11.15234375" style="114" customWidth="1"/>
    <col min="9" max="9" width="5" style="114" customWidth="1"/>
    <col min="10" max="13" width="9" style="114"/>
    <col min="14" max="14" width="13.15234375" style="114" customWidth="1"/>
    <col min="15" max="16384" width="9" style="114"/>
  </cols>
  <sheetData>
    <row r="1" spans="1:15" ht="20">
      <c r="A1" s="324" t="s">
        <v>271</v>
      </c>
      <c r="B1" s="326"/>
      <c r="C1" s="327"/>
      <c r="D1" s="327"/>
      <c r="E1" s="327"/>
      <c r="F1" s="327"/>
      <c r="G1" s="327"/>
      <c r="H1" s="327"/>
      <c r="I1" s="456"/>
    </row>
    <row r="2" spans="1:15" ht="20">
      <c r="A2" s="329" t="str">
        <f>Licensee</f>
        <v>Cadent-NW</v>
      </c>
      <c r="B2" s="331"/>
      <c r="C2" s="332"/>
      <c r="D2" s="332"/>
      <c r="E2" s="332"/>
      <c r="F2" s="332"/>
      <c r="G2" s="332"/>
      <c r="H2" s="332"/>
      <c r="I2" s="334"/>
    </row>
    <row r="3" spans="1:15" ht="20">
      <c r="A3" s="331">
        <f>Reporting_Year</f>
        <v>2024</v>
      </c>
      <c r="B3" s="335"/>
      <c r="C3" s="335"/>
      <c r="D3" s="335"/>
      <c r="E3" s="335"/>
      <c r="F3" s="335"/>
      <c r="G3" s="335"/>
      <c r="H3" s="335"/>
      <c r="I3" s="337"/>
    </row>
    <row r="4" spans="1:15" s="339" customFormat="1" ht="12.75" customHeight="1"/>
    <row r="5" spans="1:15" s="339" customFormat="1">
      <c r="B5" s="480"/>
      <c r="C5" s="480"/>
      <c r="D5" s="338" t="str">
        <f t="shared" ref="D5:H5" si="0">IF(D6&lt;=Reporting_Year,"Actuals","Forecast")</f>
        <v>Actuals</v>
      </c>
      <c r="E5" s="338" t="str">
        <f t="shared" si="0"/>
        <v>Actuals</v>
      </c>
      <c r="F5" s="338" t="str">
        <f t="shared" si="0"/>
        <v>Actuals</v>
      </c>
      <c r="G5" s="338" t="str">
        <f t="shared" si="0"/>
        <v>Forecast</v>
      </c>
      <c r="H5" s="338" t="str">
        <f t="shared" si="0"/>
        <v>Forecast</v>
      </c>
    </row>
    <row r="6" spans="1:15" s="339" customFormat="1">
      <c r="D6" s="457">
        <f>'RFPR cover'!$C$6</f>
        <v>2022</v>
      </c>
      <c r="E6" s="458">
        <f>D6+1</f>
        <v>2023</v>
      </c>
      <c r="F6" s="458">
        <f t="shared" ref="F6:H6" si="1">E6+1</f>
        <v>2024</v>
      </c>
      <c r="G6" s="458">
        <f t="shared" si="1"/>
        <v>2025</v>
      </c>
      <c r="H6" s="458">
        <f t="shared" si="1"/>
        <v>2026</v>
      </c>
    </row>
    <row r="7" spans="1:15" s="339" customFormat="1">
      <c r="D7" s="457" t="str">
        <f>RIIO_2_start_date-1&amp;"/"&amp;RIGHT(RIIO_2_start_date,2)</f>
        <v>2021/22</v>
      </c>
      <c r="E7" s="457" t="str">
        <f>RIIO_2_start_date&amp;"/"&amp;RIGHT(RIIO_2_start_date+1,2)</f>
        <v>2022/23</v>
      </c>
      <c r="F7" s="457" t="str">
        <f>RIIO_2_start_date+1&amp;"/"&amp;RIGHT(RIIO_2_start_date+2,2)</f>
        <v>2023/24</v>
      </c>
      <c r="G7" s="457" t="str">
        <f>RIIO_2_start_date+2&amp;"/"&amp;RIGHT(RIIO_2_start_date+3,2)</f>
        <v>2024/25</v>
      </c>
      <c r="H7" s="562" t="str">
        <f>RIIO_2_start_date+3&amp;"/"&amp;RIGHT(RIIO_2_start_date+4,2)</f>
        <v>2025/26</v>
      </c>
    </row>
    <row r="8" spans="1:15" s="339" customFormat="1"/>
    <row r="9" spans="1:15" s="339" customFormat="1">
      <c r="A9" s="1016" t="s">
        <v>959</v>
      </c>
      <c r="B9" s="1017"/>
      <c r="C9" s="344"/>
      <c r="D9" s="344"/>
      <c r="E9" s="344"/>
      <c r="F9" s="344"/>
      <c r="G9" s="344"/>
      <c r="H9" s="344"/>
    </row>
    <row r="10" spans="1:15" s="339" customFormat="1"/>
    <row r="11" spans="1:15">
      <c r="B11" s="429" t="s">
        <v>960</v>
      </c>
      <c r="C11" s="29" t="s">
        <v>522</v>
      </c>
      <c r="D11" s="883">
        <v>46.8</v>
      </c>
      <c r="E11" s="883">
        <v>84</v>
      </c>
      <c r="F11" s="883">
        <v>74.399999999999991</v>
      </c>
      <c r="G11" s="883"/>
      <c r="H11" s="883"/>
      <c r="J11" s="339"/>
    </row>
    <row r="12" spans="1:15">
      <c r="B12" s="411" t="s">
        <v>961</v>
      </c>
      <c r="C12" s="429"/>
      <c r="D12" s="860"/>
      <c r="E12" s="860"/>
      <c r="F12" s="860"/>
      <c r="G12" s="860"/>
      <c r="H12" s="860"/>
      <c r="J12" s="339"/>
    </row>
    <row r="13" spans="1:15">
      <c r="B13" s="566" t="s">
        <v>962</v>
      </c>
      <c r="C13" s="29" t="s">
        <v>522</v>
      </c>
      <c r="D13" s="883">
        <v>0</v>
      </c>
      <c r="E13" s="883">
        <v>0</v>
      </c>
      <c r="F13" s="883">
        <v>0</v>
      </c>
      <c r="G13" s="883"/>
      <c r="H13" s="883"/>
      <c r="J13" s="339"/>
    </row>
    <row r="14" spans="1:15">
      <c r="B14" s="566" t="s">
        <v>962</v>
      </c>
      <c r="C14" s="29" t="s">
        <v>522</v>
      </c>
      <c r="D14" s="883">
        <v>0</v>
      </c>
      <c r="E14" s="883">
        <v>0</v>
      </c>
      <c r="F14" s="883">
        <v>0</v>
      </c>
      <c r="G14" s="883"/>
      <c r="H14" s="883"/>
      <c r="J14" s="339"/>
    </row>
    <row r="15" spans="1:15">
      <c r="B15" s="566" t="s">
        <v>943</v>
      </c>
      <c r="C15" s="29" t="s">
        <v>522</v>
      </c>
      <c r="D15" s="883">
        <v>0</v>
      </c>
      <c r="E15" s="883">
        <v>0</v>
      </c>
      <c r="F15" s="883">
        <v>0</v>
      </c>
      <c r="G15" s="883"/>
      <c r="H15" s="883"/>
      <c r="J15" s="339"/>
      <c r="N15" s="1018"/>
    </row>
    <row r="16" spans="1:15">
      <c r="B16" s="429" t="s">
        <v>963</v>
      </c>
      <c r="C16" s="29" t="s">
        <v>522</v>
      </c>
      <c r="D16" s="893">
        <f>D11-SUM(D13:D15)</f>
        <v>46.8</v>
      </c>
      <c r="E16" s="893">
        <f t="shared" ref="E16:H16" si="2">E11-SUM(E13:E15)</f>
        <v>84</v>
      </c>
      <c r="F16" s="893">
        <f t="shared" si="2"/>
        <v>74.399999999999991</v>
      </c>
      <c r="G16" s="893">
        <f t="shared" si="2"/>
        <v>0</v>
      </c>
      <c r="H16" s="893">
        <f t="shared" si="2"/>
        <v>0</v>
      </c>
      <c r="J16" s="339"/>
      <c r="O16" s="1019"/>
    </row>
    <row r="17" spans="1:14">
      <c r="C17" s="429"/>
      <c r="J17" s="339"/>
      <c r="N17" s="1018"/>
    </row>
    <row r="18" spans="1:14">
      <c r="B18" s="429" t="s">
        <v>964</v>
      </c>
      <c r="C18" s="29" t="s">
        <v>522</v>
      </c>
      <c r="D18" s="883">
        <v>0</v>
      </c>
      <c r="E18" s="883">
        <v>0</v>
      </c>
      <c r="F18" s="883">
        <v>0</v>
      </c>
      <c r="G18" s="883"/>
      <c r="H18" s="883"/>
      <c r="J18" s="339"/>
    </row>
    <row r="19" spans="1:14">
      <c r="J19" s="339"/>
    </row>
    <row r="22" spans="1:14">
      <c r="A22" s="1016" t="s">
        <v>965</v>
      </c>
      <c r="B22" s="1020"/>
      <c r="C22" s="344"/>
      <c r="D22" s="344"/>
      <c r="E22" s="344"/>
      <c r="F22" s="344"/>
      <c r="G22" s="344"/>
      <c r="H22" s="344"/>
    </row>
    <row r="23" spans="1:14">
      <c r="D23" s="1389" t="str">
        <f>Reporting_Year&amp;" "&amp;"- Actuals"</f>
        <v>2024 - Actuals</v>
      </c>
      <c r="E23" s="1390"/>
      <c r="F23" s="1390"/>
      <c r="G23" s="1390"/>
      <c r="H23" s="1391"/>
    </row>
    <row r="24" spans="1:14">
      <c r="D24" s="1021" t="s">
        <v>966</v>
      </c>
      <c r="E24" s="1021" t="s">
        <v>967</v>
      </c>
      <c r="F24" s="1021" t="s">
        <v>968</v>
      </c>
      <c r="G24" s="1021" t="s">
        <v>969</v>
      </c>
      <c r="H24" s="1021" t="s">
        <v>970</v>
      </c>
    </row>
    <row r="25" spans="1:14" ht="35.15" customHeight="1">
      <c r="C25" s="114" t="s">
        <v>971</v>
      </c>
      <c r="D25" s="1282" t="s">
        <v>972</v>
      </c>
      <c r="E25" s="1282" t="s">
        <v>973</v>
      </c>
      <c r="F25" s="1282" t="s">
        <v>974</v>
      </c>
      <c r="G25" s="1022"/>
      <c r="H25" s="1022"/>
    </row>
    <row r="26" spans="1:14" ht="44.5" customHeight="1">
      <c r="B26" s="429" t="s">
        <v>975</v>
      </c>
    </row>
    <row r="27" spans="1:14">
      <c r="B27" s="114" t="s">
        <v>976</v>
      </c>
      <c r="C27" s="29" t="s">
        <v>522</v>
      </c>
      <c r="D27" s="1283">
        <v>0.16104000000000002</v>
      </c>
      <c r="E27" s="1283">
        <v>9.5280000000000004E-2</v>
      </c>
      <c r="F27" s="1283">
        <v>8.8319999999999996E-2</v>
      </c>
      <c r="G27" s="1024">
        <v>0</v>
      </c>
      <c r="H27" s="1024">
        <v>0</v>
      </c>
    </row>
    <row r="28" spans="1:14">
      <c r="B28" s="114" t="s">
        <v>977</v>
      </c>
      <c r="C28" s="29" t="s">
        <v>522</v>
      </c>
      <c r="D28" s="1283">
        <v>0</v>
      </c>
      <c r="E28" s="1283">
        <v>0</v>
      </c>
      <c r="F28" s="1283">
        <v>0</v>
      </c>
      <c r="G28" s="1025">
        <v>0</v>
      </c>
      <c r="H28" s="1025">
        <v>0</v>
      </c>
    </row>
    <row r="29" spans="1:14">
      <c r="B29" s="114" t="s">
        <v>978</v>
      </c>
      <c r="C29" s="29" t="s">
        <v>522</v>
      </c>
      <c r="D29" s="1283">
        <v>1.536E-2</v>
      </c>
      <c r="E29" s="1283">
        <v>1.1999999999999999E-3</v>
      </c>
      <c r="F29" s="1283">
        <v>3.1199999999999999E-3</v>
      </c>
      <c r="G29" s="1026">
        <v>0</v>
      </c>
      <c r="H29" s="1026">
        <v>0</v>
      </c>
    </row>
    <row r="30" spans="1:14">
      <c r="B30" s="114" t="s">
        <v>979</v>
      </c>
      <c r="C30" s="29" t="s">
        <v>522</v>
      </c>
      <c r="D30" s="1283">
        <v>1.9439999999999999E-2</v>
      </c>
      <c r="E30" s="1283">
        <v>1.1519999999999999E-2</v>
      </c>
      <c r="F30" s="1283">
        <v>1.0799999999999999E-2</v>
      </c>
      <c r="G30" s="1027">
        <v>0</v>
      </c>
      <c r="H30" s="1027">
        <v>0</v>
      </c>
    </row>
    <row r="31" spans="1:14">
      <c r="B31" s="429" t="s">
        <v>980</v>
      </c>
      <c r="C31" s="29" t="s">
        <v>522</v>
      </c>
      <c r="D31" s="1039">
        <f>SUM(D27:D30)</f>
        <v>0.19584000000000001</v>
      </c>
      <c r="E31" s="1039">
        <f>SUM(E27:E30)</f>
        <v>0.10800000000000001</v>
      </c>
      <c r="F31" s="1039">
        <f>SUM(F27:F30)</f>
        <v>0.10224</v>
      </c>
      <c r="G31" s="1039">
        <v>0</v>
      </c>
      <c r="H31" s="1039">
        <v>0</v>
      </c>
    </row>
    <row r="32" spans="1:14">
      <c r="B32" s="429" t="s">
        <v>981</v>
      </c>
      <c r="C32" s="29" t="s">
        <v>522</v>
      </c>
      <c r="D32" s="1028">
        <f>D31</f>
        <v>0.19584000000000001</v>
      </c>
      <c r="E32" s="1028">
        <f t="shared" ref="E32:F32" si="3">E31</f>
        <v>0.10800000000000001</v>
      </c>
      <c r="F32" s="1028">
        <f t="shared" si="3"/>
        <v>0.10224</v>
      </c>
      <c r="G32" s="1028">
        <v>0</v>
      </c>
      <c r="H32" s="1028">
        <v>0</v>
      </c>
    </row>
    <row r="33" spans="2:8">
      <c r="B33" s="566"/>
      <c r="D33" s="1029"/>
      <c r="E33" s="1029"/>
      <c r="F33" s="1029"/>
      <c r="G33" s="1029">
        <v>0</v>
      </c>
      <c r="H33" s="1029">
        <v>0</v>
      </c>
    </row>
    <row r="34" spans="2:8">
      <c r="B34" s="429" t="s">
        <v>982</v>
      </c>
      <c r="D34" s="1029"/>
      <c r="E34" s="1029"/>
      <c r="F34" s="1029"/>
      <c r="G34" s="1029"/>
      <c r="H34" s="1029"/>
    </row>
    <row r="35" spans="2:8">
      <c r="B35" s="114" t="s">
        <v>983</v>
      </c>
      <c r="C35" s="29" t="s">
        <v>522</v>
      </c>
      <c r="D35" s="1283">
        <v>0</v>
      </c>
      <c r="E35" s="1283">
        <v>0</v>
      </c>
      <c r="F35" s="1283">
        <v>0</v>
      </c>
      <c r="G35" s="1024">
        <v>0</v>
      </c>
      <c r="H35" s="1024">
        <v>0</v>
      </c>
    </row>
    <row r="36" spans="2:8">
      <c r="B36" s="566" t="s">
        <v>943</v>
      </c>
      <c r="C36" s="29" t="s">
        <v>522</v>
      </c>
      <c r="D36" s="1283">
        <v>0</v>
      </c>
      <c r="E36" s="1283">
        <v>0</v>
      </c>
      <c r="F36" s="1283">
        <v>0</v>
      </c>
      <c r="G36" s="1027">
        <v>0</v>
      </c>
      <c r="H36" s="1027">
        <v>0</v>
      </c>
    </row>
    <row r="37" spans="2:8">
      <c r="B37" s="114" t="s">
        <v>984</v>
      </c>
      <c r="C37" s="29" t="s">
        <v>522</v>
      </c>
      <c r="D37" s="1283">
        <v>0.20591999999999999</v>
      </c>
      <c r="E37" s="1283">
        <v>6.1920000000000003E-2</v>
      </c>
      <c r="F37" s="1283">
        <v>5.8079999999999993E-2</v>
      </c>
      <c r="G37" s="1026">
        <v>0</v>
      </c>
      <c r="H37" s="1026">
        <v>0</v>
      </c>
    </row>
    <row r="38" spans="2:8">
      <c r="B38" s="566" t="s">
        <v>985</v>
      </c>
      <c r="C38" s="29" t="s">
        <v>522</v>
      </c>
      <c r="D38" s="1283">
        <v>0.23087999999999997</v>
      </c>
      <c r="E38" s="1283">
        <v>7.5359999999999996E-2</v>
      </c>
      <c r="F38" s="1283">
        <v>9.8879999999999996E-2</v>
      </c>
      <c r="G38" s="1027">
        <v>0</v>
      </c>
      <c r="H38" s="1027">
        <v>0</v>
      </c>
    </row>
    <row r="39" spans="2:8">
      <c r="B39" s="429" t="s">
        <v>986</v>
      </c>
      <c r="C39" s="29" t="s">
        <v>522</v>
      </c>
      <c r="D39" s="1040">
        <f t="shared" ref="D39:F39" si="4">SUM(D35:D38)</f>
        <v>0.43679999999999997</v>
      </c>
      <c r="E39" s="1040">
        <f t="shared" si="4"/>
        <v>0.13728000000000001</v>
      </c>
      <c r="F39" s="1040">
        <f t="shared" si="4"/>
        <v>0.15695999999999999</v>
      </c>
      <c r="G39" s="1040">
        <v>0</v>
      </c>
      <c r="H39" s="1040">
        <v>0</v>
      </c>
    </row>
    <row r="40" spans="2:8">
      <c r="B40" s="429" t="s">
        <v>981</v>
      </c>
      <c r="C40" s="29" t="s">
        <v>522</v>
      </c>
      <c r="D40" s="1028">
        <f>D39</f>
        <v>0.43679999999999997</v>
      </c>
      <c r="E40" s="1028">
        <f t="shared" ref="E40:F40" si="5">E39</f>
        <v>0.13728000000000001</v>
      </c>
      <c r="F40" s="1028">
        <f t="shared" si="5"/>
        <v>0.15695999999999999</v>
      </c>
      <c r="G40" s="1028">
        <v>0</v>
      </c>
      <c r="H40" s="1028">
        <v>0</v>
      </c>
    </row>
    <row r="41" spans="2:8">
      <c r="D41" s="1029"/>
      <c r="E41" s="1029"/>
      <c r="F41" s="1029"/>
      <c r="G41" s="1029"/>
      <c r="H41" s="1029"/>
    </row>
    <row r="42" spans="2:8">
      <c r="B42" s="429" t="s">
        <v>987</v>
      </c>
      <c r="C42" s="29" t="s">
        <v>522</v>
      </c>
      <c r="D42" s="1040">
        <f t="shared" ref="D42:H42" si="6">SUM(D31,D39)</f>
        <v>0.63263999999999998</v>
      </c>
      <c r="E42" s="1040">
        <f t="shared" si="6"/>
        <v>0.24528000000000003</v>
      </c>
      <c r="F42" s="1040">
        <f t="shared" si="6"/>
        <v>0.25919999999999999</v>
      </c>
      <c r="G42" s="1040">
        <f t="shared" si="6"/>
        <v>0</v>
      </c>
      <c r="H42" s="1040">
        <f t="shared" si="6"/>
        <v>0</v>
      </c>
    </row>
    <row r="43" spans="2:8">
      <c r="B43" s="429" t="s">
        <v>988</v>
      </c>
      <c r="C43" s="29" t="s">
        <v>522</v>
      </c>
      <c r="D43" s="1040">
        <f>D32+D40</f>
        <v>0.63263999999999998</v>
      </c>
      <c r="E43" s="1040">
        <f t="shared" ref="E43:H43" si="7">E32+E40</f>
        <v>0.24528000000000003</v>
      </c>
      <c r="F43" s="1040">
        <f t="shared" si="7"/>
        <v>0.25919999999999999</v>
      </c>
      <c r="G43" s="1040">
        <f t="shared" si="7"/>
        <v>0</v>
      </c>
      <c r="H43" s="1040">
        <f t="shared" si="7"/>
        <v>0</v>
      </c>
    </row>
    <row r="44" spans="2:8">
      <c r="D44" s="1029"/>
      <c r="E44" s="1029"/>
      <c r="F44" s="1029"/>
      <c r="G44" s="1029"/>
      <c r="H44" s="1029"/>
    </row>
    <row r="45" spans="2:8">
      <c r="B45" s="429" t="s">
        <v>989</v>
      </c>
      <c r="D45" s="1029"/>
      <c r="E45" s="1029"/>
      <c r="F45" s="1029"/>
      <c r="G45" s="1029"/>
      <c r="H45" s="1029"/>
    </row>
    <row r="46" spans="2:8">
      <c r="B46" s="114" t="s">
        <v>990</v>
      </c>
      <c r="C46" s="29" t="s">
        <v>991</v>
      </c>
      <c r="D46" s="1023">
        <v>0</v>
      </c>
      <c r="E46" s="1024">
        <v>0</v>
      </c>
      <c r="F46" s="1024">
        <v>0</v>
      </c>
      <c r="G46" s="1024">
        <v>0</v>
      </c>
      <c r="H46" s="1024">
        <v>0</v>
      </c>
    </row>
    <row r="47" spans="2:8">
      <c r="B47" s="566" t="s">
        <v>943</v>
      </c>
      <c r="C47" s="29"/>
      <c r="D47" s="1023">
        <v>0</v>
      </c>
      <c r="E47" s="1024">
        <v>0</v>
      </c>
      <c r="F47" s="1024">
        <v>0</v>
      </c>
      <c r="G47" s="1024">
        <v>0</v>
      </c>
      <c r="H47" s="1024">
        <v>0</v>
      </c>
    </row>
    <row r="48" spans="2:8">
      <c r="B48" s="114" t="s">
        <v>992</v>
      </c>
      <c r="C48" s="29" t="s">
        <v>486</v>
      </c>
      <c r="D48" s="1023">
        <v>0</v>
      </c>
      <c r="E48" s="1024">
        <v>0</v>
      </c>
      <c r="F48" s="1024">
        <v>0</v>
      </c>
      <c r="G48" s="1024">
        <v>0</v>
      </c>
      <c r="H48" s="1024">
        <v>0</v>
      </c>
    </row>
    <row r="49" spans="2:14">
      <c r="B49" s="204" t="s">
        <v>993</v>
      </c>
      <c r="C49" s="29" t="s">
        <v>486</v>
      </c>
      <c r="D49" s="1023">
        <v>0</v>
      </c>
      <c r="E49" s="1024">
        <v>0</v>
      </c>
      <c r="F49" s="1024">
        <v>0</v>
      </c>
      <c r="G49" s="1024">
        <v>0</v>
      </c>
      <c r="H49" s="1024">
        <v>0</v>
      </c>
    </row>
    <row r="50" spans="2:14">
      <c r="B50" s="429" t="s">
        <v>994</v>
      </c>
      <c r="C50" s="29" t="s">
        <v>522</v>
      </c>
      <c r="D50" s="1023">
        <v>0</v>
      </c>
      <c r="E50" s="1024">
        <v>0</v>
      </c>
      <c r="F50" s="1024">
        <v>0</v>
      </c>
      <c r="G50" s="1024">
        <v>0</v>
      </c>
      <c r="H50" s="1024">
        <v>0</v>
      </c>
    </row>
    <row r="51" spans="2:14">
      <c r="B51" s="204" t="s">
        <v>995</v>
      </c>
      <c r="C51" s="29" t="s">
        <v>996</v>
      </c>
      <c r="D51" s="1023">
        <v>0</v>
      </c>
      <c r="E51" s="1024">
        <v>0</v>
      </c>
      <c r="F51" s="1024">
        <v>0</v>
      </c>
      <c r="G51" s="1024">
        <v>0</v>
      </c>
      <c r="H51" s="1024">
        <v>0</v>
      </c>
    </row>
    <row r="52" spans="2:14">
      <c r="B52" s="204" t="s">
        <v>997</v>
      </c>
      <c r="C52" s="29" t="s">
        <v>998</v>
      </c>
      <c r="D52" s="1023">
        <v>0</v>
      </c>
      <c r="E52" s="1024">
        <v>0</v>
      </c>
      <c r="F52" s="1024">
        <v>0</v>
      </c>
      <c r="G52" s="1024">
        <v>0</v>
      </c>
      <c r="H52" s="1024">
        <v>0</v>
      </c>
    </row>
    <row r="53" spans="2:14">
      <c r="B53" s="204" t="s">
        <v>999</v>
      </c>
      <c r="C53" s="29" t="s">
        <v>996</v>
      </c>
      <c r="D53" s="1023">
        <v>0</v>
      </c>
      <c r="E53" s="1024">
        <v>0</v>
      </c>
      <c r="F53" s="1024">
        <v>0</v>
      </c>
      <c r="G53" s="1024">
        <v>0</v>
      </c>
      <c r="H53" s="1024">
        <v>0</v>
      </c>
    </row>
    <row r="54" spans="2:14">
      <c r="B54" s="429" t="s">
        <v>1000</v>
      </c>
      <c r="C54" s="29" t="s">
        <v>522</v>
      </c>
      <c r="D54" s="1041">
        <f>D52*D53</f>
        <v>0</v>
      </c>
      <c r="E54" s="1041">
        <f t="shared" ref="E54:H54" si="8">E52*E53</f>
        <v>0</v>
      </c>
      <c r="F54" s="1041">
        <f t="shared" si="8"/>
        <v>0</v>
      </c>
      <c r="G54" s="1041">
        <f t="shared" si="8"/>
        <v>0</v>
      </c>
      <c r="H54" s="1041">
        <f t="shared" si="8"/>
        <v>0</v>
      </c>
    </row>
    <row r="55" spans="2:14">
      <c r="C55" s="29"/>
      <c r="D55" s="1029"/>
      <c r="E55" s="1029"/>
      <c r="F55" s="1029"/>
      <c r="G55" s="1029"/>
      <c r="H55" s="1029"/>
    </row>
    <row r="56" spans="2:14">
      <c r="B56" s="429" t="s">
        <v>1001</v>
      </c>
      <c r="C56" s="29" t="s">
        <v>522</v>
      </c>
      <c r="D56" s="1023">
        <v>0</v>
      </c>
      <c r="E56" s="1024">
        <v>0</v>
      </c>
      <c r="F56" s="1024">
        <v>0</v>
      </c>
      <c r="G56" s="1024">
        <v>0</v>
      </c>
      <c r="H56" s="1024">
        <v>0</v>
      </c>
    </row>
    <row r="57" spans="2:14">
      <c r="B57" s="429"/>
      <c r="C57" s="429"/>
      <c r="D57" s="1030"/>
      <c r="E57" s="1030"/>
      <c r="F57" s="1030"/>
      <c r="G57" s="1030"/>
      <c r="H57" s="1030"/>
      <c r="I57" s="429"/>
      <c r="J57" s="429"/>
      <c r="K57" s="429"/>
      <c r="L57" s="429"/>
      <c r="M57" s="429"/>
      <c r="N57" s="429"/>
    </row>
    <row r="58" spans="2:14">
      <c r="B58" s="429" t="s">
        <v>1002</v>
      </c>
      <c r="C58" s="29"/>
      <c r="D58" s="1041">
        <f>D50+D54+D56</f>
        <v>0</v>
      </c>
      <c r="E58" s="1041">
        <f>E50+E54+E56</f>
        <v>0</v>
      </c>
      <c r="F58" s="1041">
        <f>F50+F54+F56</f>
        <v>0</v>
      </c>
      <c r="G58" s="1041">
        <f>G50+G54+G56</f>
        <v>0</v>
      </c>
      <c r="H58" s="1041">
        <f>H50+H54+H56</f>
        <v>0</v>
      </c>
    </row>
    <row r="59" spans="2:14">
      <c r="B59" s="429" t="s">
        <v>981</v>
      </c>
      <c r="C59" s="29" t="s">
        <v>522</v>
      </c>
      <c r="D59" s="1023">
        <v>0</v>
      </c>
      <c r="E59" s="1024">
        <v>0</v>
      </c>
      <c r="F59" s="1024">
        <v>0</v>
      </c>
      <c r="G59" s="1024">
        <v>0</v>
      </c>
      <c r="H59" s="1024">
        <v>0</v>
      </c>
    </row>
    <row r="60" spans="2:14">
      <c r="B60" s="429"/>
      <c r="C60" s="29"/>
      <c r="D60" s="1030"/>
      <c r="E60" s="1030"/>
      <c r="F60" s="1030"/>
      <c r="G60" s="1030"/>
      <c r="H60" s="1030"/>
      <c r="J60" s="429"/>
      <c r="K60" s="429"/>
    </row>
    <row r="61" spans="2:14">
      <c r="B61" s="429" t="s">
        <v>1003</v>
      </c>
      <c r="C61" s="29" t="s">
        <v>522</v>
      </c>
      <c r="D61" s="1041">
        <f>D42+D58</f>
        <v>0.63263999999999998</v>
      </c>
      <c r="E61" s="1041">
        <f t="shared" ref="E61:H61" si="9">E42+E58</f>
        <v>0.24528000000000003</v>
      </c>
      <c r="F61" s="1041">
        <f t="shared" si="9"/>
        <v>0.25919999999999999</v>
      </c>
      <c r="G61" s="1041">
        <f t="shared" si="9"/>
        <v>0</v>
      </c>
      <c r="H61" s="1041">
        <f t="shared" si="9"/>
        <v>0</v>
      </c>
    </row>
    <row r="62" spans="2:14">
      <c r="B62" s="429" t="s">
        <v>1004</v>
      </c>
      <c r="C62" s="29" t="s">
        <v>522</v>
      </c>
      <c r="D62" s="1041">
        <f>D43+D59</f>
        <v>0.63263999999999998</v>
      </c>
      <c r="E62" s="1041">
        <f t="shared" ref="E62:H62" si="10">E43+E59</f>
        <v>0.24528000000000003</v>
      </c>
      <c r="F62" s="1041">
        <f t="shared" si="10"/>
        <v>0.25919999999999999</v>
      </c>
      <c r="G62" s="1041">
        <f t="shared" si="10"/>
        <v>0</v>
      </c>
      <c r="H62" s="1041">
        <f t="shared" si="10"/>
        <v>0</v>
      </c>
      <c r="J62" s="429"/>
    </row>
    <row r="63" spans="2:14">
      <c r="B63" s="429"/>
      <c r="C63" s="29"/>
      <c r="D63" s="546"/>
      <c r="E63" s="546"/>
      <c r="F63" s="546"/>
      <c r="G63" s="546"/>
      <c r="H63" s="546"/>
      <c r="J63" s="429"/>
    </row>
    <row r="64" spans="2:14">
      <c r="B64" s="429" t="s">
        <v>1005</v>
      </c>
      <c r="C64" s="29"/>
      <c r="D64" s="546"/>
      <c r="E64" s="546"/>
      <c r="F64" s="546"/>
      <c r="G64" s="546"/>
      <c r="H64" s="546"/>
      <c r="I64" s="546"/>
      <c r="J64" s="546"/>
      <c r="K64" s="546"/>
    </row>
    <row r="65" spans="1:12">
      <c r="B65" s="114" t="s">
        <v>1006</v>
      </c>
      <c r="C65" s="29"/>
      <c r="D65" s="496" t="s">
        <v>1223</v>
      </c>
      <c r="E65" s="546"/>
      <c r="F65" s="546"/>
      <c r="G65" s="546"/>
      <c r="H65" s="546"/>
      <c r="I65" s="546"/>
      <c r="J65" s="546"/>
      <c r="K65" s="546"/>
    </row>
    <row r="66" spans="1:12">
      <c r="B66" s="114" t="s">
        <v>1007</v>
      </c>
      <c r="C66" s="29"/>
      <c r="D66" s="496" t="s">
        <v>1224</v>
      </c>
      <c r="E66" s="546"/>
      <c r="F66" s="546"/>
      <c r="G66" s="546"/>
      <c r="H66" s="546"/>
      <c r="I66" s="546"/>
      <c r="J66" s="546"/>
      <c r="K66" s="546"/>
    </row>
    <row r="67" spans="1:12">
      <c r="B67" s="114" t="s">
        <v>1008</v>
      </c>
      <c r="C67" s="29"/>
      <c r="D67" s="496" t="s">
        <v>1225</v>
      </c>
      <c r="E67" s="546"/>
      <c r="F67" s="546"/>
      <c r="G67" s="546"/>
      <c r="H67" s="546"/>
      <c r="I67" s="546"/>
      <c r="J67" s="546"/>
      <c r="K67" s="546"/>
    </row>
    <row r="68" spans="1:12">
      <c r="B68" s="429"/>
      <c r="C68" s="29"/>
      <c r="D68" s="546"/>
      <c r="E68" s="546"/>
      <c r="F68" s="546"/>
      <c r="G68" s="546"/>
      <c r="H68" s="546"/>
      <c r="I68" s="546"/>
      <c r="J68" s="546"/>
      <c r="K68" s="546"/>
    </row>
    <row r="69" spans="1:12">
      <c r="A69" s="428" t="s">
        <v>1009</v>
      </c>
      <c r="B69" s="429"/>
      <c r="C69" s="29"/>
      <c r="D69" s="29"/>
      <c r="E69" s="546"/>
      <c r="F69" s="546"/>
      <c r="G69" s="546"/>
      <c r="H69" s="546"/>
      <c r="I69" s="546"/>
      <c r="J69" s="546"/>
      <c r="K69" s="546"/>
      <c r="L69" s="29"/>
    </row>
    <row r="70" spans="1:12">
      <c r="A70" s="428" t="s">
        <v>1010</v>
      </c>
      <c r="B70" s="429"/>
      <c r="C70" s="429"/>
      <c r="D70" s="429"/>
      <c r="E70" s="546"/>
      <c r="F70" s="429"/>
      <c r="G70" s="429"/>
      <c r="H70" s="429"/>
      <c r="I70" s="429"/>
      <c r="J70" s="429"/>
    </row>
    <row r="71" spans="1:12">
      <c r="A71" s="428"/>
      <c r="B71" s="429"/>
      <c r="C71" s="429"/>
      <c r="D71" s="429"/>
      <c r="E71" s="429"/>
      <c r="F71" s="429"/>
      <c r="G71" s="429"/>
      <c r="H71" s="429"/>
      <c r="I71" s="429"/>
      <c r="J71" s="429"/>
    </row>
    <row r="72" spans="1:12">
      <c r="B72" s="429" t="s">
        <v>1011</v>
      </c>
    </row>
    <row r="73" spans="1:12">
      <c r="B73" s="429"/>
    </row>
    <row r="74" spans="1:12">
      <c r="B74" s="1031"/>
      <c r="C74" s="1032"/>
      <c r="D74" s="1032"/>
      <c r="E74" s="1032"/>
      <c r="F74" s="1032"/>
      <c r="G74" s="1033"/>
      <c r="H74" s="1034"/>
    </row>
    <row r="75" spans="1:12">
      <c r="B75" s="1035"/>
      <c r="C75" s="1036"/>
      <c r="D75" s="434"/>
      <c r="E75" s="435"/>
      <c r="F75" s="435"/>
      <c r="G75" s="435"/>
      <c r="H75" s="436"/>
    </row>
    <row r="76" spans="1:12">
      <c r="B76" s="1035"/>
      <c r="C76" s="1036"/>
      <c r="D76" s="434"/>
      <c r="E76" s="435"/>
      <c r="F76" s="435"/>
      <c r="G76" s="435"/>
      <c r="H76" s="436"/>
    </row>
    <row r="77" spans="1:12">
      <c r="B77" s="1035"/>
      <c r="C77" s="1036"/>
      <c r="D77" s="434"/>
      <c r="E77" s="435"/>
      <c r="F77" s="435"/>
      <c r="G77" s="435"/>
      <c r="H77" s="436"/>
    </row>
    <row r="78" spans="1:12">
      <c r="B78" s="1035"/>
      <c r="C78" s="1036"/>
      <c r="D78" s="434"/>
      <c r="E78" s="435"/>
      <c r="F78" s="435"/>
      <c r="G78" s="435"/>
      <c r="H78" s="436"/>
    </row>
    <row r="79" spans="1:12">
      <c r="B79" s="1037"/>
      <c r="C79" s="1038"/>
      <c r="D79" s="439"/>
      <c r="E79" s="440"/>
      <c r="F79" s="440"/>
      <c r="G79" s="440"/>
      <c r="H79" s="441"/>
    </row>
  </sheetData>
  <sheetProtection insertRows="0" sort="0" autoFilter="0" pivotTables="0"/>
  <mergeCells count="1">
    <mergeCell ref="D23:H23"/>
  </mergeCells>
  <phoneticPr fontId="260" type="noConversion"/>
  <conditionalFormatting sqref="D27:F30">
    <cfRule type="expression" dxfId="23" priority="4">
      <formula>D$5="Forecast"</formula>
    </cfRule>
  </conditionalFormatting>
  <conditionalFormatting sqref="D35:F38">
    <cfRule type="expression" dxfId="22" priority="3">
      <formula>D$5="Forecast"</formula>
    </cfRule>
  </conditionalFormatting>
  <conditionalFormatting sqref="D5:G6">
    <cfRule type="expression" dxfId="21" priority="40">
      <formula>AND(D$5="Actuals",E$5="N/A")</formula>
    </cfRule>
  </conditionalFormatting>
  <conditionalFormatting sqref="D5:H6 G27:H30 D31:H32 D40:H40 D46:H54 D61:H63 D64:K64 D65:D68 F65:K69 E65:E70">
    <cfRule type="expression" dxfId="20" priority="32">
      <formula>D$5="N/A"</formula>
    </cfRule>
  </conditionalFormatting>
  <conditionalFormatting sqref="D7:H7">
    <cfRule type="expression" dxfId="19" priority="15">
      <formula>AND(D$5="Actuals",E$5="Forecast")</formula>
    </cfRule>
  </conditionalFormatting>
  <conditionalFormatting sqref="D11:H11">
    <cfRule type="expression" dxfId="18" priority="10">
      <formula>D$5="Forecast"</formula>
    </cfRule>
  </conditionalFormatting>
  <conditionalFormatting sqref="D13:H16">
    <cfRule type="expression" dxfId="17" priority="6">
      <formula>D$5="Forecast"</formula>
    </cfRule>
  </conditionalFormatting>
  <conditionalFormatting sqref="D18:H18">
    <cfRule type="expression" dxfId="16" priority="7">
      <formula>D$5="Forecast"</formula>
    </cfRule>
  </conditionalFormatting>
  <conditionalFormatting sqref="D20:H20">
    <cfRule type="expression" priority="26">
      <formula>D$5="N/A"</formula>
    </cfRule>
  </conditionalFormatting>
  <conditionalFormatting sqref="D56:H56">
    <cfRule type="expression" dxfId="15" priority="1">
      <formula>D$5="N/A"</formula>
    </cfRule>
  </conditionalFormatting>
  <conditionalFormatting sqref="D58:H59">
    <cfRule type="expression" dxfId="14" priority="2">
      <formula>D$5="N/A"</formula>
    </cfRule>
  </conditionalFormatting>
  <conditionalFormatting sqref="G35:H38">
    <cfRule type="expression" dxfId="13" priority="16">
      <formula>G$5="N/A"</formula>
    </cfRule>
  </conditionalFormatting>
  <conditionalFormatting sqref="H5:H6">
    <cfRule type="expression" dxfId="12" priority="279">
      <formula>AND(H$5="Actuals",#REF!="N/A")</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82"/>
  <sheetViews>
    <sheetView zoomScaleNormal="100" workbookViewId="0">
      <selection activeCell="A6" sqref="A6"/>
    </sheetView>
  </sheetViews>
  <sheetFormatPr defaultColWidth="9" defaultRowHeight="13.5"/>
  <cols>
    <col min="1" max="1" width="8.3828125" style="114" customWidth="1"/>
    <col min="2" max="2" width="54.765625" style="114" customWidth="1"/>
    <col min="3" max="3" width="1.765625" style="114" customWidth="1"/>
    <col min="4" max="4" width="14.15234375" style="114" customWidth="1"/>
    <col min="5" max="9" width="11.15234375" style="114" customWidth="1"/>
    <col min="10" max="10" width="7.765625" style="114" customWidth="1"/>
    <col min="11" max="16384" width="9" style="114"/>
  </cols>
  <sheetData>
    <row r="1" spans="1:20" ht="20">
      <c r="A1" s="324" t="s">
        <v>269</v>
      </c>
      <c r="B1" s="326"/>
      <c r="C1" s="326"/>
      <c r="D1" s="327"/>
      <c r="E1" s="327"/>
      <c r="F1" s="327"/>
      <c r="G1" s="327"/>
      <c r="H1" s="327"/>
      <c r="I1" s="327"/>
      <c r="J1" s="456"/>
    </row>
    <row r="2" spans="1:20" ht="20">
      <c r="A2" s="329" t="str">
        <f>Licensee</f>
        <v>Cadent-NW</v>
      </c>
      <c r="B2" s="332"/>
      <c r="C2" s="332"/>
      <c r="D2" s="332"/>
      <c r="E2" s="332"/>
      <c r="F2" s="332"/>
      <c r="G2" s="332"/>
      <c r="H2" s="332"/>
      <c r="I2" s="332"/>
      <c r="J2" s="334"/>
    </row>
    <row r="3" spans="1:20" ht="20">
      <c r="A3" s="331">
        <f>Reporting_Year</f>
        <v>2024</v>
      </c>
      <c r="B3" s="335"/>
      <c r="C3" s="335"/>
      <c r="D3" s="335"/>
      <c r="E3" s="878"/>
      <c r="F3" s="878"/>
      <c r="G3" s="878"/>
      <c r="H3" s="878"/>
      <c r="I3" s="878"/>
      <c r="J3" s="337"/>
    </row>
    <row r="4" spans="1:20" ht="12.75" customHeight="1">
      <c r="A4" s="879"/>
      <c r="B4" s="880"/>
      <c r="C4" s="880"/>
      <c r="D4" s="879"/>
      <c r="E4" s="879"/>
      <c r="F4" s="879"/>
      <c r="G4" s="879"/>
      <c r="H4" s="879"/>
      <c r="I4" s="879"/>
      <c r="J4" s="879"/>
      <c r="K4" s="880"/>
    </row>
    <row r="5" spans="1:20" s="339" customFormat="1">
      <c r="B5" s="480"/>
      <c r="C5" s="480"/>
      <c r="D5" s="480"/>
      <c r="E5" s="338" t="str">
        <f>IF(E6+1&lt;=Reporting_Year,"Actuals","Forecast")</f>
        <v>Actuals</v>
      </c>
      <c r="F5" s="338" t="str">
        <f>IF(F6+1&lt;=Reporting_Year,"Actuals","Forecast")</f>
        <v>Actuals</v>
      </c>
      <c r="G5" s="338" t="str">
        <f>IF(G6+1&lt;=Reporting_Year,"Actuals","Forecast")</f>
        <v>Forecast</v>
      </c>
      <c r="H5" s="338" t="str">
        <f>IF(H6+1&lt;=Reporting_Year,"Actuals","Forecast")</f>
        <v>Forecast</v>
      </c>
      <c r="I5" s="338" t="str">
        <f>IF(I6+1&lt;=Reporting_Year,"Actuals","Forecast")</f>
        <v>Forecast</v>
      </c>
    </row>
    <row r="6" spans="1:20" s="339" customFormat="1">
      <c r="E6" s="457">
        <f>'RFPR cover'!$C$6</f>
        <v>2022</v>
      </c>
      <c r="F6" s="458">
        <f>E6+1</f>
        <v>2023</v>
      </c>
      <c r="G6" s="458">
        <f t="shared" ref="G6:I6" si="0">F6+1</f>
        <v>2024</v>
      </c>
      <c r="H6" s="458">
        <f t="shared" si="0"/>
        <v>2025</v>
      </c>
      <c r="I6" s="458">
        <f t="shared" si="0"/>
        <v>2026</v>
      </c>
    </row>
    <row r="7" spans="1:20" s="339" customFormat="1">
      <c r="E7" s="457" t="str">
        <f>RIIO_2_start_date-1&amp;"/"&amp;RIGHT(RIIO_2_start_date,2)</f>
        <v>2021/22</v>
      </c>
      <c r="F7" s="457" t="str">
        <f>RIIO_2_start_date&amp;"/"&amp;RIGHT(RIIO_2_start_date+1,2)</f>
        <v>2022/23</v>
      </c>
      <c r="G7" s="457" t="str">
        <f>RIIO_2_start_date+1&amp;"/"&amp;RIGHT(RIIO_2_start_date+2,2)</f>
        <v>2023/24</v>
      </c>
      <c r="H7" s="457" t="str">
        <f>RIIO_2_start_date+2&amp;"/"&amp;RIGHT(RIIO_2_start_date+3,2)</f>
        <v>2024/25</v>
      </c>
      <c r="I7" s="562" t="str">
        <f>RIIO_2_start_date+3&amp;"/"&amp;RIGHT(RIIO_2_start_date+4,2)</f>
        <v>2025/26</v>
      </c>
    </row>
    <row r="8" spans="1:20" s="339" customFormat="1">
      <c r="B8" s="881" t="s">
        <v>927</v>
      </c>
      <c r="C8" s="581"/>
      <c r="D8" s="582"/>
      <c r="E8" s="582"/>
      <c r="F8" s="582"/>
      <c r="G8" s="582"/>
      <c r="H8" s="582"/>
      <c r="I8" s="582"/>
    </row>
    <row r="9" spans="1:20" s="339" customFormat="1" ht="34.5" customHeight="1">
      <c r="B9" s="1392" t="s">
        <v>928</v>
      </c>
      <c r="C9" s="1392"/>
      <c r="D9" s="1392"/>
      <c r="E9" s="1392"/>
      <c r="F9" s="1392"/>
      <c r="G9" s="1392"/>
      <c r="H9" s="1392"/>
      <c r="I9" s="1392"/>
    </row>
    <row r="10" spans="1:20" s="339" customFormat="1">
      <c r="B10" s="840"/>
      <c r="C10" s="840"/>
    </row>
    <row r="11" spans="1:20" s="339" customFormat="1" ht="34.5" customHeight="1">
      <c r="B11" s="882" t="s">
        <v>929</v>
      </c>
      <c r="C11" s="429"/>
      <c r="D11" s="29" t="s">
        <v>522</v>
      </c>
      <c r="E11" s="883">
        <v>84.211230000000043</v>
      </c>
      <c r="F11" s="883">
        <v>97.513247319300049</v>
      </c>
      <c r="G11" s="883"/>
      <c r="H11" s="883"/>
      <c r="I11" s="883"/>
      <c r="J11" s="114" t="s">
        <v>930</v>
      </c>
    </row>
    <row r="12" spans="1:20" s="339" customFormat="1">
      <c r="B12" s="429"/>
      <c r="C12" s="429"/>
      <c r="D12" s="429"/>
      <c r="E12" s="429"/>
      <c r="F12" s="429"/>
      <c r="G12" s="429"/>
      <c r="H12" s="429"/>
      <c r="I12" s="429"/>
      <c r="J12" s="429"/>
      <c r="K12" s="429"/>
      <c r="L12" s="429"/>
      <c r="M12" s="429"/>
      <c r="N12" s="429"/>
      <c r="O12" s="429"/>
      <c r="P12" s="429"/>
      <c r="Q12" s="429"/>
      <c r="R12" s="429"/>
      <c r="S12" s="429"/>
      <c r="T12" s="429"/>
    </row>
    <row r="13" spans="1:20" s="339" customFormat="1">
      <c r="B13" s="429"/>
      <c r="C13" s="429"/>
      <c r="D13" s="429"/>
      <c r="E13" s="429"/>
      <c r="F13" s="429"/>
      <c r="G13" s="429"/>
      <c r="H13" s="429"/>
      <c r="I13" s="429"/>
      <c r="J13" s="429"/>
      <c r="K13" s="429"/>
      <c r="L13" s="429"/>
      <c r="M13" s="429"/>
      <c r="N13" s="429"/>
      <c r="O13" s="429"/>
      <c r="P13" s="429"/>
      <c r="Q13" s="429"/>
      <c r="R13" s="429"/>
      <c r="S13" s="429"/>
      <c r="T13" s="429"/>
    </row>
    <row r="14" spans="1:20" s="339" customFormat="1">
      <c r="B14" s="884"/>
      <c r="C14" s="429"/>
      <c r="D14" s="29"/>
      <c r="E14" s="885"/>
      <c r="F14" s="885"/>
      <c r="G14" s="885"/>
      <c r="H14" s="885"/>
      <c r="I14" s="885"/>
      <c r="J14" s="114"/>
    </row>
    <row r="15" spans="1:20">
      <c r="B15" s="429" t="s">
        <v>931</v>
      </c>
      <c r="C15" s="429"/>
      <c r="D15" s="29"/>
      <c r="E15" s="29"/>
      <c r="F15" s="29"/>
      <c r="G15" s="29"/>
      <c r="H15" s="29"/>
      <c r="I15" s="29"/>
      <c r="M15" s="339"/>
      <c r="N15" s="339"/>
    </row>
    <row r="16" spans="1:20">
      <c r="B16" s="566" t="s">
        <v>932</v>
      </c>
      <c r="C16" s="566"/>
      <c r="D16" s="29" t="s">
        <v>522</v>
      </c>
      <c r="E16" s="883">
        <v>0</v>
      </c>
      <c r="F16" s="883">
        <v>0</v>
      </c>
      <c r="G16" s="883"/>
      <c r="H16" s="883"/>
      <c r="I16" s="883"/>
      <c r="M16" s="339"/>
      <c r="N16" s="339"/>
    </row>
    <row r="17" spans="2:38">
      <c r="B17" s="566" t="s">
        <v>933</v>
      </c>
      <c r="C17" s="566"/>
      <c r="D17" s="29" t="s">
        <v>522</v>
      </c>
      <c r="E17" s="883">
        <v>0.40749165860000003</v>
      </c>
      <c r="F17" s="883">
        <v>0.33959272660000001</v>
      </c>
      <c r="G17" s="883"/>
      <c r="H17" s="883"/>
      <c r="I17" s="883"/>
      <c r="M17" s="339"/>
      <c r="N17" s="339"/>
    </row>
    <row r="18" spans="2:38">
      <c r="B18" s="566" t="s">
        <v>934</v>
      </c>
      <c r="C18" s="566"/>
      <c r="D18" s="29" t="s">
        <v>522</v>
      </c>
      <c r="E18" s="883">
        <v>1.1500284299000001</v>
      </c>
      <c r="F18" s="883">
        <v>0.37121935709999998</v>
      </c>
      <c r="G18" s="883"/>
      <c r="H18" s="883"/>
      <c r="I18" s="883"/>
      <c r="M18" s="339"/>
      <c r="N18" s="339"/>
    </row>
    <row r="19" spans="2:38">
      <c r="B19" s="566" t="s">
        <v>935</v>
      </c>
      <c r="C19" s="566"/>
      <c r="D19" s="29" t="s">
        <v>522</v>
      </c>
      <c r="E19" s="883">
        <v>-2.2536064464000001</v>
      </c>
      <c r="F19" s="883">
        <v>-4.9504359310524677</v>
      </c>
      <c r="G19" s="883"/>
      <c r="H19" s="883"/>
      <c r="I19" s="883"/>
      <c r="M19" s="339"/>
      <c r="N19" s="339"/>
    </row>
    <row r="20" spans="2:38">
      <c r="B20" s="886" t="s">
        <v>936</v>
      </c>
      <c r="C20" s="886"/>
      <c r="D20" s="29" t="s">
        <v>522</v>
      </c>
      <c r="E20" s="554">
        <f>SUM(E16:E19)</f>
        <v>-0.69608635790000006</v>
      </c>
      <c r="F20" s="512">
        <f t="shared" ref="F20:I20" si="1">SUM(F16:F19)</f>
        <v>-4.2396238473524672</v>
      </c>
      <c r="G20" s="512">
        <f t="shared" si="1"/>
        <v>0</v>
      </c>
      <c r="H20" s="512">
        <f t="shared" si="1"/>
        <v>0</v>
      </c>
      <c r="I20" s="512">
        <f t="shared" si="1"/>
        <v>0</v>
      </c>
      <c r="M20" s="339"/>
      <c r="N20" s="339"/>
    </row>
    <row r="21" spans="2:38">
      <c r="B21" s="566"/>
      <c r="C21" s="566"/>
      <c r="D21" s="566"/>
      <c r="E21" s="887"/>
      <c r="F21" s="887"/>
      <c r="G21" s="887"/>
      <c r="H21" s="887"/>
      <c r="I21" s="887"/>
    </row>
    <row r="22" spans="2:38">
      <c r="B22" s="429" t="s">
        <v>937</v>
      </c>
      <c r="C22" s="429"/>
      <c r="D22" s="29"/>
      <c r="E22" s="29"/>
      <c r="F22" s="248"/>
      <c r="G22" s="248"/>
      <c r="H22" s="248"/>
      <c r="I22" s="248"/>
      <c r="K22" s="566"/>
      <c r="L22" s="566"/>
      <c r="M22" s="566"/>
      <c r="N22" s="566"/>
      <c r="O22" s="566"/>
      <c r="P22" s="566"/>
      <c r="Q22" s="566"/>
      <c r="R22" s="566"/>
      <c r="S22" s="566"/>
      <c r="T22" s="566"/>
      <c r="U22" s="566"/>
      <c r="V22" s="566"/>
      <c r="W22" s="566"/>
      <c r="X22" s="566"/>
      <c r="Y22" s="566"/>
      <c r="Z22" s="566"/>
      <c r="AA22" s="566"/>
      <c r="AB22" s="566"/>
      <c r="AC22" s="566"/>
      <c r="AD22" s="566"/>
      <c r="AE22" s="566"/>
      <c r="AF22" s="566"/>
      <c r="AG22" s="566"/>
      <c r="AH22" s="566"/>
      <c r="AI22" s="566"/>
      <c r="AJ22" s="566"/>
      <c r="AK22" s="566"/>
      <c r="AL22" s="566"/>
    </row>
    <row r="23" spans="2:38">
      <c r="B23" s="566" t="s">
        <v>938</v>
      </c>
      <c r="C23" s="888"/>
      <c r="D23" s="29" t="s">
        <v>522</v>
      </c>
      <c r="E23" s="893">
        <f>IF(E5="Actuals",('R4 - Incentives and Other Rev'!D71+'R4 - Incentives and Other Rev'!D45+'R4 - Incentives and Other Rev'!D52+'R4 - Incentives and Other Rev'!D59)/(1-INDEX(Corporate_Tax,MATCH(E$6,Data!$C$18:$N$18,0)))*INDEX(Corporate_Tax,MATCH(E$6,Data!$C$18:$N$18,0)),0)*E50</f>
        <v>0.11901756529475452</v>
      </c>
      <c r="F23" s="893">
        <f>IF(F5="Actuals",('R4 - Incentives and Other Rev'!E71+'R4 - Incentives and Other Rev'!E45+'R4 - Incentives and Other Rev'!E52+'R4 - Incentives and Other Rev'!E59)/(1-INDEX(Corporate_Tax,MATCH(F$6,Data!$C$18:$N$18,0)))*INDEX(Corporate_Tax,MATCH(F$6,Data!$C$18:$N$18,0)),0)*F50</f>
        <v>0.17899239084695431</v>
      </c>
      <c r="G23" s="893">
        <f>IF(G5="Actuals",('R4 - Incentives and Other Rev'!F71+'R4 - Incentives and Other Rev'!F45+'R4 - Incentives and Other Rev'!F52+'R4 - Incentives and Other Rev'!F59)/(1-INDEX(Corporate_Tax,MATCH(G$6,Data!$C$18:$N$18,0)))*INDEX(Corporate_Tax,MATCH(G$6,Data!$C$18:$N$18,0)),0)*G50</f>
        <v>0</v>
      </c>
      <c r="H23" s="893">
        <f>IF(H5="Actuals",('R4 - Incentives and Other Rev'!G71+'R4 - Incentives and Other Rev'!G45+'R4 - Incentives and Other Rev'!G52+'R4 - Incentives and Other Rev'!G59)/(1-INDEX(Corporate_Tax,MATCH(H$6,Data!$C$18:$N$18,0)))*INDEX(Corporate_Tax,MATCH(H$6,Data!$C$18:$N$18,0)),0)*H50</f>
        <v>0</v>
      </c>
      <c r="I23" s="893">
        <f>IF(I5="Actuals",('R4 - Incentives and Other Rev'!H71+'R4 - Incentives and Other Rev'!H45+'R4 - Incentives and Other Rev'!H52+'R4 - Incentives and Other Rev'!H59)/(1-INDEX(Corporate_Tax,MATCH(I$6,Data!$C$18:$N$18,0)))*INDEX(Corporate_Tax,MATCH(I$6,Data!$C$18:$N$18,0)),0)*I50</f>
        <v>0</v>
      </c>
      <c r="L23" s="566"/>
      <c r="M23" s="566"/>
      <c r="N23" s="566"/>
      <c r="O23" s="566"/>
      <c r="P23" s="566"/>
      <c r="Q23" s="566"/>
      <c r="R23" s="566"/>
      <c r="S23" s="566"/>
      <c r="T23" s="566"/>
      <c r="U23" s="566"/>
      <c r="V23" s="566"/>
      <c r="W23" s="566"/>
      <c r="X23" s="566"/>
      <c r="Y23" s="566"/>
      <c r="Z23" s="566"/>
      <c r="AA23" s="566"/>
      <c r="AB23" s="566"/>
      <c r="AC23" s="566"/>
      <c r="AD23" s="566"/>
      <c r="AE23" s="566"/>
      <c r="AF23" s="566"/>
      <c r="AG23" s="566"/>
      <c r="AH23" s="566"/>
      <c r="AI23" s="566"/>
      <c r="AJ23" s="566"/>
      <c r="AK23" s="566"/>
      <c r="AL23" s="566"/>
    </row>
    <row r="24" spans="2:38">
      <c r="B24" s="566" t="s">
        <v>939</v>
      </c>
      <c r="C24" s="566"/>
      <c r="D24" s="29" t="s">
        <v>522</v>
      </c>
      <c r="E24" s="883">
        <v>-13.98835869188748</v>
      </c>
      <c r="F24" s="883">
        <v>30.260487809713009</v>
      </c>
      <c r="G24" s="883"/>
      <c r="H24" s="883"/>
      <c r="I24" s="883"/>
      <c r="K24" s="566"/>
      <c r="L24" s="566"/>
      <c r="M24" s="566"/>
      <c r="N24" s="566"/>
      <c r="O24" s="566"/>
      <c r="P24" s="566"/>
      <c r="Q24" s="566"/>
      <c r="R24" s="566"/>
      <c r="S24" s="566"/>
      <c r="T24" s="566"/>
      <c r="U24" s="566"/>
      <c r="V24" s="566"/>
      <c r="W24" s="566"/>
      <c r="X24" s="566"/>
      <c r="Y24" s="566"/>
      <c r="Z24" s="566"/>
      <c r="AA24" s="566"/>
      <c r="AB24" s="566"/>
      <c r="AC24" s="566"/>
      <c r="AD24" s="566"/>
      <c r="AE24" s="566"/>
      <c r="AF24" s="566"/>
      <c r="AG24" s="566"/>
      <c r="AH24" s="566"/>
      <c r="AI24" s="566"/>
      <c r="AJ24" s="566"/>
      <c r="AK24" s="566"/>
      <c r="AL24" s="566"/>
    </row>
    <row r="25" spans="2:38">
      <c r="B25" s="566" t="s">
        <v>940</v>
      </c>
      <c r="C25" s="566"/>
      <c r="D25" s="29" t="s">
        <v>522</v>
      </c>
      <c r="E25" s="883">
        <v>-0.30282613561214577</v>
      </c>
      <c r="F25" s="883">
        <v>-4.4298408455550637</v>
      </c>
      <c r="G25" s="883"/>
      <c r="H25" s="883"/>
      <c r="I25" s="883"/>
    </row>
    <row r="26" spans="2:38">
      <c r="B26" s="566" t="s">
        <v>941</v>
      </c>
      <c r="C26" s="566"/>
      <c r="D26" s="29" t="s">
        <v>522</v>
      </c>
      <c r="E26" s="883">
        <v>0</v>
      </c>
      <c r="F26" s="883">
        <v>0</v>
      </c>
      <c r="G26" s="883"/>
      <c r="H26" s="883"/>
      <c r="I26" s="883"/>
    </row>
    <row r="27" spans="2:38">
      <c r="B27" s="566" t="s">
        <v>942</v>
      </c>
      <c r="C27" s="566"/>
      <c r="D27" s="29" t="s">
        <v>522</v>
      </c>
      <c r="E27" s="883">
        <v>0</v>
      </c>
      <c r="F27" s="883">
        <v>0</v>
      </c>
      <c r="G27" s="883"/>
      <c r="H27" s="883"/>
      <c r="I27" s="883"/>
    </row>
    <row r="28" spans="2:38">
      <c r="B28" s="566" t="s">
        <v>1151</v>
      </c>
      <c r="C28" s="566"/>
      <c r="D28" s="29" t="s">
        <v>522</v>
      </c>
      <c r="E28" s="883">
        <v>66.935534256422812</v>
      </c>
      <c r="F28" s="883">
        <v>46.275365522434164</v>
      </c>
      <c r="G28" s="883"/>
      <c r="H28" s="883"/>
      <c r="I28" s="883"/>
    </row>
    <row r="29" spans="2:38">
      <c r="B29" s="566" t="s">
        <v>1156</v>
      </c>
      <c r="C29" s="566"/>
      <c r="D29" s="29" t="s">
        <v>522</v>
      </c>
      <c r="E29" s="883"/>
      <c r="F29" s="883">
        <v>-3.4936121255119881</v>
      </c>
      <c r="G29" s="883"/>
      <c r="H29" s="883"/>
      <c r="I29" s="883"/>
    </row>
    <row r="30" spans="2:38">
      <c r="B30" s="566" t="s">
        <v>1152</v>
      </c>
      <c r="C30" s="566"/>
      <c r="D30" s="29" t="s">
        <v>522</v>
      </c>
      <c r="E30" s="883">
        <v>1.2943924173000019</v>
      </c>
      <c r="F30" s="883">
        <v>1.1986431788999998</v>
      </c>
      <c r="G30" s="883"/>
      <c r="H30" s="883"/>
      <c r="I30" s="883"/>
    </row>
    <row r="31" spans="2:38">
      <c r="B31" s="566" t="s">
        <v>1153</v>
      </c>
      <c r="C31" s="566"/>
      <c r="D31" s="29" t="s">
        <v>522</v>
      </c>
      <c r="E31" s="883">
        <v>7.1761050303860507</v>
      </c>
      <c r="F31" s="883">
        <v>15.991183326479037</v>
      </c>
      <c r="G31" s="883"/>
      <c r="H31" s="883"/>
      <c r="I31" s="883"/>
    </row>
    <row r="32" spans="2:38">
      <c r="B32" s="566" t="s">
        <v>1154</v>
      </c>
      <c r="C32" s="566"/>
      <c r="D32" s="29" t="s">
        <v>522</v>
      </c>
      <c r="E32" s="883">
        <v>1.2161363002427377</v>
      </c>
      <c r="F32" s="883">
        <v>0.27816376580000002</v>
      </c>
      <c r="G32" s="883"/>
      <c r="H32" s="883"/>
      <c r="I32" s="883"/>
    </row>
    <row r="33" spans="2:9">
      <c r="B33" s="566" t="s">
        <v>1155</v>
      </c>
      <c r="C33" s="566"/>
      <c r="D33" s="29" t="s">
        <v>522</v>
      </c>
      <c r="E33" s="883">
        <v>1.2256006234275671</v>
      </c>
      <c r="F33" s="883">
        <v>0.61801856700000002</v>
      </c>
      <c r="G33" s="883"/>
      <c r="H33" s="883"/>
      <c r="I33" s="883"/>
    </row>
    <row r="34" spans="2:9" hidden="1">
      <c r="B34" s="566"/>
      <c r="C34" s="566"/>
      <c r="D34" s="29"/>
      <c r="E34" s="883"/>
      <c r="F34" s="883"/>
      <c r="G34" s="883"/>
      <c r="H34" s="883"/>
      <c r="I34" s="883"/>
    </row>
    <row r="35" spans="2:9" hidden="1">
      <c r="B35" s="566"/>
      <c r="C35" s="566"/>
      <c r="D35" s="29"/>
      <c r="E35" s="883"/>
      <c r="F35" s="883"/>
      <c r="G35" s="883"/>
      <c r="H35" s="883"/>
      <c r="I35" s="883"/>
    </row>
    <row r="36" spans="2:9" hidden="1">
      <c r="B36" s="566"/>
      <c r="C36" s="566"/>
      <c r="D36" s="29"/>
      <c r="E36" s="883"/>
      <c r="F36" s="883"/>
      <c r="G36" s="883"/>
      <c r="H36" s="883"/>
      <c r="I36" s="883"/>
    </row>
    <row r="37" spans="2:9" hidden="1">
      <c r="B37" s="566"/>
      <c r="C37" s="566"/>
      <c r="D37" s="29"/>
      <c r="E37" s="883"/>
      <c r="F37" s="883"/>
      <c r="G37" s="883"/>
      <c r="H37" s="883"/>
      <c r="I37" s="883"/>
    </row>
    <row r="38" spans="2:9" hidden="1">
      <c r="B38" s="566"/>
      <c r="C38" s="566"/>
      <c r="D38" s="29"/>
      <c r="E38" s="883"/>
      <c r="F38" s="883"/>
      <c r="G38" s="883"/>
      <c r="H38" s="883"/>
      <c r="I38" s="883"/>
    </row>
    <row r="39" spans="2:9" hidden="1">
      <c r="B39" s="566"/>
      <c r="C39" s="566"/>
      <c r="D39" s="29"/>
      <c r="E39" s="883"/>
      <c r="F39" s="883"/>
      <c r="G39" s="883"/>
      <c r="H39" s="883"/>
      <c r="I39" s="883"/>
    </row>
    <row r="40" spans="2:9" hidden="1">
      <c r="B40" s="566"/>
      <c r="C40" s="566"/>
      <c r="D40" s="29"/>
      <c r="E40" s="883"/>
      <c r="F40" s="883"/>
      <c r="G40" s="883"/>
      <c r="H40" s="883"/>
      <c r="I40" s="883"/>
    </row>
    <row r="41" spans="2:9" hidden="1">
      <c r="B41" s="566"/>
      <c r="C41" s="566"/>
      <c r="D41" s="29"/>
      <c r="E41" s="883"/>
      <c r="F41" s="883"/>
      <c r="G41" s="883"/>
      <c r="H41" s="883"/>
      <c r="I41" s="883"/>
    </row>
    <row r="42" spans="2:9" hidden="1">
      <c r="B42" s="566"/>
      <c r="C42" s="566"/>
      <c r="D42" s="29"/>
      <c r="E42" s="883"/>
      <c r="F42" s="883"/>
      <c r="G42" s="883"/>
      <c r="H42" s="883"/>
      <c r="I42" s="883"/>
    </row>
    <row r="43" spans="2:9" hidden="1">
      <c r="B43" s="566"/>
      <c r="C43" s="566"/>
      <c r="D43" s="29"/>
      <c r="E43" s="883"/>
      <c r="F43" s="883"/>
      <c r="G43" s="883"/>
      <c r="H43" s="883"/>
      <c r="I43" s="883"/>
    </row>
    <row r="44" spans="2:9" hidden="1">
      <c r="B44" s="566" t="s">
        <v>943</v>
      </c>
      <c r="C44" s="566"/>
      <c r="D44" s="29" t="s">
        <v>522</v>
      </c>
      <c r="E44" s="883"/>
      <c r="F44" s="883"/>
      <c r="G44" s="883"/>
      <c r="H44" s="883"/>
      <c r="I44" s="883"/>
    </row>
    <row r="45" spans="2:9">
      <c r="B45" s="429" t="s">
        <v>554</v>
      </c>
      <c r="C45" s="429"/>
      <c r="D45" s="29" t="s">
        <v>522</v>
      </c>
      <c r="E45" s="893">
        <f>SUM(E23:E44)</f>
        <v>63.675601365574295</v>
      </c>
      <c r="F45" s="894">
        <f>SUM(F23:F44)</f>
        <v>86.877401590106103</v>
      </c>
      <c r="G45" s="894">
        <f>SUM(G23:G44)</f>
        <v>0</v>
      </c>
      <c r="H45" s="894">
        <f>SUM(H23:H44)</f>
        <v>0</v>
      </c>
      <c r="I45" s="894">
        <f>SUM(I23:I44)</f>
        <v>0</v>
      </c>
    </row>
    <row r="47" spans="2:9" ht="25.5" customHeight="1">
      <c r="B47" s="781" t="s">
        <v>944</v>
      </c>
      <c r="D47" s="29" t="s">
        <v>522</v>
      </c>
      <c r="E47" s="883">
        <v>0</v>
      </c>
      <c r="F47" s="883">
        <v>0</v>
      </c>
      <c r="G47" s="883">
        <v>39.098824135912182</v>
      </c>
      <c r="H47" s="883">
        <v>27.359187685165868</v>
      </c>
      <c r="I47" s="883">
        <v>41.557872527861555</v>
      </c>
    </row>
    <row r="48" spans="2:9" ht="12.75" customHeight="1">
      <c r="B48" s="781" t="s">
        <v>945</v>
      </c>
      <c r="C48" s="781"/>
      <c r="D48" s="29" t="s">
        <v>522</v>
      </c>
      <c r="E48" s="893">
        <f>IF(ISNUMBER(E11),E11-E20-E45,E47-E20-E45)</f>
        <v>21.231714992325749</v>
      </c>
      <c r="F48" s="893">
        <f>IF(ISNUMBER(F11),F11-F20-F45,F47-F20-F45)</f>
        <v>14.875469576546408</v>
      </c>
      <c r="G48" s="893">
        <f>IF(ISNUMBER(G11),G11-G20-G45,G47-G20-G45)</f>
        <v>39.098824135912182</v>
      </c>
      <c r="H48" s="893">
        <f>IF(ISNUMBER(H11),H11-H20-H45,H47-H20-H45)</f>
        <v>27.359187685165868</v>
      </c>
      <c r="I48" s="893">
        <f>IF(ISNUMBER(I11),I11-I20-I45,I47-I20-I45)</f>
        <v>41.557872527861555</v>
      </c>
    </row>
    <row r="49" spans="2:11" ht="12.75" customHeight="1">
      <c r="B49" s="567"/>
      <c r="C49" s="567"/>
      <c r="D49" s="29"/>
      <c r="E49" s="885"/>
      <c r="F49" s="885"/>
      <c r="G49" s="885"/>
      <c r="H49" s="885"/>
      <c r="I49" s="885"/>
    </row>
    <row r="50" spans="2:11">
      <c r="B50" s="114" t="s">
        <v>680</v>
      </c>
      <c r="D50" s="136" t="s">
        <v>681</v>
      </c>
      <c r="E50" s="895">
        <f t="shared" ref="E50:I50" si="2">INDEX(real_to_nominal_CF,MATCH(E$6,calendar_year,0))</f>
        <v>1.0847835302284383</v>
      </c>
      <c r="F50" s="895">
        <f t="shared" si="2"/>
        <v>1.1799638149272795</v>
      </c>
      <c r="G50" s="895">
        <f t="shared" si="2"/>
        <v>1.2454152449594804</v>
      </c>
      <c r="H50" s="895">
        <f t="shared" si="2"/>
        <v>1.2741504065955518</v>
      </c>
      <c r="I50" s="895">
        <f t="shared" si="2"/>
        <v>1.2937411435491952</v>
      </c>
    </row>
    <row r="51" spans="2:11">
      <c r="B51" s="567"/>
      <c r="C51" s="567"/>
      <c r="D51" s="29"/>
      <c r="E51" s="29"/>
      <c r="F51" s="29"/>
      <c r="G51" s="29"/>
      <c r="H51" s="29"/>
      <c r="I51" s="29"/>
    </row>
    <row r="52" spans="2:11">
      <c r="B52" s="781" t="s">
        <v>946</v>
      </c>
      <c r="C52" s="781"/>
      <c r="D52" s="841" t="str">
        <f>Data!$C$9</f>
        <v>£m 18/19</v>
      </c>
      <c r="E52" s="893">
        <f>Adjusted_regulated_tax_liability/E50</f>
        <v>19.572305810961829</v>
      </c>
      <c r="F52" s="893">
        <f>Adjusted_regulated_tax_liability/F50</f>
        <v>12.606716738566407</v>
      </c>
      <c r="G52" s="893">
        <f>Adjusted_regulated_tax_liability/G50</f>
        <v>31.394207108155531</v>
      </c>
      <c r="H52" s="893">
        <f>Adjusted_regulated_tax_liability/H50</f>
        <v>21.472494568571275</v>
      </c>
      <c r="I52" s="893">
        <f>Adjusted_regulated_tax_liability/I50</f>
        <v>32.122246969632137</v>
      </c>
    </row>
    <row r="53" spans="2:11">
      <c r="B53" s="781"/>
      <c r="C53" s="781"/>
      <c r="D53" s="781"/>
      <c r="E53" s="781"/>
      <c r="F53" s="781"/>
      <c r="G53" s="781"/>
      <c r="H53" s="781"/>
      <c r="I53" s="781"/>
    </row>
    <row r="54" spans="2:11">
      <c r="B54" s="580" t="s">
        <v>947</v>
      </c>
      <c r="C54" s="580"/>
      <c r="D54" s="841"/>
      <c r="E54" s="841"/>
      <c r="F54" s="841"/>
      <c r="G54" s="841"/>
      <c r="H54" s="841"/>
      <c r="I54" s="841"/>
    </row>
    <row r="55" spans="2:11">
      <c r="B55" s="581" t="s">
        <v>686</v>
      </c>
      <c r="C55" s="581"/>
      <c r="D55" s="781"/>
      <c r="E55" s="781"/>
      <c r="F55" s="781"/>
      <c r="G55" s="781"/>
      <c r="H55" s="781"/>
      <c r="I55" s="781"/>
      <c r="K55" s="781"/>
    </row>
    <row r="56" spans="2:11">
      <c r="K56" s="781"/>
    </row>
    <row r="57" spans="2:11" ht="12.75" customHeight="1">
      <c r="B57" s="88" t="s">
        <v>24</v>
      </c>
      <c r="C57" s="88"/>
      <c r="D57" s="468" t="s">
        <v>486</v>
      </c>
      <c r="E57" s="104">
        <f>Data!$C$8</f>
        <v>0.6</v>
      </c>
      <c r="F57" s="105">
        <f>Data!$C$8</f>
        <v>0.6</v>
      </c>
      <c r="G57" s="105">
        <f>Data!$C$8</f>
        <v>0.6</v>
      </c>
      <c r="H57" s="105">
        <f>Data!$C$8</f>
        <v>0.6</v>
      </c>
      <c r="I57" s="105">
        <f>Data!$C$8</f>
        <v>0.6</v>
      </c>
      <c r="K57" s="781"/>
    </row>
    <row r="58" spans="2:11" ht="12.75" customHeight="1">
      <c r="B58" s="88" t="s">
        <v>687</v>
      </c>
      <c r="C58" s="88"/>
      <c r="D58" s="468" t="s">
        <v>486</v>
      </c>
      <c r="E58" s="105">
        <f>'R6 - Net Debt'!D68</f>
        <v>0.62284962105919184</v>
      </c>
      <c r="F58" s="105">
        <f>'R6 - Net Debt'!E68</f>
        <v>0.59585930811636778</v>
      </c>
      <c r="G58" s="105">
        <f>'R6 - Net Debt'!F68</f>
        <v>0.58824991530927273</v>
      </c>
      <c r="H58" s="105">
        <f>'R6 - Net Debt'!G68</f>
        <v>0.60169996476620058</v>
      </c>
      <c r="I58" s="105">
        <f>'R6 - Net Debt'!H68</f>
        <v>0.61599213116179274</v>
      </c>
      <c r="K58" s="781"/>
    </row>
    <row r="59" spans="2:11" ht="12.75" customHeight="1">
      <c r="B59" s="88"/>
      <c r="C59" s="88"/>
      <c r="D59" s="468"/>
      <c r="E59" s="468"/>
      <c r="F59" s="468"/>
      <c r="G59" s="468"/>
      <c r="H59" s="468"/>
      <c r="I59" s="468"/>
      <c r="K59" s="781"/>
    </row>
    <row r="60" spans="2:11" ht="12.75" customHeight="1">
      <c r="B60" s="781" t="s">
        <v>946</v>
      </c>
      <c r="C60" s="781"/>
      <c r="D60" s="29" t="s">
        <v>522</v>
      </c>
      <c r="E60" s="893">
        <f>E48</f>
        <v>21.231714992325749</v>
      </c>
      <c r="F60" s="893">
        <f>F48</f>
        <v>14.875469576546408</v>
      </c>
      <c r="G60" s="893">
        <f>G48</f>
        <v>39.098824135912182</v>
      </c>
      <c r="H60" s="893">
        <f>H48</f>
        <v>27.359187685165868</v>
      </c>
      <c r="I60" s="893">
        <f>I48</f>
        <v>41.557872527861555</v>
      </c>
      <c r="K60" s="781"/>
    </row>
    <row r="61" spans="2:11">
      <c r="B61" s="88" t="s">
        <v>948</v>
      </c>
      <c r="C61" s="88"/>
      <c r="D61" s="29" t="s">
        <v>522</v>
      </c>
      <c r="E61" s="893">
        <f>E78-E80</f>
        <v>-9.3219115113630124E-2</v>
      </c>
      <c r="F61" s="893">
        <f>F78-F80</f>
        <v>7.2105700735466627E-2</v>
      </c>
      <c r="G61" s="893">
        <f>G78-G80</f>
        <v>0.18792019689177053</v>
      </c>
      <c r="H61" s="893">
        <f>H78-H80</f>
        <v>1.0085553047017193E-2</v>
      </c>
      <c r="I61" s="893">
        <f>I78-I80</f>
        <v>0.20577581394247169</v>
      </c>
      <c r="K61" s="781"/>
    </row>
    <row r="62" spans="2:11">
      <c r="B62" s="88" t="s">
        <v>949</v>
      </c>
      <c r="C62" s="88"/>
      <c r="D62" s="29" t="s">
        <v>522</v>
      </c>
      <c r="E62" s="893">
        <f>SUM(E60:E61)</f>
        <v>21.138495877212119</v>
      </c>
      <c r="F62" s="893">
        <f>SUM(F60:F61)</f>
        <v>14.947575277281874</v>
      </c>
      <c r="G62" s="893">
        <f>SUM(G60:G61)</f>
        <v>39.286744332803949</v>
      </c>
      <c r="H62" s="893">
        <f>SUM(H60:H61)</f>
        <v>27.369273238212884</v>
      </c>
      <c r="I62" s="893">
        <f>SUM(I60:I61)</f>
        <v>41.763648341804029</v>
      </c>
    </row>
    <row r="64" spans="2:11">
      <c r="B64" s="88" t="s">
        <v>949</v>
      </c>
      <c r="C64" s="88"/>
      <c r="D64" s="841" t="str">
        <f>Data!$C$9</f>
        <v>£m 18/19</v>
      </c>
      <c r="E64" s="893">
        <f>E62/E50</f>
        <v>19.486372431152862</v>
      </c>
      <c r="F64" s="893">
        <f>F62/F50</f>
        <v>12.667825138521799</v>
      </c>
      <c r="G64" s="893">
        <f>G62/G50</f>
        <v>31.545096699119132</v>
      </c>
      <c r="H64" s="893">
        <f>H62/H50</f>
        <v>21.480410080739077</v>
      </c>
      <c r="I64" s="893">
        <f>I62/I50</f>
        <v>32.281301827683542</v>
      </c>
    </row>
    <row r="66" spans="2:11">
      <c r="B66" s="889" t="s">
        <v>950</v>
      </c>
      <c r="C66" s="889"/>
      <c r="D66" s="890"/>
      <c r="E66" s="890"/>
      <c r="F66" s="890"/>
      <c r="G66" s="890"/>
      <c r="H66" s="890"/>
      <c r="I66" s="890"/>
      <c r="K66" s="781"/>
    </row>
    <row r="67" spans="2:11" ht="12.65" customHeight="1">
      <c r="D67" s="841"/>
      <c r="E67" s="891"/>
      <c r="F67" s="891"/>
      <c r="G67" s="891"/>
      <c r="H67" s="891"/>
      <c r="I67" s="891"/>
    </row>
    <row r="68" spans="2:11">
      <c r="B68" s="114" t="s">
        <v>951</v>
      </c>
      <c r="D68" s="841" t="str">
        <f>Data!$C$9</f>
        <v>£m 18/19</v>
      </c>
      <c r="E68" s="850">
        <v>21.180538003200841</v>
      </c>
      <c r="F68" s="850">
        <v>14.989620603850119</v>
      </c>
      <c r="G68" s="850">
        <v>30.251046741106155</v>
      </c>
      <c r="H68" s="850">
        <v>34.086424188447431</v>
      </c>
      <c r="I68" s="850">
        <v>34.810452138328444</v>
      </c>
    </row>
    <row r="69" spans="2:11">
      <c r="D69" s="841"/>
      <c r="E69" s="841"/>
      <c r="F69" s="841"/>
      <c r="G69" s="841"/>
      <c r="H69" s="841"/>
      <c r="I69" s="841"/>
    </row>
    <row r="70" spans="2:11">
      <c r="B70" s="590" t="s">
        <v>695</v>
      </c>
      <c r="C70" s="590"/>
      <c r="D70" s="590"/>
      <c r="E70" s="590"/>
      <c r="F70" s="590"/>
      <c r="G70" s="590"/>
      <c r="H70" s="590"/>
      <c r="I70" s="590"/>
    </row>
    <row r="72" spans="2:11">
      <c r="B72" s="429" t="s">
        <v>952</v>
      </c>
      <c r="C72" s="429"/>
      <c r="D72" s="892" t="str">
        <f>Data!$C$9</f>
        <v>£m 18/19</v>
      </c>
      <c r="E72" s="511">
        <f>E$68-E52</f>
        <v>1.6082321922390115</v>
      </c>
      <c r="F72" s="511">
        <f>F$68-F52</f>
        <v>2.382903865283712</v>
      </c>
      <c r="G72" s="511">
        <f>G$68-G52</f>
        <v>-1.1431603670493757</v>
      </c>
      <c r="H72" s="511">
        <f>H$68-H52</f>
        <v>12.613929619876156</v>
      </c>
      <c r="I72" s="511">
        <f>I$68-I52</f>
        <v>2.6882051686963067</v>
      </c>
    </row>
    <row r="73" spans="2:11">
      <c r="B73" s="429"/>
      <c r="C73" s="429"/>
      <c r="D73" s="429"/>
      <c r="E73" s="429"/>
      <c r="F73" s="429"/>
      <c r="G73" s="429"/>
      <c r="H73" s="429"/>
      <c r="I73" s="429"/>
    </row>
    <row r="74" spans="2:11">
      <c r="B74" s="429" t="s">
        <v>953</v>
      </c>
      <c r="C74" s="429"/>
      <c r="D74" s="892" t="str">
        <f>Data!$C$9</f>
        <v>£m 18/19</v>
      </c>
      <c r="E74" s="511">
        <f>E$68-E64</f>
        <v>1.6941655720479787</v>
      </c>
      <c r="F74" s="511">
        <f>F$68-F64</f>
        <v>2.3217954653283197</v>
      </c>
      <c r="G74" s="511">
        <f>G$68-G64</f>
        <v>-1.2940499580129767</v>
      </c>
      <c r="H74" s="511">
        <f>H$68-H64</f>
        <v>12.606014107708354</v>
      </c>
      <c r="I74" s="511">
        <f>I$68-I64</f>
        <v>2.5291503106449014</v>
      </c>
    </row>
    <row r="76" spans="2:11">
      <c r="B76" s="429" t="s">
        <v>954</v>
      </c>
      <c r="C76" s="429"/>
      <c r="D76" s="892" t="str">
        <f>Data!$C$9</f>
        <v>£m 18/19</v>
      </c>
      <c r="E76" s="511">
        <f>E72-E74</f>
        <v>-8.5933379808967203E-2</v>
      </c>
      <c r="F76" s="553">
        <f>F72-F74</f>
        <v>6.1108399955392301E-2</v>
      </c>
      <c r="G76" s="553">
        <f>G72-G74</f>
        <v>0.15088959096360099</v>
      </c>
      <c r="H76" s="553">
        <f>H72-H74</f>
        <v>7.9155121678020635E-3</v>
      </c>
      <c r="I76" s="553">
        <f>I72-I74</f>
        <v>0.15905485805140529</v>
      </c>
    </row>
    <row r="78" spans="2:11">
      <c r="B78" s="114" t="s">
        <v>955</v>
      </c>
      <c r="D78" s="29" t="s">
        <v>522</v>
      </c>
      <c r="E78" s="896">
        <f>-('R5 - Financing'!D83*INDEX(Corporate_Tax,MATCH(E$6,Data!$C$18:$N$18,0))*'R8 - Tax'!E$50)</f>
        <v>-8.3473456635607057</v>
      </c>
      <c r="F78" s="896">
        <f>-('R5 - Financing'!E83*INDEX(Corporate_Tax,MATCH(F$6,Data!$C$18:$N$18,0))*'R8 - Tax'!F$50)</f>
        <v>-16.313231359386634</v>
      </c>
      <c r="G78" s="896">
        <f>-('R5 - Financing'!F83*INDEX(Corporate_Tax,MATCH(G$6,Data!$C$18:$N$18,0))*'R8 - Tax'!G$50)</f>
        <v>-17.785851820604275</v>
      </c>
      <c r="H78" s="896">
        <f>-('R5 - Financing'!G83*INDEX(Corporate_Tax,MATCH(H$6,Data!$C$18:$N$18,0))*'R8 - Tax'!H$50)</f>
        <v>-5.8974057901365242</v>
      </c>
      <c r="I78" s="896">
        <f>-('R5 - Financing'!H83*INDEX(Corporate_Tax,MATCH(I$6,Data!$C$18:$N$18,0))*'R8 - Tax'!I$50)</f>
        <v>-2.5678674813987978</v>
      </c>
      <c r="J78" s="114" t="s">
        <v>956</v>
      </c>
    </row>
    <row r="79" spans="2:11">
      <c r="B79" s="114" t="s">
        <v>955</v>
      </c>
      <c r="D79" s="841" t="str">
        <f>Data!$C$9</f>
        <v>£m 18/19</v>
      </c>
      <c r="E79" s="893">
        <f>E78/E$50</f>
        <v>-7.6949413693650808</v>
      </c>
      <c r="F79" s="893">
        <f>F78/F$50</f>
        <v>-13.825196292474452</v>
      </c>
      <c r="G79" s="893">
        <f>G78/G$50</f>
        <v>-14.281061591776917</v>
      </c>
      <c r="H79" s="893">
        <f>H78/H$50</f>
        <v>-4.628500496965672</v>
      </c>
      <c r="I79" s="893">
        <f>I78/I$50</f>
        <v>-1.9848386937391647</v>
      </c>
    </row>
    <row r="80" spans="2:11">
      <c r="B80" s="114" t="s">
        <v>957</v>
      </c>
      <c r="D80" s="29" t="s">
        <v>522</v>
      </c>
      <c r="E80" s="896">
        <f>-('R5 - Financing'!D85*INDEX(Corporate_Tax,MATCH(E$6,Data!$C$18:$N$18,0))*'R8 - Tax'!E$50)</f>
        <v>-8.2541265484470756</v>
      </c>
      <c r="F80" s="896">
        <f>-('R5 - Financing'!E85*INDEX(Corporate_Tax,MATCH(F$6,Data!$C$18:$N$18,0))*'R8 - Tax'!F$50)</f>
        <v>-16.385337060122101</v>
      </c>
      <c r="G80" s="896">
        <f>-('R5 - Financing'!F85*INDEX(Corporate_Tax,MATCH(G$6,Data!$C$18:$N$18,0))*'R8 - Tax'!G$50)</f>
        <v>-17.973772017496046</v>
      </c>
      <c r="H80" s="896">
        <f>-('R5 - Financing'!G85*INDEX(Corporate_Tax,MATCH(H$6,Data!$C$18:$N$18,0))*'R8 - Tax'!H$50)</f>
        <v>-5.9074913431835414</v>
      </c>
      <c r="I80" s="896">
        <f>-('R5 - Financing'!H85*INDEX(Corporate_Tax,MATCH(I$6,Data!$C$18:$N$18,0))*'R8 - Tax'!I$50)</f>
        <v>-2.7736432953412695</v>
      </c>
      <c r="J80" s="114" t="s">
        <v>956</v>
      </c>
    </row>
    <row r="81" spans="2:9">
      <c r="B81" s="114" t="s">
        <v>957</v>
      </c>
      <c r="D81" s="841" t="str">
        <f>Data!$C$9</f>
        <v>£m 18/19</v>
      </c>
      <c r="E81" s="893">
        <f>E80/E$50</f>
        <v>-7.6090079895561162</v>
      </c>
      <c r="F81" s="893">
        <f>F80/F$50</f>
        <v>-13.886304692429844</v>
      </c>
      <c r="G81" s="893">
        <f>G80/G$50</f>
        <v>-14.431951182740518</v>
      </c>
      <c r="H81" s="893">
        <f>H80/H$50</f>
        <v>-4.6364160091334741</v>
      </c>
      <c r="I81" s="893">
        <f>I80/I$50</f>
        <v>-2.1438935517905637</v>
      </c>
    </row>
    <row r="82" spans="2:9">
      <c r="B82" s="114" t="s">
        <v>958</v>
      </c>
      <c r="D82" s="841" t="str">
        <f>Data!$C$9</f>
        <v>£m 18/19</v>
      </c>
      <c r="E82" s="893">
        <f>E79-E81</f>
        <v>-8.5933379808964538E-2</v>
      </c>
      <c r="F82" s="893">
        <f>F79-F81</f>
        <v>6.1108399955392301E-2</v>
      </c>
      <c r="G82" s="893">
        <f>G79-G81</f>
        <v>0.15088959096360099</v>
      </c>
      <c r="H82" s="893">
        <f>H79-H81</f>
        <v>7.9155121678020635E-3</v>
      </c>
      <c r="I82" s="893">
        <f>I79-I81</f>
        <v>0.15905485805139907</v>
      </c>
    </row>
  </sheetData>
  <sheetProtection insertRows="0" sort="0" autoFilter="0" pivotTables="0"/>
  <mergeCells count="1">
    <mergeCell ref="B9:I9"/>
  </mergeCells>
  <phoneticPr fontId="260" type="noConversion"/>
  <conditionalFormatting sqref="E7:I7">
    <cfRule type="expression" dxfId="11" priority="17">
      <formula>AND(E$5="Actuals",F$5="Forecast")</formula>
    </cfRule>
  </conditionalFormatting>
  <conditionalFormatting sqref="E11:I11 E23:I44">
    <cfRule type="expression" dxfId="10" priority="12">
      <formula>E$5="Forecast"</formula>
    </cfRule>
  </conditionalFormatting>
  <conditionalFormatting sqref="E16:I19">
    <cfRule type="expression" dxfId="9" priority="1">
      <formula>E$5="Forecast"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ignoredErrors>
    <ignoredError sqref="F58:I58" evalError="1"/>
  </ignoredError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B54B1-505F-4D02-868C-C77F2B703BD0}">
  <sheetPr codeName="Sheet9">
    <tabColor rgb="FFFFFFCC"/>
    <pageSetUpPr fitToPage="1"/>
  </sheetPr>
  <dimension ref="A1:V121"/>
  <sheetViews>
    <sheetView zoomScale="80" zoomScaleNormal="80" workbookViewId="0">
      <selection activeCell="A11" sqref="A11"/>
    </sheetView>
  </sheetViews>
  <sheetFormatPr defaultColWidth="9.23046875" defaultRowHeight="14.5"/>
  <cols>
    <col min="1" max="1" width="27" style="898" customWidth="1"/>
    <col min="2" max="2" width="51.23046875" style="898" customWidth="1"/>
    <col min="3" max="3" width="14.15234375" style="898" customWidth="1"/>
    <col min="4" max="5" width="16.23046875" style="898" customWidth="1"/>
    <col min="6" max="6" width="2.15234375" style="898" customWidth="1"/>
    <col min="7" max="7" width="76.4609375" style="898" bestFit="1" customWidth="1"/>
    <col min="8" max="8" width="15.61328125" style="898" customWidth="1"/>
    <col min="9" max="9" width="3.23046875" style="898" customWidth="1"/>
    <col min="10" max="11" width="17.4609375" style="898" customWidth="1"/>
    <col min="12" max="12" width="67.765625" style="951" customWidth="1"/>
    <col min="13" max="14" width="2.23046875" style="898" customWidth="1"/>
    <col min="15" max="16384" width="9.23046875" style="898"/>
  </cols>
  <sheetData>
    <row r="1" spans="1:14" ht="20">
      <c r="A1" s="324" t="s">
        <v>1012</v>
      </c>
      <c r="B1" s="324"/>
      <c r="C1" s="331"/>
      <c r="D1" s="331"/>
      <c r="E1" s="331"/>
      <c r="F1" s="897"/>
      <c r="G1" s="331"/>
      <c r="H1" s="331"/>
      <c r="J1" s="331"/>
      <c r="K1" s="899"/>
      <c r="L1" s="1289"/>
      <c r="N1" s="900"/>
    </row>
    <row r="2" spans="1:14" ht="20">
      <c r="A2" s="331"/>
      <c r="B2" s="331"/>
      <c r="C2" s="331"/>
      <c r="D2" s="331"/>
      <c r="E2" s="331"/>
      <c r="F2" s="897"/>
      <c r="G2" s="331"/>
      <c r="H2" s="331"/>
      <c r="J2" s="331"/>
      <c r="K2" s="899"/>
      <c r="L2" s="1289"/>
      <c r="N2" s="900"/>
    </row>
    <row r="3" spans="1:14" ht="20">
      <c r="A3" s="331" t="s">
        <v>1013</v>
      </c>
      <c r="B3" s="331" t="str">
        <f>Licensee</f>
        <v>Cadent-NW</v>
      </c>
      <c r="C3" s="331"/>
      <c r="D3" s="331"/>
      <c r="E3" s="331"/>
      <c r="F3" s="897"/>
      <c r="G3" s="331"/>
      <c r="H3" s="331"/>
      <c r="J3" s="331"/>
      <c r="K3" s="899"/>
      <c r="L3" s="1289"/>
      <c r="N3" s="900"/>
    </row>
    <row r="4" spans="1:14" ht="20">
      <c r="A4" s="331" t="s">
        <v>6</v>
      </c>
      <c r="B4" s="331" t="str">
        <f>Sector</f>
        <v>GD2</v>
      </c>
      <c r="C4" s="331"/>
      <c r="D4" s="331"/>
      <c r="E4" s="331"/>
      <c r="F4" s="897"/>
      <c r="G4" s="331"/>
      <c r="H4" s="331"/>
      <c r="J4" s="331"/>
      <c r="K4" s="899"/>
      <c r="L4" s="1289"/>
      <c r="N4" s="900"/>
    </row>
    <row r="5" spans="1:14" ht="20">
      <c r="A5" s="331" t="s">
        <v>1014</v>
      </c>
      <c r="B5" s="901">
        <f>INDEX(Data!$C$17:$N$17,MATCH($B$6,Data!$C$18:$N$18,0))</f>
        <v>45016</v>
      </c>
      <c r="C5" s="331"/>
      <c r="D5" s="331"/>
      <c r="E5" s="331"/>
      <c r="F5" s="897"/>
      <c r="G5" s="331"/>
      <c r="H5" s="331"/>
      <c r="J5" s="331"/>
      <c r="K5" s="899"/>
      <c r="L5" s="1289"/>
      <c r="N5" s="900"/>
    </row>
    <row r="6" spans="1:14" ht="20">
      <c r="A6" s="331" t="s">
        <v>36</v>
      </c>
      <c r="B6" s="331">
        <f>Reporting_Year-1</f>
        <v>2023</v>
      </c>
      <c r="C6" s="331"/>
      <c r="D6" s="331"/>
      <c r="E6" s="331"/>
      <c r="F6" s="897"/>
      <c r="G6" s="331"/>
      <c r="H6" s="331"/>
      <c r="J6" s="331"/>
      <c r="K6" s="899"/>
      <c r="L6" s="1289"/>
      <c r="N6" s="900"/>
    </row>
    <row r="7" spans="1:14" ht="28.5" customHeight="1">
      <c r="A7" s="1399" t="s">
        <v>1015</v>
      </c>
      <c r="B7" s="1399"/>
      <c r="C7" s="331"/>
      <c r="D7" s="331"/>
      <c r="E7" s="331"/>
      <c r="F7" s="897"/>
      <c r="G7" s="331"/>
      <c r="H7" s="899"/>
      <c r="J7" s="331"/>
      <c r="K7" s="899"/>
      <c r="L7" s="1289"/>
      <c r="N7" s="900"/>
    </row>
    <row r="8" spans="1:14" ht="86.25" customHeight="1">
      <c r="A8" s="1400" t="s">
        <v>1016</v>
      </c>
      <c r="B8" s="1401"/>
      <c r="C8" s="1393" t="s">
        <v>1017</v>
      </c>
      <c r="D8" s="902" t="s">
        <v>1018</v>
      </c>
      <c r="E8" s="902" t="s">
        <v>1019</v>
      </c>
      <c r="F8" s="903"/>
      <c r="G8" s="1404" t="s">
        <v>1020</v>
      </c>
      <c r="H8" s="904" t="s">
        <v>1021</v>
      </c>
      <c r="I8" s="903"/>
      <c r="J8" s="904" t="s">
        <v>1022</v>
      </c>
      <c r="K8" s="904" t="s">
        <v>1023</v>
      </c>
      <c r="L8" s="1393" t="s">
        <v>1024</v>
      </c>
      <c r="N8" s="900"/>
    </row>
    <row r="9" spans="1:14" ht="15.65" customHeight="1">
      <c r="A9" s="1402"/>
      <c r="B9" s="1403"/>
      <c r="C9" s="1394"/>
      <c r="D9" s="905" t="s">
        <v>711</v>
      </c>
      <c r="E9" s="905" t="s">
        <v>711</v>
      </c>
      <c r="F9" s="906"/>
      <c r="G9" s="1405"/>
      <c r="H9" s="905" t="s">
        <v>1025</v>
      </c>
      <c r="I9" s="906"/>
      <c r="J9" s="905" t="s">
        <v>711</v>
      </c>
      <c r="K9" s="905" t="s">
        <v>711</v>
      </c>
      <c r="L9" s="1394"/>
      <c r="N9" s="900"/>
    </row>
    <row r="10" spans="1:14" ht="15.65" customHeight="1">
      <c r="A10" s="907"/>
      <c r="B10" s="907"/>
      <c r="C10" s="907"/>
      <c r="D10" s="906"/>
      <c r="E10" s="906"/>
      <c r="F10" s="906"/>
      <c r="G10" s="908"/>
      <c r="H10" s="906"/>
      <c r="I10" s="906"/>
      <c r="J10" s="906"/>
      <c r="K10" s="906"/>
      <c r="L10" s="907"/>
      <c r="N10" s="900"/>
    </row>
    <row r="11" spans="1:14" ht="29">
      <c r="A11" s="907" t="s">
        <v>1026</v>
      </c>
      <c r="B11" s="909" t="str">
        <f>IF(AND(D11="",E11=""),"No Filing Date",IF(AND(D11="",E11&lt;&gt;""),"Enter Original Filing Date",IF(AND(D11&lt;&gt;"",E11=""),"Original Filing","Re-filed")))</f>
        <v>Original Filing</v>
      </c>
      <c r="C11" s="907"/>
      <c r="D11" s="910">
        <v>45291</v>
      </c>
      <c r="E11" s="910"/>
      <c r="F11" s="906"/>
      <c r="G11" s="908"/>
      <c r="H11" s="906"/>
      <c r="I11" s="906"/>
      <c r="J11" s="911"/>
      <c r="K11" s="911"/>
      <c r="L11" s="907"/>
      <c r="N11" s="900"/>
    </row>
    <row r="12" spans="1:14" s="913" customFormat="1" ht="17.5" customHeight="1">
      <c r="A12" s="912"/>
      <c r="I12" s="906"/>
      <c r="J12" s="911"/>
      <c r="K12" s="911"/>
      <c r="L12" s="1290"/>
      <c r="N12" s="914"/>
    </row>
    <row r="13" spans="1:14" ht="15.65" customHeight="1">
      <c r="A13" s="1395" t="s">
        <v>1027</v>
      </c>
      <c r="B13" s="1396"/>
      <c r="D13" s="1006">
        <v>0.19</v>
      </c>
      <c r="E13" s="1006">
        <v>0.19</v>
      </c>
      <c r="F13" s="915"/>
      <c r="G13" s="915"/>
      <c r="H13" s="1006">
        <v>0.19</v>
      </c>
      <c r="I13" s="906"/>
      <c r="J13" s="911"/>
      <c r="K13" s="911"/>
      <c r="N13" s="900"/>
    </row>
    <row r="14" spans="1:14" ht="15.65" customHeight="1">
      <c r="B14" s="917"/>
      <c r="D14" s="915"/>
      <c r="E14" s="915"/>
      <c r="F14" s="915"/>
      <c r="G14" s="915"/>
      <c r="H14" s="915"/>
      <c r="I14" s="906"/>
      <c r="J14" s="916"/>
      <c r="K14" s="918"/>
      <c r="N14" s="900"/>
    </row>
    <row r="15" spans="1:14" ht="15.65" customHeight="1">
      <c r="A15" s="919"/>
      <c r="B15" s="919"/>
      <c r="C15" s="920"/>
      <c r="D15" s="921"/>
      <c r="E15" s="922"/>
      <c r="F15" s="922"/>
      <c r="G15" s="923"/>
      <c r="H15" s="924"/>
      <c r="I15" s="906"/>
      <c r="J15" s="925"/>
      <c r="K15" s="926"/>
      <c r="L15" s="927"/>
      <c r="N15" s="900"/>
    </row>
    <row r="16" spans="1:14" ht="116">
      <c r="A16" s="928" t="s">
        <v>1028</v>
      </c>
      <c r="B16" s="929"/>
      <c r="C16" s="920" t="s">
        <v>1029</v>
      </c>
      <c r="D16" s="1007">
        <v>2297.3589211199987</v>
      </c>
      <c r="E16" s="930"/>
      <c r="F16" s="922"/>
      <c r="G16" s="1116" t="str">
        <f>IF($B$4="ESO2", $B$4&amp; " " &amp;"PCFM - see 'calculated revenue (except tax allowance)' and 'Tax allowance (including adjustment) in 'System Operator' worksheet",  $B$4&amp; " " &amp;"PCFM - see 'calculated revenue (except tax allowance)' and 'Tax allowance (including adjustment) in 'Finance &amp;Tax' worksheet")</f>
        <v>GD2 PCFM - see 'calculated revenue (except tax allowance)' and 'Tax allowance (including adjustment) in 'Finance &amp;Tax' worksheet</v>
      </c>
      <c r="H16" s="931">
        <v>587.28120306675737</v>
      </c>
      <c r="I16" s="906"/>
      <c r="J16" s="1015">
        <f>IF(E$11&lt;&gt;"",IF(OR(B$11="No Filing Date","Enter Filing Date",E$11&lt;D$11),"Error in Filing Date",IF('R8a - Tax Reconciliation'!B$11="Original Filing",D16-H16,E16-H16)),IF(OR(B$11="No Filing Date","Enter Filing Date"),"Error in Filing Date",IF('R8a - Tax Reconciliation'!B$11="Original Filing",D16-H16,E16-H16)))</f>
        <v>1710.0777180532414</v>
      </c>
      <c r="K16" s="932"/>
      <c r="L16" s="933" t="s">
        <v>1158</v>
      </c>
      <c r="N16" s="900"/>
    </row>
    <row r="17" spans="1:16" ht="145">
      <c r="A17" s="1397" t="s">
        <v>1030</v>
      </c>
      <c r="B17" s="1398"/>
      <c r="C17" s="920"/>
      <c r="D17" s="922"/>
      <c r="E17" s="922"/>
      <c r="F17" s="922"/>
      <c r="G17" s="923" t="str">
        <f>IF($B$4="ESO2", $B$4&amp; " " &amp;"PCFM - see Tax Allowance scetion in 'System Operator' worksheet",  $B$4&amp; " " &amp;"PCFM - see Tax Allowance in 'Finance &amp;Tax' worksheet")</f>
        <v>GD2 PCFM - see Tax Allowance in 'Finance &amp;Tax' worksheet</v>
      </c>
      <c r="H17" s="931">
        <v>-334.04418605934546</v>
      </c>
      <c r="I17" s="906"/>
      <c r="J17" s="925"/>
      <c r="K17" s="926"/>
      <c r="L17" s="933" t="s">
        <v>1159</v>
      </c>
      <c r="N17" s="900"/>
    </row>
    <row r="18" spans="1:16" ht="15.65" customHeight="1">
      <c r="A18" s="934" t="s">
        <v>1031</v>
      </c>
      <c r="B18" s="935"/>
      <c r="C18" s="920"/>
      <c r="D18" s="922"/>
      <c r="E18" s="922"/>
      <c r="F18" s="922"/>
      <c r="G18" s="923" t="str">
        <f t="shared" ref="G18:G19" si="0">IF($B$4="ESO2", $B$4&amp; " " &amp;"PCFM - see Tax Allowance in 'System Operator' worksheet",  $B$4&amp; " " &amp;"PCFM - see Tax Allowance in 'Finance &amp;Tax' worksheet")</f>
        <v>GD2 PCFM - see Tax Allowance in 'Finance &amp;Tax' worksheet</v>
      </c>
      <c r="H18" s="931"/>
      <c r="I18" s="906"/>
      <c r="J18" s="925"/>
      <c r="K18" s="926"/>
      <c r="L18" s="933">
        <v>0</v>
      </c>
      <c r="N18" s="900"/>
    </row>
    <row r="19" spans="1:16" s="920" customFormat="1">
      <c r="A19" s="934" t="s">
        <v>1032</v>
      </c>
      <c r="B19" s="935"/>
      <c r="D19" s="922"/>
      <c r="E19" s="922"/>
      <c r="F19" s="922"/>
      <c r="G19" s="923" t="str">
        <f t="shared" si="0"/>
        <v>GD2 PCFM - see Tax Allowance in 'Finance &amp;Tax' worksheet</v>
      </c>
      <c r="H19" s="931"/>
      <c r="I19" s="906"/>
      <c r="J19" s="925"/>
      <c r="K19" s="926"/>
      <c r="L19" s="933">
        <v>0</v>
      </c>
      <c r="M19" s="900"/>
      <c r="N19" s="900"/>
      <c r="O19" s="900"/>
      <c r="P19" s="900"/>
    </row>
    <row r="20" spans="1:16">
      <c r="A20" s="934" t="s">
        <v>1033</v>
      </c>
      <c r="B20" s="935"/>
      <c r="C20" s="920" t="s">
        <v>1029</v>
      </c>
      <c r="D20" s="930">
        <v>-966.50000000000023</v>
      </c>
      <c r="E20" s="930"/>
      <c r="F20" s="922"/>
      <c r="G20" s="923"/>
      <c r="H20" s="922"/>
      <c r="I20" s="925"/>
      <c r="J20" s="925"/>
      <c r="K20" s="932"/>
      <c r="L20" s="927"/>
      <c r="N20" s="900"/>
    </row>
    <row r="21" spans="1:16">
      <c r="A21" s="934"/>
      <c r="B21" s="935"/>
      <c r="C21" s="920"/>
      <c r="D21" s="922"/>
      <c r="E21" s="922"/>
      <c r="F21" s="922"/>
      <c r="G21" s="923"/>
      <c r="H21" s="922"/>
      <c r="I21" s="925"/>
      <c r="J21" s="925"/>
      <c r="K21" s="932"/>
      <c r="L21" s="927"/>
      <c r="N21" s="900"/>
    </row>
    <row r="22" spans="1:16">
      <c r="A22" s="936" t="s">
        <v>1034</v>
      </c>
      <c r="B22" s="937"/>
      <c r="C22" s="938" t="s">
        <v>1029</v>
      </c>
      <c r="D22" s="1008">
        <f>SUM(D16:D20)</f>
        <v>1330.8589211199985</v>
      </c>
      <c r="E22" s="1008">
        <f>SUM(E16:E20)</f>
        <v>0</v>
      </c>
      <c r="F22" s="922"/>
      <c r="G22" s="923"/>
      <c r="H22" s="1008">
        <f>SUM(H16:H20)</f>
        <v>253.23701700741191</v>
      </c>
      <c r="I22" s="925"/>
      <c r="J22" s="1015">
        <f>IF(E$11&lt;&gt;"",IF(OR(B$11="No Filing Date","Enter Filing Date",E$11&lt;D$11),"Error in Filing Date",IF('R8a - Tax Reconciliation'!B$11="Original Filing",D22-H22,E22-H22)),IF(OR(B$11="No Filing Date","Enter Filing Date"),"Error in Filing Date",IF('R8a - Tax Reconciliation'!B$11="Original Filing",D22-H22,E22-H22)))</f>
        <v>1077.6219041125867</v>
      </c>
      <c r="K22" s="932"/>
      <c r="L22" s="927"/>
      <c r="N22" s="900"/>
    </row>
    <row r="23" spans="1:16">
      <c r="A23" s="939"/>
      <c r="B23" s="935"/>
      <c r="C23" s="920"/>
      <c r="D23" s="940"/>
      <c r="E23" s="940"/>
      <c r="F23" s="922"/>
      <c r="G23" s="923"/>
      <c r="H23" s="940"/>
      <c r="I23" s="925"/>
      <c r="J23" s="941"/>
      <c r="K23" s="942"/>
      <c r="L23" s="927"/>
      <c r="N23" s="900"/>
    </row>
    <row r="24" spans="1:16" ht="116">
      <c r="A24" s="943" t="s">
        <v>1035</v>
      </c>
      <c r="B24" s="935"/>
      <c r="C24" s="920" t="s">
        <v>1029</v>
      </c>
      <c r="D24" s="930">
        <v>-163.4266010658535</v>
      </c>
      <c r="E24" s="930"/>
      <c r="F24" s="922"/>
      <c r="G24" s="923" t="str">
        <f t="shared" ref="G24:G25" si="1">IF($B$4="ESO2", $B$4&amp; " " &amp;"PCFM - see Tax Allowance in 'System Operator' worksheet",  $B$4&amp; " " &amp;"PCFM - see Tax Allowance in 'Finance &amp;Tax' worksheet")</f>
        <v>GD2 PCFM - see Tax Allowance in 'Finance &amp;Tax' worksheet</v>
      </c>
      <c r="H24" s="931">
        <v>-50.204224784535839</v>
      </c>
      <c r="I24" s="925"/>
      <c r="J24" s="1015">
        <f>IF(E$11&lt;&gt;"",IF(OR(B$11="No Filing Date","Enter Filing Date",E$11&lt;D$11),"Error in Filing Date",IF('R8a - Tax Reconciliation'!B$11="Original Filing",D24-H24,E24-H24)),IF(OR(B$11="No Filing Date","Enter Filing Date"),"Error in Filing Date",IF('R8a - Tax Reconciliation'!B$11="Original Filing",D24-H24,E24-H24)))</f>
        <v>-113.22237628131766</v>
      </c>
      <c r="K24" s="932"/>
      <c r="L24" s="933" t="s">
        <v>1160</v>
      </c>
      <c r="M24" s="900"/>
      <c r="N24" s="900"/>
      <c r="O24" s="900"/>
    </row>
    <row r="25" spans="1:16">
      <c r="A25" s="943" t="s">
        <v>1036</v>
      </c>
      <c r="B25" s="935"/>
      <c r="C25" s="920" t="s">
        <v>1029</v>
      </c>
      <c r="D25" s="930">
        <v>-39.136700594146305</v>
      </c>
      <c r="E25" s="930"/>
      <c r="F25" s="922"/>
      <c r="G25" s="923" t="str">
        <f t="shared" si="1"/>
        <v>GD2 PCFM - see Tax Allowance in 'Finance &amp;Tax' worksheet</v>
      </c>
      <c r="H25" s="931">
        <v>-39.136700594146305</v>
      </c>
      <c r="I25" s="925"/>
      <c r="J25" s="1015">
        <f>IF(E$11&lt;&gt;"",IF(OR(B$11="No Filing Date","Enter Filing Date",E$11&lt;D$11),"Error in Filing Date",IF('R8a - Tax Reconciliation'!B$11="Original Filing",D25-H25,E25-H25)),IF(OR(B$11="No Filing Date","Enter Filing Date"),"Error in Filing Date",IF('R8a - Tax Reconciliation'!B$11="Original Filing",D25-H25,E25-H25)))</f>
        <v>0</v>
      </c>
      <c r="K25" s="932"/>
      <c r="L25" s="933">
        <v>0</v>
      </c>
      <c r="M25" s="900"/>
      <c r="N25" s="900"/>
      <c r="O25" s="900"/>
    </row>
    <row r="26" spans="1:16">
      <c r="A26" s="1397" t="s">
        <v>1037</v>
      </c>
      <c r="B26" s="1398"/>
      <c r="C26" s="920" t="s">
        <v>1029</v>
      </c>
      <c r="D26" s="930">
        <v>0</v>
      </c>
      <c r="E26" s="930"/>
      <c r="F26" s="922"/>
      <c r="G26" s="923"/>
      <c r="H26" s="922"/>
      <c r="I26" s="925"/>
      <c r="J26" s="925"/>
      <c r="K26" s="932"/>
      <c r="L26" s="927"/>
      <c r="M26" s="900"/>
      <c r="N26" s="900"/>
      <c r="O26" s="900"/>
    </row>
    <row r="27" spans="1:16">
      <c r="A27" s="1397" t="s">
        <v>1038</v>
      </c>
      <c r="B27" s="1398"/>
      <c r="C27" s="920" t="s">
        <v>1029</v>
      </c>
      <c r="D27" s="930">
        <v>2.7</v>
      </c>
      <c r="E27" s="930"/>
      <c r="F27" s="922"/>
      <c r="G27" s="923"/>
      <c r="H27" s="922"/>
      <c r="I27" s="925"/>
      <c r="J27" s="925"/>
      <c r="K27" s="932"/>
      <c r="L27" s="927"/>
      <c r="M27" s="900"/>
      <c r="N27" s="900"/>
      <c r="O27" s="900"/>
    </row>
    <row r="28" spans="1:16">
      <c r="A28" s="934" t="s">
        <v>1039</v>
      </c>
      <c r="B28" s="935"/>
      <c r="C28" s="920" t="s">
        <v>1029</v>
      </c>
      <c r="D28" s="930">
        <v>-390.94200000000001</v>
      </c>
      <c r="E28" s="930"/>
      <c r="F28" s="922"/>
      <c r="G28" s="923"/>
      <c r="H28" s="922"/>
      <c r="I28" s="925"/>
      <c r="J28" s="925"/>
      <c r="K28" s="932"/>
      <c r="L28" s="927"/>
      <c r="M28" s="900"/>
      <c r="N28" s="900"/>
      <c r="O28" s="900"/>
    </row>
    <row r="29" spans="1:16">
      <c r="A29" s="934" t="s">
        <v>1040</v>
      </c>
      <c r="B29" s="935"/>
      <c r="C29" s="920" t="s">
        <v>1029</v>
      </c>
      <c r="D29" s="930">
        <v>-19.358000000000001</v>
      </c>
      <c r="E29" s="930"/>
      <c r="F29" s="922"/>
      <c r="G29" s="923"/>
      <c r="H29" s="922"/>
      <c r="I29" s="925"/>
      <c r="J29" s="925"/>
      <c r="K29" s="932"/>
      <c r="L29" s="927"/>
      <c r="M29" s="900"/>
      <c r="N29" s="900"/>
      <c r="O29" s="900"/>
    </row>
    <row r="30" spans="1:16">
      <c r="A30" s="1230" t="s">
        <v>1041</v>
      </c>
      <c r="B30" s="935"/>
      <c r="C30" s="920"/>
      <c r="D30" s="921"/>
      <c r="E30" s="921"/>
      <c r="F30" s="922"/>
      <c r="G30" s="923"/>
      <c r="H30" s="922"/>
      <c r="I30" s="925"/>
      <c r="J30" s="925"/>
      <c r="K30" s="932"/>
      <c r="L30" s="927"/>
      <c r="M30" s="900"/>
      <c r="N30" s="900"/>
      <c r="O30" s="900"/>
    </row>
    <row r="31" spans="1:16">
      <c r="A31" s="944" t="s">
        <v>1042</v>
      </c>
      <c r="B31" s="937"/>
      <c r="C31" s="938" t="s">
        <v>1029</v>
      </c>
      <c r="D31" s="1008">
        <f>SUM(D22:D30)</f>
        <v>720.69561945999885</v>
      </c>
      <c r="E31" s="1008">
        <f>SUM(E22:E30)</f>
        <v>0</v>
      </c>
      <c r="F31" s="922"/>
      <c r="G31" s="945" t="s">
        <v>1043</v>
      </c>
      <c r="H31" s="1008">
        <f>SUM(H22:H30)</f>
        <v>163.89609162872978</v>
      </c>
      <c r="I31" s="925"/>
      <c r="J31" s="1015">
        <f>IF(E$11&lt;&gt;"",IF(OR(B$11="No Filing Date","Enter Filing Date",E$11&lt;D$11),"Error in Filing Date",IF('R8a - Tax Reconciliation'!B$11="Original Filing",D31-H31,E31-H31)),IF(OR(B$11="No Filing Date","Enter Filing Date"),"Error in Filing Date",IF('R8a - Tax Reconciliation'!B$11="Original Filing",D31-H31,E31-H31)))</f>
        <v>556.79952783126907</v>
      </c>
      <c r="K31" s="932" t="str">
        <f>IF(OR(J31&gt;=Data!$C$10,J31&lt;=-Data!$C$10), "Material", "Immaterial")</f>
        <v>Material</v>
      </c>
      <c r="L31" s="933">
        <v>0</v>
      </c>
      <c r="N31" s="900"/>
    </row>
    <row r="32" spans="1:16">
      <c r="A32" s="946"/>
      <c r="B32" s="919"/>
      <c r="C32" s="920"/>
      <c r="D32" s="925"/>
      <c r="E32" s="925"/>
      <c r="F32" s="922"/>
      <c r="G32" s="923"/>
      <c r="I32" s="925"/>
      <c r="J32" s="941"/>
      <c r="K32" s="942"/>
      <c r="L32" s="927"/>
      <c r="M32" s="947"/>
      <c r="N32" s="947"/>
      <c r="O32" s="947"/>
    </row>
    <row r="33" spans="1:16">
      <c r="A33" s="948" t="s">
        <v>1044</v>
      </c>
      <c r="B33" s="929"/>
      <c r="C33" s="920"/>
      <c r="D33" s="921"/>
      <c r="E33" s="921"/>
      <c r="F33" s="922"/>
      <c r="G33" s="923"/>
      <c r="H33" s="922"/>
      <c r="I33" s="925"/>
      <c r="J33" s="925"/>
      <c r="K33" s="932"/>
      <c r="L33" s="927"/>
      <c r="M33" s="900"/>
      <c r="N33" s="900"/>
      <c r="O33" s="900"/>
    </row>
    <row r="34" spans="1:16">
      <c r="A34" s="934"/>
      <c r="B34" s="935"/>
      <c r="C34" s="920"/>
      <c r="D34" s="921"/>
      <c r="E34" s="921"/>
      <c r="F34" s="922"/>
      <c r="G34" s="923"/>
      <c r="H34" s="922"/>
      <c r="I34" s="925"/>
      <c r="J34" s="925"/>
      <c r="K34" s="932"/>
      <c r="L34" s="927"/>
      <c r="M34" s="900"/>
      <c r="N34" s="900"/>
      <c r="O34" s="900"/>
    </row>
    <row r="35" spans="1:16">
      <c r="A35" s="1407" t="s">
        <v>1045</v>
      </c>
      <c r="B35" s="1408"/>
      <c r="D35" s="949"/>
      <c r="E35" s="949"/>
      <c r="F35" s="949"/>
      <c r="G35" s="950"/>
      <c r="H35" s="949"/>
      <c r="I35" s="949"/>
      <c r="J35" s="949"/>
      <c r="K35" s="950"/>
      <c r="M35" s="938"/>
      <c r="N35" s="938"/>
      <c r="O35" s="938"/>
      <c r="P35" s="938"/>
    </row>
    <row r="36" spans="1:16">
      <c r="A36" s="1397" t="s">
        <v>1041</v>
      </c>
      <c r="B36" s="1398"/>
      <c r="C36" s="920" t="s">
        <v>1029</v>
      </c>
      <c r="D36" s="930"/>
      <c r="E36" s="930"/>
      <c r="F36" s="922"/>
      <c r="G36" s="923"/>
      <c r="H36" s="922"/>
      <c r="I36" s="925"/>
      <c r="J36" s="922"/>
      <c r="K36" s="923"/>
      <c r="L36" s="1291"/>
      <c r="M36" s="938"/>
      <c r="N36" s="938"/>
      <c r="O36" s="938"/>
      <c r="P36" s="938"/>
    </row>
    <row r="37" spans="1:16">
      <c r="A37" s="952"/>
      <c r="B37" s="953"/>
      <c r="D37" s="949"/>
      <c r="E37" s="949"/>
      <c r="F37" s="949"/>
      <c r="I37" s="949"/>
      <c r="K37" s="950"/>
      <c r="L37" s="1291"/>
      <c r="M37" s="938"/>
      <c r="N37" s="938"/>
      <c r="O37" s="938"/>
      <c r="P37" s="938"/>
    </row>
    <row r="38" spans="1:16" s="920" customFormat="1">
      <c r="A38" s="1407" t="s">
        <v>1046</v>
      </c>
      <c r="B38" s="1408"/>
      <c r="C38" s="898"/>
      <c r="D38" s="949"/>
      <c r="E38" s="949"/>
      <c r="F38" s="949"/>
      <c r="G38" s="950"/>
      <c r="H38" s="949"/>
      <c r="I38" s="949"/>
      <c r="J38" s="922"/>
      <c r="K38" s="923"/>
      <c r="L38" s="1291"/>
      <c r="N38" s="938"/>
    </row>
    <row r="39" spans="1:16" s="920" customFormat="1">
      <c r="A39" s="1397" t="s">
        <v>1041</v>
      </c>
      <c r="B39" s="1398"/>
      <c r="C39" s="920" t="s">
        <v>1029</v>
      </c>
      <c r="D39" s="930"/>
      <c r="E39" s="930"/>
      <c r="F39" s="922"/>
      <c r="G39" s="923"/>
      <c r="H39" s="922"/>
      <c r="I39" s="925"/>
      <c r="J39" s="922"/>
      <c r="K39" s="923"/>
      <c r="L39" s="1291"/>
      <c r="N39" s="938"/>
    </row>
    <row r="40" spans="1:16">
      <c r="A40" s="952"/>
      <c r="B40" s="954"/>
      <c r="D40" s="949"/>
      <c r="E40" s="949"/>
      <c r="F40" s="949"/>
      <c r="G40" s="950"/>
      <c r="H40" s="949"/>
      <c r="I40" s="949"/>
      <c r="J40" s="922"/>
      <c r="K40" s="923"/>
      <c r="L40" s="1291"/>
      <c r="M40" s="938"/>
      <c r="N40" s="938"/>
      <c r="O40" s="938"/>
      <c r="P40" s="938"/>
    </row>
    <row r="41" spans="1:16">
      <c r="A41" s="1407" t="s">
        <v>1047</v>
      </c>
      <c r="B41" s="1408"/>
      <c r="D41" s="949"/>
      <c r="E41" s="949"/>
      <c r="F41" s="949"/>
      <c r="G41" s="950"/>
      <c r="H41" s="949"/>
      <c r="I41" s="949"/>
      <c r="J41" s="922"/>
      <c r="K41" s="923"/>
      <c r="L41" s="1291"/>
      <c r="M41" s="938"/>
      <c r="N41" s="938"/>
      <c r="O41" s="938"/>
      <c r="P41" s="938"/>
    </row>
    <row r="42" spans="1:16" s="920" customFormat="1">
      <c r="A42" s="1409" t="s">
        <v>1041</v>
      </c>
      <c r="B42" s="1410"/>
      <c r="C42" s="920" t="s">
        <v>1029</v>
      </c>
      <c r="D42" s="930"/>
      <c r="E42" s="930"/>
      <c r="F42" s="922"/>
      <c r="G42" s="923"/>
      <c r="H42" s="922"/>
      <c r="I42" s="925"/>
      <c r="J42" s="922"/>
      <c r="K42" s="923"/>
      <c r="L42" s="1291"/>
      <c r="N42" s="938"/>
    </row>
    <row r="43" spans="1:16" s="920" customFormat="1">
      <c r="A43" s="919"/>
      <c r="B43" s="919"/>
      <c r="D43" s="922"/>
      <c r="E43" s="922"/>
      <c r="F43" s="922"/>
      <c r="G43" s="923"/>
      <c r="H43" s="922"/>
      <c r="I43" s="925"/>
      <c r="J43" s="925"/>
      <c r="K43" s="932"/>
      <c r="L43" s="927"/>
      <c r="M43" s="900"/>
      <c r="N43" s="900"/>
      <c r="O43" s="900"/>
      <c r="P43" s="900"/>
    </row>
    <row r="44" spans="1:16" s="920" customFormat="1">
      <c r="A44" s="944" t="s">
        <v>1048</v>
      </c>
      <c r="B44" s="937"/>
      <c r="C44" s="938" t="s">
        <v>1029</v>
      </c>
      <c r="D44" s="1008">
        <f>SUM(D31:D43)</f>
        <v>720.69561945999885</v>
      </c>
      <c r="E44" s="1008">
        <f>SUM(E31:E43)</f>
        <v>0</v>
      </c>
      <c r="F44" s="922"/>
      <c r="G44" s="923"/>
      <c r="H44" s="1008">
        <f>SUM(H31:H43)</f>
        <v>163.89609162872978</v>
      </c>
      <c r="I44" s="925"/>
      <c r="J44" s="1015">
        <f>IF(E$11&lt;&gt;"",IF(OR(B$11="No Filing Date","Enter Filing Date",E$11&lt;D$11),"Error in Filing Date",IF('R8a - Tax Reconciliation'!B$11="Original Filing",D44-H44,E44-H44)),IF(OR(B$11="No Filing Date","Enter Filing Date"),"Error in Filing Date",IF('R8a - Tax Reconciliation'!B$11="Original Filing",D44-H44,E44-H44)))</f>
        <v>556.79952783126907</v>
      </c>
      <c r="K44" s="932" t="str">
        <f>IF(OR(J44&gt;=Data!$C$10,J44&lt;=-Data!$C$10), "Material", "Immaterial")</f>
        <v>Material</v>
      </c>
      <c r="L44" s="933">
        <v>0</v>
      </c>
      <c r="M44" s="900"/>
      <c r="N44" s="900"/>
      <c r="O44" s="900"/>
      <c r="P44" s="900"/>
    </row>
    <row r="45" spans="1:16" s="920" customFormat="1">
      <c r="A45" s="955"/>
      <c r="B45" s="955"/>
      <c r="C45" s="898"/>
      <c r="D45" s="956"/>
      <c r="E45" s="956"/>
      <c r="F45" s="956"/>
      <c r="G45" s="957"/>
      <c r="H45" s="956"/>
      <c r="I45" s="949"/>
      <c r="J45" s="949"/>
      <c r="K45" s="950"/>
      <c r="L45" s="951"/>
      <c r="M45" s="900"/>
      <c r="N45" s="900"/>
      <c r="O45" s="900"/>
      <c r="P45" s="900"/>
    </row>
    <row r="46" spans="1:16" s="920" customFormat="1">
      <c r="A46" s="958" t="s">
        <v>1049</v>
      </c>
      <c r="B46" s="959"/>
      <c r="C46" s="898"/>
      <c r="D46" s="956"/>
      <c r="E46" s="956"/>
      <c r="F46" s="956"/>
      <c r="G46" s="957"/>
      <c r="H46" s="956"/>
      <c r="I46" s="949"/>
      <c r="J46" s="949"/>
      <c r="K46" s="950"/>
      <c r="L46" s="951"/>
      <c r="M46" s="900"/>
      <c r="N46" s="900"/>
      <c r="O46" s="900"/>
      <c r="P46" s="900"/>
    </row>
    <row r="47" spans="1:16" s="920" customFormat="1">
      <c r="A47" s="960"/>
      <c r="B47" s="961"/>
      <c r="C47" s="898"/>
      <c r="D47" s="956"/>
      <c r="E47" s="956"/>
      <c r="F47" s="956"/>
      <c r="G47" s="957"/>
      <c r="H47" s="956"/>
      <c r="I47" s="949"/>
      <c r="J47" s="949"/>
      <c r="K47" s="950"/>
      <c r="L47" s="951"/>
      <c r="M47" s="900"/>
      <c r="N47" s="900"/>
      <c r="O47" s="900"/>
      <c r="P47" s="900"/>
    </row>
    <row r="48" spans="1:16" s="920" customFormat="1">
      <c r="A48" s="962" t="s">
        <v>1050</v>
      </c>
      <c r="B48" s="961"/>
      <c r="C48" s="898"/>
      <c r="D48" s="956"/>
      <c r="E48" s="956"/>
      <c r="F48" s="956"/>
      <c r="G48" s="957"/>
      <c r="H48" s="956"/>
      <c r="I48" s="949"/>
      <c r="J48" s="949"/>
      <c r="K48" s="950"/>
      <c r="L48" s="951"/>
      <c r="M48" s="900"/>
      <c r="N48" s="900"/>
      <c r="O48" s="900"/>
      <c r="P48" s="900"/>
    </row>
    <row r="49" spans="1:22" s="920" customFormat="1">
      <c r="A49" s="934" t="s">
        <v>1051</v>
      </c>
      <c r="B49" s="935"/>
      <c r="C49" s="920" t="s">
        <v>1029</v>
      </c>
      <c r="D49" s="930">
        <v>0</v>
      </c>
      <c r="E49" s="930"/>
      <c r="F49" s="922"/>
      <c r="G49" s="923"/>
      <c r="H49" s="930"/>
      <c r="I49" s="925"/>
      <c r="J49" s="1015">
        <f>IF(E$11&lt;&gt;"",IF(OR(B$11="No Filing Date","Enter Filing Date",E$11&lt;D$11),"Error in Filing Date",IF('R8a - Tax Reconciliation'!B$11="Original Filing",D49-H49,E49-H49)),IF(OR(B$11="No Filing Date","Enter Filing Date"),"Error in Filing Date",IF('R8a - Tax Reconciliation'!B$11="Original Filing",D49-H49,E49-H49)))</f>
        <v>0</v>
      </c>
      <c r="K49" s="932" t="str">
        <f>IF(OR(J49&gt;=Data!$C$10,J49&lt;=-Data!$C$10), "Material", "Immaterial")</f>
        <v>Immaterial</v>
      </c>
      <c r="L49" s="933">
        <v>0</v>
      </c>
      <c r="N49" s="938"/>
    </row>
    <row r="50" spans="1:22" s="920" customFormat="1" ht="58">
      <c r="A50" s="934" t="s">
        <v>1052</v>
      </c>
      <c r="B50" s="935"/>
      <c r="C50" s="920" t="s">
        <v>1029</v>
      </c>
      <c r="D50" s="930">
        <v>-37.839587000000002</v>
      </c>
      <c r="E50" s="930"/>
      <c r="F50" s="922"/>
      <c r="G50" s="923"/>
      <c r="H50" s="930"/>
      <c r="I50" s="925"/>
      <c r="J50" s="1015">
        <f>IF(E$11&lt;&gt;"",IF(OR(B$11="No Filing Date","Enter Filing Date",E$11&lt;D$11),"Error in Filing Date",IF('R8a - Tax Reconciliation'!B$11="Original Filing",D50-H50,E50-H50)),IF(OR(B$11="No Filing Date","Enter Filing Date"),"Error in Filing Date",IF('R8a - Tax Reconciliation'!B$11="Original Filing",D50-H50,E50-H50)))</f>
        <v>-37.839587000000002</v>
      </c>
      <c r="K50" s="932" t="str">
        <f>IF(OR(J50&gt;=Data!$C$10,J50&lt;=-Data!$C$10), "Material", "Immaterial")</f>
        <v>Material</v>
      </c>
      <c r="L50" s="933" t="s">
        <v>1161</v>
      </c>
      <c r="M50" s="900"/>
      <c r="N50" s="900"/>
      <c r="O50" s="900"/>
      <c r="P50" s="900"/>
    </row>
    <row r="51" spans="1:22" s="920" customFormat="1">
      <c r="A51" s="934" t="s">
        <v>1053</v>
      </c>
      <c r="B51" s="935"/>
      <c r="C51" s="920" t="s">
        <v>1029</v>
      </c>
      <c r="D51" s="930">
        <v>390.890717</v>
      </c>
      <c r="E51" s="930"/>
      <c r="F51" s="922"/>
      <c r="G51" s="923"/>
      <c r="H51" s="930"/>
      <c r="I51" s="925"/>
      <c r="J51" s="1015">
        <f>IF(E$11&lt;&gt;"",IF(OR(B$11="No Filing Date","Enter Filing Date",E$11&lt;D$11),"Error in Filing Date",IF('R8a - Tax Reconciliation'!B$11="Original Filing",D51-H51,E51-H51)),IF(OR(B$11="No Filing Date","Enter Filing Date"),"Error in Filing Date",IF('R8a - Tax Reconciliation'!B$11="Original Filing",D51-H51,E51-H51)))</f>
        <v>390.890717</v>
      </c>
      <c r="K51" s="932" t="str">
        <f>IF(OR(J51&gt;=Data!$C$10,J51&lt;=-Data!$C$10), "Material", "Immaterial")</f>
        <v>Material</v>
      </c>
      <c r="L51" s="933" t="s">
        <v>1162</v>
      </c>
      <c r="N51" s="938"/>
    </row>
    <row r="52" spans="1:22">
      <c r="A52" s="934" t="s">
        <v>1040</v>
      </c>
      <c r="B52" s="935"/>
      <c r="C52" s="920" t="s">
        <v>1029</v>
      </c>
      <c r="D52" s="930">
        <v>19.358398000000001</v>
      </c>
      <c r="E52" s="930"/>
      <c r="F52" s="922"/>
      <c r="G52" s="923"/>
      <c r="H52" s="930"/>
      <c r="I52" s="925"/>
      <c r="J52" s="1015">
        <f>IF(E$11&lt;&gt;"",IF(OR(B$11="No Filing Date","Enter Filing Date",E$11&lt;D$11),"Error in Filing Date",IF('R8a - Tax Reconciliation'!B$11="Original Filing",D52-H52,E52-H52)),IF(OR(B$11="No Filing Date","Enter Filing Date"),"Error in Filing Date",IF('R8a - Tax Reconciliation'!B$11="Original Filing",D52-H52,E52-H52)))</f>
        <v>19.358398000000001</v>
      </c>
      <c r="K52" s="932" t="str">
        <f>IF(OR(J52&gt;=Data!$C$10,J52&lt;=-Data!$C$10), "Material", "Immaterial")</f>
        <v>Material</v>
      </c>
      <c r="L52" s="933" t="s">
        <v>1163</v>
      </c>
      <c r="M52" s="938"/>
      <c r="N52" s="938"/>
      <c r="O52" s="938"/>
      <c r="P52" s="938"/>
    </row>
    <row r="53" spans="1:22">
      <c r="A53" s="963" t="s">
        <v>1054</v>
      </c>
      <c r="B53" s="964"/>
      <c r="C53" s="920" t="s">
        <v>1029</v>
      </c>
      <c r="D53" s="930">
        <v>2.7255020000000001</v>
      </c>
      <c r="E53" s="930"/>
      <c r="F53" s="922"/>
      <c r="G53" s="923"/>
      <c r="H53" s="930"/>
      <c r="I53" s="925"/>
      <c r="J53" s="1015">
        <f>IF(E$11&lt;&gt;"",IF(OR(B$11="No Filing Date","Enter Filing Date",E$11&lt;D$11),"Error in Filing Date",IF('R8a - Tax Reconciliation'!B$11="Original Filing",D53-H53,E53-H53)),IF(OR(B$11="No Filing Date","Enter Filing Date"),"Error in Filing Date",IF('R8a - Tax Reconciliation'!B$11="Original Filing",D53-H53,E53-H53)))</f>
        <v>2.7255020000000001</v>
      </c>
      <c r="K53" s="932" t="str">
        <f>IF(OR(J53&gt;=Data!$C$10,J53&lt;=-Data!$C$10), "Material", "Immaterial")</f>
        <v>Immaterial</v>
      </c>
      <c r="L53" s="933">
        <v>0</v>
      </c>
      <c r="N53" s="900"/>
    </row>
    <row r="54" spans="1:22">
      <c r="A54" s="1397" t="s">
        <v>1055</v>
      </c>
      <c r="B54" s="1398"/>
      <c r="C54" s="920" t="s">
        <v>1029</v>
      </c>
      <c r="D54" s="930">
        <v>0</v>
      </c>
      <c r="E54" s="930"/>
      <c r="F54" s="965"/>
      <c r="G54" s="923"/>
      <c r="H54" s="930"/>
      <c r="I54" s="966"/>
      <c r="J54" s="1015">
        <f>IF(E$11&lt;&gt;"",IF(OR(B$11="No Filing Date","Enter Filing Date",E$11&lt;D$11),"Error in Filing Date",IF('R8a - Tax Reconciliation'!B$11="Original Filing",D54-H54,E54-H54)),IF(OR(B$11="No Filing Date","Enter Filing Date"),"Error in Filing Date",IF('R8a - Tax Reconciliation'!B$11="Original Filing",D54-H54,E54-H54)))</f>
        <v>0</v>
      </c>
      <c r="K54" s="932" t="str">
        <f>IF(OR(J54&gt;=Data!$C$10,J54&lt;=-Data!$C$10), "Material", "Immaterial")</f>
        <v>Immaterial</v>
      </c>
      <c r="L54" s="933">
        <v>0</v>
      </c>
      <c r="N54" s="900"/>
    </row>
    <row r="55" spans="1:22" ht="58">
      <c r="A55" s="967" t="s">
        <v>1056</v>
      </c>
      <c r="B55" s="964"/>
      <c r="C55" s="920" t="s">
        <v>1029</v>
      </c>
      <c r="D55" s="930">
        <v>-113.645293</v>
      </c>
      <c r="E55" s="930"/>
      <c r="F55" s="925"/>
      <c r="G55" s="923" t="str">
        <f t="shared" ref="G55" si="2">IF($B$4="ESO2", $B$4&amp; " " &amp;"PCFM - see Tax Allowance in 'System Operator' worksheet",  $B$4&amp; " " &amp;"PCFM - see Tax Allowance in 'Finance &amp;Tax' worksheet")</f>
        <v>GD2 PCFM - see Tax Allowance in 'Finance &amp;Tax' worksheet</v>
      </c>
      <c r="H55" s="931">
        <v>-16.5</v>
      </c>
      <c r="I55" s="966"/>
      <c r="J55" s="1015">
        <f>IF(E$11&lt;&gt;"",IF(OR(B$11="No Filing Date","Enter Filing Date",E$11&lt;D$11),"Error in Filing Date",IF('R8a - Tax Reconciliation'!B$11="Original Filing",D55-H55,E55-H55)),IF(OR(B$11="No Filing Date","Enter Filing Date"),"Error in Filing Date",IF('R8a - Tax Reconciliation'!B$11="Original Filing",D55-H55,E55-H55)))</f>
        <v>-97.145292999999995</v>
      </c>
      <c r="K55" s="932" t="str">
        <f>IF(OR(J55&gt;=Data!$C$10,J55&lt;=-Data!$C$10), "Material", "Immaterial")</f>
        <v>Material</v>
      </c>
      <c r="L55" s="933" t="s">
        <v>1164</v>
      </c>
      <c r="N55" s="900"/>
    </row>
    <row r="56" spans="1:22">
      <c r="A56" s="934" t="s">
        <v>1057</v>
      </c>
      <c r="B56" s="935"/>
      <c r="C56" s="920" t="s">
        <v>1029</v>
      </c>
      <c r="D56" s="930">
        <v>0</v>
      </c>
      <c r="E56" s="930"/>
      <c r="F56" s="922"/>
      <c r="G56" s="923"/>
      <c r="H56" s="930"/>
      <c r="I56" s="925"/>
      <c r="J56" s="1015">
        <f>IF(E$11&lt;&gt;"",IF(OR(B$11="No Filing Date","Enter Filing Date",E$11&lt;D$11),"Error in Filing Date",IF('R8a - Tax Reconciliation'!B$11="Original Filing",D56-H56,E56-H56)),IF(OR(B$11="No Filing Date","Enter Filing Date"),"Error in Filing Date",IF('R8a - Tax Reconciliation'!B$11="Original Filing",D56-H56,E56-H56)))</f>
        <v>0</v>
      </c>
      <c r="K56" s="932" t="str">
        <f>IF(OR(J56&gt;=Data!$C$10,J56&lt;=-Data!$C$10), "Material", "Immaterial")</f>
        <v>Immaterial</v>
      </c>
      <c r="L56" s="933">
        <v>0</v>
      </c>
      <c r="M56" s="938"/>
      <c r="N56" s="938"/>
      <c r="O56" s="938"/>
      <c r="P56" s="938"/>
    </row>
    <row r="57" spans="1:22">
      <c r="A57" s="934" t="s">
        <v>1058</v>
      </c>
      <c r="B57" s="935"/>
      <c r="C57" s="920" t="s">
        <v>1029</v>
      </c>
      <c r="D57" s="930">
        <v>0</v>
      </c>
      <c r="E57" s="930"/>
      <c r="F57" s="922"/>
      <c r="G57" s="923"/>
      <c r="H57" s="930"/>
      <c r="I57" s="925"/>
      <c r="J57" s="1015">
        <f>IF(E$11&lt;&gt;"",IF(OR(B$11="No Filing Date","Enter Filing Date",E$11&lt;D$11),"Error in Filing Date",IF('R8a - Tax Reconciliation'!B$11="Original Filing",D57-H57,E57-H57)),IF(OR(B$11="No Filing Date","Enter Filing Date"),"Error in Filing Date",IF('R8a - Tax Reconciliation'!B$11="Original Filing",D57-H57,E57-H57)))</f>
        <v>0</v>
      </c>
      <c r="K57" s="932" t="str">
        <f>IF(OR(J57&gt;=Data!$C$10,J57&lt;=-Data!$C$10), "Material", "Immaterial")</f>
        <v>Immaterial</v>
      </c>
      <c r="L57" s="933">
        <v>0</v>
      </c>
      <c r="M57" s="900"/>
      <c r="N57" s="900"/>
      <c r="O57" s="900"/>
      <c r="P57" s="900"/>
      <c r="Q57" s="920"/>
      <c r="R57" s="920"/>
      <c r="S57" s="920"/>
      <c r="T57" s="920"/>
      <c r="U57" s="920"/>
      <c r="V57" s="920"/>
    </row>
    <row r="58" spans="1:22">
      <c r="A58" s="934" t="s">
        <v>1059</v>
      </c>
      <c r="B58" s="935"/>
      <c r="C58" s="920" t="s">
        <v>1029</v>
      </c>
      <c r="D58" s="930">
        <v>0</v>
      </c>
      <c r="E58" s="930"/>
      <c r="F58" s="922"/>
      <c r="G58" s="923"/>
      <c r="H58" s="930"/>
      <c r="I58" s="925"/>
      <c r="J58" s="1015">
        <f>IF(E$11&lt;&gt;"",IF(OR(B$11="No Filing Date","Enter Filing Date",E$11&lt;D$11),"Error in Filing Date",IF('R8a - Tax Reconciliation'!B$11="Original Filing",D58-H58,E58-H58)),IF(OR(B$11="No Filing Date","Enter Filing Date"),"Error in Filing Date",IF('R8a - Tax Reconciliation'!B$11="Original Filing",D58-H58,E58-H58)))</f>
        <v>0</v>
      </c>
      <c r="K58" s="932" t="str">
        <f>IF(OR(J58&gt;=Data!$C$10,J58&lt;=-Data!$C$10), "Material", "Immaterial")</f>
        <v>Immaterial</v>
      </c>
      <c r="L58" s="933">
        <v>0</v>
      </c>
      <c r="M58" s="900"/>
      <c r="N58" s="900"/>
      <c r="O58" s="900"/>
      <c r="P58" s="900"/>
      <c r="Q58" s="920"/>
      <c r="R58" s="920"/>
      <c r="S58" s="920"/>
      <c r="T58" s="920"/>
      <c r="U58" s="920"/>
      <c r="V58" s="920"/>
    </row>
    <row r="59" spans="1:22">
      <c r="A59" s="934" t="s">
        <v>1060</v>
      </c>
      <c r="B59" s="935"/>
      <c r="C59" s="920" t="s">
        <v>1029</v>
      </c>
      <c r="D59" s="930">
        <v>0</v>
      </c>
      <c r="E59" s="930"/>
      <c r="F59" s="922"/>
      <c r="G59" s="923"/>
      <c r="H59" s="930"/>
      <c r="I59" s="925"/>
      <c r="J59" s="1015">
        <f>IF(E$11&lt;&gt;"",IF(OR(B$11="No Filing Date","Enter Filing Date",E$11&lt;D$11),"Error in Filing Date",IF('R8a - Tax Reconciliation'!B$11="Original Filing",D59-H59,E59-H59)),IF(OR(B$11="No Filing Date","Enter Filing Date"),"Error in Filing Date",IF('R8a - Tax Reconciliation'!B$11="Original Filing",D59-H59,E59-H59)))</f>
        <v>0</v>
      </c>
      <c r="K59" s="932" t="str">
        <f>IF(OR(J59&gt;=Data!$C$10,J59&lt;=-Data!$C$10), "Material", "Immaterial")</f>
        <v>Immaterial</v>
      </c>
      <c r="L59" s="933">
        <v>0</v>
      </c>
      <c r="N59" s="900"/>
    </row>
    <row r="60" spans="1:22">
      <c r="A60" s="934" t="s">
        <v>1061</v>
      </c>
      <c r="B60" s="935"/>
      <c r="C60" s="920" t="s">
        <v>1029</v>
      </c>
      <c r="D60" s="930">
        <v>-2.683964</v>
      </c>
      <c r="E60" s="930"/>
      <c r="F60" s="922"/>
      <c r="G60" s="923"/>
      <c r="H60" s="930"/>
      <c r="I60" s="925"/>
      <c r="J60" s="1015">
        <f>IF(E$11&lt;&gt;"",IF(OR(B$11="No Filing Date","Enter Filing Date",E$11&lt;D$11),"Error in Filing Date",IF('R8a - Tax Reconciliation'!B$11="Original Filing",D60-H60,E60-H60)),IF(OR(B$11="No Filing Date","Enter Filing Date"),"Error in Filing Date",IF('R8a - Tax Reconciliation'!B$11="Original Filing",D60-H60,E60-H60)))</f>
        <v>-2.683964</v>
      </c>
      <c r="K60" s="932" t="str">
        <f>IF(OR(J60&gt;=Data!$C$10,J60&lt;=-Data!$C$10), "Material", "Immaterial")</f>
        <v>Immaterial</v>
      </c>
      <c r="L60" s="933">
        <v>0</v>
      </c>
      <c r="N60" s="900"/>
    </row>
    <row r="61" spans="1:22" ht="43.5">
      <c r="A61" s="934" t="s">
        <v>1167</v>
      </c>
      <c r="B61" s="935"/>
      <c r="C61" s="920" t="s">
        <v>1029</v>
      </c>
      <c r="D61" s="930">
        <v>-8.1311440000000008</v>
      </c>
      <c r="E61" s="930"/>
      <c r="F61" s="922"/>
      <c r="G61" s="923"/>
      <c r="H61" s="930"/>
      <c r="I61" s="925"/>
      <c r="J61" s="1015">
        <f>IF(E$11&lt;&gt;"",IF(OR(B$11="No Filing Date","Enter Filing Date",E$11&lt;D$11),"Error in Filing Date",IF('R8a - Tax Reconciliation'!B$11="Original Filing",D61-H61,E61-H61)),IF(OR(B$11="No Filing Date","Enter Filing Date"),"Error in Filing Date",IF('R8a - Tax Reconciliation'!B$11="Original Filing",D61-H61,E61-H61)))</f>
        <v>-8.1311440000000008</v>
      </c>
      <c r="K61" s="932" t="str">
        <f>IF(OR(J61&gt;=Data!$C$10,J61&lt;=-Data!$C$10), "Material", "Immaterial")</f>
        <v>Material</v>
      </c>
      <c r="L61" s="933" t="s">
        <v>1165</v>
      </c>
      <c r="N61" s="900"/>
    </row>
    <row r="62" spans="1:22">
      <c r="A62" s="934" t="s">
        <v>1168</v>
      </c>
      <c r="B62" s="935"/>
      <c r="C62" s="920" t="s">
        <v>1029</v>
      </c>
      <c r="D62" s="930">
        <v>-3.1049520000000008</v>
      </c>
      <c r="E62" s="930"/>
      <c r="F62" s="922"/>
      <c r="G62" s="923"/>
      <c r="H62" s="930"/>
      <c r="I62" s="925"/>
      <c r="J62" s="1015">
        <f>IF(E$11&lt;&gt;"",IF(OR(B$11="No Filing Date","Enter Filing Date",E$11&lt;D$11),"Error in Filing Date",IF('R8a - Tax Reconciliation'!B$11="Original Filing",D62-H62,E62-H62)),IF(OR(B$11="No Filing Date","Enter Filing Date"),"Error in Filing Date",IF('R8a - Tax Reconciliation'!B$11="Original Filing",D62-H62,E62-H62)))</f>
        <v>-3.1049520000000008</v>
      </c>
      <c r="K62" s="932" t="str">
        <f>IF(OR(J62&gt;=Data!$C$10,J62&lt;=-Data!$C$10), "Material", "Immaterial")</f>
        <v>Immaterial</v>
      </c>
      <c r="L62" s="933">
        <v>0</v>
      </c>
      <c r="N62" s="900"/>
    </row>
    <row r="63" spans="1:22" ht="43.5">
      <c r="A63" s="934" t="s">
        <v>1169</v>
      </c>
      <c r="B63" s="935"/>
      <c r="C63" s="920" t="s">
        <v>1029</v>
      </c>
      <c r="D63" s="930">
        <v>-10.6</v>
      </c>
      <c r="E63" s="930"/>
      <c r="F63" s="922"/>
      <c r="G63" s="923"/>
      <c r="H63" s="930"/>
      <c r="I63" s="925"/>
      <c r="J63" s="1015">
        <f>IF(E$11&lt;&gt;"",IF(OR(B$11="No Filing Date","Enter Filing Date",E$11&lt;D$11),"Error in Filing Date",IF('R8a - Tax Reconciliation'!B$11="Original Filing",D63-H63,E63-H63)),IF(OR(B$11="No Filing Date","Enter Filing Date"),"Error in Filing Date",IF('R8a - Tax Reconciliation'!B$11="Original Filing",D63-H63,E63-H63)))</f>
        <v>-10.6</v>
      </c>
      <c r="K63" s="932" t="str">
        <f>IF(OR(J63&gt;=Data!$C$10,J63&lt;=-Data!$C$10), "Material", "Immaterial")</f>
        <v>Material</v>
      </c>
      <c r="L63" s="933" t="s">
        <v>1166</v>
      </c>
      <c r="N63" s="900"/>
    </row>
    <row r="64" spans="1:22">
      <c r="A64" s="934" t="s">
        <v>1170</v>
      </c>
      <c r="B64" s="935"/>
      <c r="C64" s="920" t="s">
        <v>1029</v>
      </c>
      <c r="D64" s="930">
        <v>1.0485709999999999</v>
      </c>
      <c r="E64" s="930"/>
      <c r="F64" s="922"/>
      <c r="G64" s="923"/>
      <c r="H64" s="930"/>
      <c r="I64" s="925"/>
      <c r="J64" s="1015">
        <f>IF(E$11&lt;&gt;"",IF(OR(B$11="No Filing Date","Enter Filing Date",E$11&lt;D$11),"Error in Filing Date",IF('R8a - Tax Reconciliation'!B$11="Original Filing",D64-H64,E64-H64)),IF(OR(B$11="No Filing Date","Enter Filing Date"),"Error in Filing Date",IF('R8a - Tax Reconciliation'!B$11="Original Filing",D64-H64,E64-H64)))</f>
        <v>1.0485709999999999</v>
      </c>
      <c r="K64" s="932" t="str">
        <f>IF(OR(J64&gt;=Data!$C$10,J64&lt;=-Data!$C$10), "Material", "Immaterial")</f>
        <v>Immaterial</v>
      </c>
      <c r="L64" s="933">
        <v>0</v>
      </c>
      <c r="N64" s="900"/>
    </row>
    <row r="65" spans="1:16">
      <c r="A65" s="934" t="s">
        <v>1171</v>
      </c>
      <c r="B65" s="935"/>
      <c r="C65" s="920" t="s">
        <v>1029</v>
      </c>
      <c r="D65" s="930">
        <v>2.4053049999999998</v>
      </c>
      <c r="E65" s="930"/>
      <c r="F65" s="922"/>
      <c r="G65" s="923"/>
      <c r="H65" s="930"/>
      <c r="I65" s="925"/>
      <c r="J65" s="1015">
        <f>IF(E$11&lt;&gt;"",IF(OR(B$11="No Filing Date","Enter Filing Date",E$11&lt;D$11),"Error in Filing Date",IF('R8a - Tax Reconciliation'!B$11="Original Filing",D65-H65,E65-H65)),IF(OR(B$11="No Filing Date","Enter Filing Date"),"Error in Filing Date",IF('R8a - Tax Reconciliation'!B$11="Original Filing",D65-H65,E65-H65)))</f>
        <v>2.4053049999999998</v>
      </c>
      <c r="K65" s="932" t="str">
        <f>IF(OR(J65&gt;=Data!$C$10,J65&lt;=-Data!$C$10), "Material", "Immaterial")</f>
        <v>Immaterial</v>
      </c>
      <c r="L65" s="933">
        <v>0</v>
      </c>
      <c r="N65" s="900"/>
    </row>
    <row r="66" spans="1:16">
      <c r="A66" s="934" t="s">
        <v>1172</v>
      </c>
      <c r="B66" s="935"/>
      <c r="C66" s="920" t="s">
        <v>1029</v>
      </c>
      <c r="D66" s="930">
        <v>-0.352549</v>
      </c>
      <c r="E66" s="930"/>
      <c r="F66" s="922"/>
      <c r="G66" s="923"/>
      <c r="H66" s="930"/>
      <c r="I66" s="925"/>
      <c r="J66" s="1015">
        <f>IF(E$11&lt;&gt;"",IF(OR(B$11="No Filing Date","Enter Filing Date",E$11&lt;D$11),"Error in Filing Date",IF('R8a - Tax Reconciliation'!B$11="Original Filing",D66-H66,E66-H66)),IF(OR(B$11="No Filing Date","Enter Filing Date"),"Error in Filing Date",IF('R8a - Tax Reconciliation'!B$11="Original Filing",D66-H66,E66-H66)))</f>
        <v>-0.352549</v>
      </c>
      <c r="K66" s="932" t="str">
        <f>IF(OR(J66&gt;=Data!$C$10,J66&lt;=-Data!$C$10), "Material", "Immaterial")</f>
        <v>Immaterial</v>
      </c>
      <c r="L66" s="933">
        <v>0</v>
      </c>
      <c r="N66" s="900"/>
    </row>
    <row r="67" spans="1:16">
      <c r="A67" s="934" t="s">
        <v>1173</v>
      </c>
      <c r="B67" s="964"/>
      <c r="C67" s="920" t="s">
        <v>1029</v>
      </c>
      <c r="D67" s="930">
        <v>-0.163632</v>
      </c>
      <c r="E67" s="930"/>
      <c r="F67" s="925"/>
      <c r="G67" s="923"/>
      <c r="H67" s="930"/>
      <c r="I67" s="925"/>
      <c r="J67" s="1015">
        <f>IF(E$11&lt;&gt;"",IF(OR(B$11="No Filing Date","Enter Filing Date",E$11&lt;D$11),"Error in Filing Date",IF('R8a - Tax Reconciliation'!B$11="Original Filing",D67-H67,E67-H67)),IF(OR(B$11="No Filing Date","Enter Filing Date"),"Error in Filing Date",IF('R8a - Tax Reconciliation'!B$11="Original Filing",D67-H67,E67-H67)))</f>
        <v>-0.163632</v>
      </c>
      <c r="K67" s="932" t="str">
        <f>IF(OR(J67&gt;=Data!$C$10,J67&lt;=-Data!$C$10), "Material", "Immaterial")</f>
        <v>Immaterial</v>
      </c>
      <c r="L67" s="933">
        <v>0</v>
      </c>
      <c r="N67" s="900"/>
    </row>
    <row r="68" spans="1:16">
      <c r="A68" s="934" t="s">
        <v>1041</v>
      </c>
      <c r="B68" s="964"/>
      <c r="C68" s="920"/>
      <c r="D68" s="1286"/>
      <c r="E68" s="1286"/>
      <c r="F68" s="925"/>
      <c r="G68" s="923"/>
      <c r="H68" s="1286"/>
      <c r="I68" s="925"/>
      <c r="J68" s="1287"/>
      <c r="K68" s="932"/>
      <c r="L68" s="927"/>
      <c r="N68" s="900"/>
    </row>
    <row r="69" spans="1:16">
      <c r="A69" s="952"/>
      <c r="B69" s="954"/>
      <c r="D69" s="949"/>
      <c r="E69" s="949"/>
      <c r="F69" s="949"/>
      <c r="G69" s="950"/>
      <c r="H69" s="949"/>
      <c r="I69" s="949"/>
      <c r="J69" s="949"/>
      <c r="K69" s="950"/>
      <c r="M69" s="938"/>
      <c r="N69" s="938"/>
      <c r="O69" s="938"/>
      <c r="P69" s="938"/>
    </row>
    <row r="70" spans="1:16">
      <c r="A70" s="968" t="s">
        <v>1062</v>
      </c>
      <c r="B70" s="954"/>
      <c r="D70" s="949"/>
      <c r="E70" s="949"/>
      <c r="F70" s="949"/>
      <c r="G70" s="950"/>
      <c r="H70" s="949"/>
      <c r="I70" s="949"/>
      <c r="J70" s="949"/>
      <c r="K70" s="950"/>
      <c r="N70" s="900"/>
    </row>
    <row r="71" spans="1:16" ht="58">
      <c r="A71" s="967" t="s">
        <v>1063</v>
      </c>
      <c r="B71" s="964"/>
      <c r="C71" s="920" t="s">
        <v>1029</v>
      </c>
      <c r="D71" s="930">
        <v>-102.5</v>
      </c>
      <c r="E71" s="930"/>
      <c r="F71" s="925"/>
      <c r="G71" s="923" t="str">
        <f t="shared" ref="G71:G73" si="3">IF($B$4="ESO2", $B$4&amp; " " &amp;"PCFM - see Tax Allowance in 'System Operator' worksheet",  $B$4&amp; " " &amp;"PCFM - see Tax Allowance in 'Finance &amp;Tax' worksheet")</f>
        <v>GD2 PCFM - see Tax Allowance in 'Finance &amp;Tax' worksheet</v>
      </c>
      <c r="H71" s="931">
        <v>-15.6</v>
      </c>
      <c r="I71" s="966"/>
      <c r="J71" s="1015">
        <f>IF(E$11&lt;&gt;"",IF(OR(B$11="No Filing Date","Enter Filing Date",E$11&lt;D$11),"Error in Filing Date",IF('R8a - Tax Reconciliation'!B$11="Original Filing",D71-H71,E71-H71)),IF(OR(B$11="No Filing Date","Enter Filing Date"),"Error in Filing Date",IF('R8a - Tax Reconciliation'!B$11="Original Filing",D71-H71,E71-H71)))</f>
        <v>-86.9</v>
      </c>
      <c r="K71" s="932" t="str">
        <f>IF(OR(J71&gt;=Data!$C$10,J71&lt;=-Data!$C$10), "Material", "Immaterial")</f>
        <v>Material</v>
      </c>
      <c r="L71" s="933" t="s">
        <v>1174</v>
      </c>
      <c r="M71" s="938"/>
      <c r="N71" s="938"/>
      <c r="O71" s="938"/>
      <c r="P71" s="938"/>
    </row>
    <row r="72" spans="1:16" ht="43.5">
      <c r="A72" s="967" t="s">
        <v>1064</v>
      </c>
      <c r="B72" s="964"/>
      <c r="C72" s="920" t="s">
        <v>1029</v>
      </c>
      <c r="D72" s="930">
        <v>-138.9</v>
      </c>
      <c r="E72" s="930"/>
      <c r="F72" s="925"/>
      <c r="G72" s="923" t="str">
        <f t="shared" si="3"/>
        <v>GD2 PCFM - see Tax Allowance in 'Finance &amp;Tax' worksheet</v>
      </c>
      <c r="H72" s="931">
        <v>-15.4</v>
      </c>
      <c r="I72" s="966"/>
      <c r="J72" s="1015">
        <f>IF(E$11&lt;&gt;"",IF(OR(B$11="No Filing Date","Enter Filing Date",E$11&lt;D$11),"Error in Filing Date",IF('R8a - Tax Reconciliation'!B$11="Original Filing",D72-H72,E72-H72)),IF(OR(B$11="No Filing Date","Enter Filing Date"),"Error in Filing Date",IF('R8a - Tax Reconciliation'!B$11="Original Filing",D72-H72,E72-H72)))</f>
        <v>-123.5</v>
      </c>
      <c r="K72" s="932" t="str">
        <f>IF(OR(J72&gt;=Data!$C$10,J72&lt;=-Data!$C$10), "Material", "Immaterial")</f>
        <v>Material</v>
      </c>
      <c r="L72" s="933" t="s">
        <v>1175</v>
      </c>
      <c r="M72" s="938"/>
      <c r="N72" s="938"/>
      <c r="O72" s="938"/>
      <c r="P72" s="938"/>
    </row>
    <row r="73" spans="1:16">
      <c r="A73" s="967" t="s">
        <v>1065</v>
      </c>
      <c r="B73" s="964"/>
      <c r="C73" s="920" t="s">
        <v>1029</v>
      </c>
      <c r="D73" s="930">
        <v>-8.9446999999999999E-2</v>
      </c>
      <c r="E73" s="930"/>
      <c r="F73" s="925"/>
      <c r="G73" s="923" t="str">
        <f t="shared" si="3"/>
        <v>GD2 PCFM - see Tax Allowance in 'Finance &amp;Tax' worksheet</v>
      </c>
      <c r="H73" s="931">
        <v>0</v>
      </c>
      <c r="I73" s="966"/>
      <c r="J73" s="1015">
        <f>IF(E$11&lt;&gt;"",IF(OR(B$11="No Filing Date","Enter Filing Date",E$11&lt;D$11),"Error in Filing Date",IF('R8a - Tax Reconciliation'!B$11="Original Filing",D73-H73,E73-H73)),IF(OR(B$11="No Filing Date","Enter Filing Date"),"Error in Filing Date",IF('R8a - Tax Reconciliation'!B$11="Original Filing",D73-H73,E73-H73)))</f>
        <v>-8.9446999999999999E-2</v>
      </c>
      <c r="K73" s="932" t="str">
        <f>IF(OR(J73&gt;=Data!$C$10,J73&lt;=-Data!$C$10), "Material", "Immaterial")</f>
        <v>Immaterial</v>
      </c>
      <c r="L73" s="933">
        <v>0</v>
      </c>
      <c r="M73" s="938"/>
      <c r="N73" s="938"/>
      <c r="O73" s="938"/>
      <c r="P73" s="938"/>
    </row>
    <row r="74" spans="1:16">
      <c r="A74" s="967" t="s">
        <v>1066</v>
      </c>
      <c r="B74" s="964"/>
      <c r="C74" s="920" t="s">
        <v>1029</v>
      </c>
      <c r="D74" s="930">
        <v>0</v>
      </c>
      <c r="E74" s="930"/>
      <c r="F74" s="925"/>
      <c r="G74" s="923"/>
      <c r="H74" s="931">
        <v>0</v>
      </c>
      <c r="I74" s="925"/>
      <c r="J74" s="1015">
        <f>IF(E$11&lt;&gt;"",IF(OR(B$11="No Filing Date","Enter Filing Date",E$11&lt;D$11),"Error in Filing Date",IF('R8a - Tax Reconciliation'!B$11="Original Filing",D74-H74,E74-H74)),IF(OR(B$11="No Filing Date","Enter Filing Date"),"Error in Filing Date",IF('R8a - Tax Reconciliation'!B$11="Original Filing",D74-H74,E74-H74)))</f>
        <v>0</v>
      </c>
      <c r="K74" s="932" t="str">
        <f>IF(OR(J74&gt;=Data!$C$10,J74&lt;=-Data!$C$10), "Material", "Immaterial")</f>
        <v>Immaterial</v>
      </c>
      <c r="L74" s="933">
        <v>0</v>
      </c>
      <c r="M74" s="938"/>
      <c r="N74" s="938"/>
      <c r="O74" s="938"/>
      <c r="P74" s="938"/>
    </row>
    <row r="75" spans="1:16" s="920" customFormat="1" ht="43.5">
      <c r="A75" s="967" t="s">
        <v>1067</v>
      </c>
      <c r="B75" s="964"/>
      <c r="C75" s="920" t="s">
        <v>1029</v>
      </c>
      <c r="D75" s="930">
        <v>-16.7</v>
      </c>
      <c r="E75" s="930"/>
      <c r="F75" s="925"/>
      <c r="G75" s="923"/>
      <c r="H75" s="930"/>
      <c r="I75" s="925"/>
      <c r="J75" s="1015">
        <f>IF(E$11&lt;&gt;"",IF(OR(B$11="No Filing Date","Enter Filing Date",E$11&lt;D$11),"Error in Filing Date",IF('R8a - Tax Reconciliation'!B$11="Original Filing",D75-H75,E75-H75)),IF(OR(B$11="No Filing Date","Enter Filing Date"),"Error in Filing Date",IF('R8a - Tax Reconciliation'!B$11="Original Filing",D75-H75,E75-H75)))</f>
        <v>-16.7</v>
      </c>
      <c r="K75" s="932" t="str">
        <f>IF(OR(J75&gt;=Data!$C$10,J75&lt;=-Data!$C$10), "Material", "Immaterial")</f>
        <v>Material</v>
      </c>
      <c r="L75" s="933" t="s">
        <v>1176</v>
      </c>
      <c r="N75" s="938"/>
    </row>
    <row r="76" spans="1:16">
      <c r="A76" s="967" t="s">
        <v>1068</v>
      </c>
      <c r="B76" s="964"/>
      <c r="C76" s="920" t="s">
        <v>1029</v>
      </c>
      <c r="D76" s="930">
        <v>0</v>
      </c>
      <c r="E76" s="930"/>
      <c r="F76" s="925"/>
      <c r="G76" s="923"/>
      <c r="H76" s="930"/>
      <c r="I76" s="925"/>
      <c r="J76" s="1015">
        <f>IF(E$11&lt;&gt;"",IF(OR(B$11="No Filing Date","Enter Filing Date",E$11&lt;D$11),"Error in Filing Date",IF('R8a - Tax Reconciliation'!B$11="Original Filing",D76-H76,E76-H76)),IF(OR(B$11="No Filing Date","Enter Filing Date"),"Error in Filing Date",IF('R8a - Tax Reconciliation'!B$11="Original Filing",D76-H76,E76-H76)))</f>
        <v>0</v>
      </c>
      <c r="K76" s="932" t="str">
        <f>IF(OR(J76&gt;=Data!$C$10,J76&lt;=-Data!$C$10), "Material", "Immaterial")</f>
        <v>Immaterial</v>
      </c>
      <c r="L76" s="933">
        <v>0</v>
      </c>
      <c r="M76" s="938"/>
      <c r="N76" s="938"/>
      <c r="O76" s="938"/>
      <c r="P76" s="938"/>
    </row>
    <row r="77" spans="1:16">
      <c r="A77" s="967" t="s">
        <v>1179</v>
      </c>
      <c r="B77" s="964"/>
      <c r="C77" s="920" t="s">
        <v>1029</v>
      </c>
      <c r="D77" s="930">
        <v>-1</v>
      </c>
      <c r="E77" s="930"/>
      <c r="F77" s="925"/>
      <c r="G77" s="923"/>
      <c r="H77" s="930"/>
      <c r="I77" s="925"/>
      <c r="J77" s="1015">
        <f>IF(E$11&lt;&gt;"",IF(OR(B$11="No Filing Date","Enter Filing Date",E$11&lt;D$11),"Error in Filing Date",IF('R8a - Tax Reconciliation'!B$11="Original Filing",D77-H77,E77-H77)),IF(OR(B$11="No Filing Date","Enter Filing Date"),"Error in Filing Date",IF('R8a - Tax Reconciliation'!B$11="Original Filing",D77-H77,E77-H77)))</f>
        <v>-1</v>
      </c>
      <c r="K77" s="932" t="str">
        <f>IF(OR(J77&gt;=Data!$C$10,J77&lt;=-Data!$C$10), "Material", "Immaterial")</f>
        <v>Immaterial</v>
      </c>
      <c r="L77" s="933">
        <v>0</v>
      </c>
      <c r="M77" s="938"/>
      <c r="N77" s="938"/>
      <c r="O77" s="938"/>
      <c r="P77" s="938"/>
    </row>
    <row r="78" spans="1:16">
      <c r="A78" s="967" t="s">
        <v>1041</v>
      </c>
      <c r="B78" s="964"/>
      <c r="C78" s="920" t="s">
        <v>1029</v>
      </c>
      <c r="D78" s="930">
        <v>0</v>
      </c>
      <c r="E78" s="930"/>
      <c r="F78" s="925"/>
      <c r="G78" s="923"/>
      <c r="H78" s="930"/>
      <c r="I78" s="925"/>
      <c r="J78" s="1015">
        <f>IF(E$11&lt;&gt;"",IF(OR(B$11="No Filing Date","Enter Filing Date",E$11&lt;D$11),"Error in Filing Date",IF('R8a - Tax Reconciliation'!B$11="Original Filing",D78-H78,E78-H78)),IF(OR(B$11="No Filing Date","Enter Filing Date"),"Error in Filing Date",IF('R8a - Tax Reconciliation'!B$11="Original Filing",D78-H78,E78-H78)))</f>
        <v>0</v>
      </c>
      <c r="K78" s="932" t="str">
        <f>IF(OR(J78&gt;=Data!$C$10,J78&lt;=-Data!$C$10), "Material", "Immaterial")</f>
        <v>Immaterial</v>
      </c>
      <c r="L78" s="933">
        <v>0</v>
      </c>
      <c r="M78" s="938"/>
      <c r="N78" s="938"/>
      <c r="O78" s="938"/>
      <c r="P78" s="938"/>
    </row>
    <row r="79" spans="1:16">
      <c r="A79" s="967"/>
      <c r="B79" s="964"/>
      <c r="C79" s="920" t="s">
        <v>1029</v>
      </c>
      <c r="D79" s="930">
        <v>0</v>
      </c>
      <c r="E79" s="930"/>
      <c r="F79" s="925"/>
      <c r="G79" s="923"/>
      <c r="H79" s="930"/>
      <c r="I79" s="925"/>
      <c r="J79" s="1015">
        <f>IF(E$11&lt;&gt;"",IF(OR(B$11="No Filing Date","Enter Filing Date",E$11&lt;D$11),"Error in Filing Date",IF('R8a - Tax Reconciliation'!B$11="Original Filing",D79-H79,E79-H79)),IF(OR(B$11="No Filing Date","Enter Filing Date"),"Error in Filing Date",IF('R8a - Tax Reconciliation'!B$11="Original Filing",D79-H79,E79-H79)))</f>
        <v>0</v>
      </c>
      <c r="K79" s="932" t="str">
        <f>IF(OR(J79&gt;=Data!$C$10,J79&lt;=-Data!$C$10), "Material", "Immaterial")</f>
        <v>Immaterial</v>
      </c>
      <c r="L79" s="933">
        <v>0</v>
      </c>
      <c r="M79" s="938"/>
      <c r="N79" s="938"/>
      <c r="O79" s="938"/>
      <c r="P79" s="938"/>
    </row>
    <row r="80" spans="1:16" s="920" customFormat="1">
      <c r="A80" s="1407" t="s">
        <v>1069</v>
      </c>
      <c r="B80" s="1408"/>
      <c r="C80" s="898"/>
      <c r="D80" s="949"/>
      <c r="E80" s="949"/>
      <c r="F80" s="949"/>
      <c r="G80" s="950"/>
      <c r="H80" s="949"/>
      <c r="I80" s="949"/>
      <c r="J80" s="950"/>
      <c r="K80" s="950"/>
      <c r="L80" s="933">
        <v>0</v>
      </c>
      <c r="N80" s="938"/>
    </row>
    <row r="81" spans="1:17">
      <c r="A81" s="969" t="s">
        <v>1070</v>
      </c>
      <c r="B81" s="970"/>
      <c r="C81" s="920" t="s">
        <v>1029</v>
      </c>
      <c r="D81" s="930">
        <v>0</v>
      </c>
      <c r="E81" s="930"/>
      <c r="F81" s="922"/>
      <c r="G81" s="923"/>
      <c r="H81" s="930"/>
      <c r="I81" s="925"/>
      <c r="J81" s="1015">
        <f>IF(E$11&lt;&gt;"",IF(OR(B$11="No Filing Date","Enter Filing Date",E$11&lt;D$11),"Error in Filing Date",IF('R8a - Tax Reconciliation'!B$11="Original Filing",D81-H81,E81-H81)),IF(OR(B$11="No Filing Date","Enter Filing Date"),"Error in Filing Date",IF('R8a - Tax Reconciliation'!B$11="Original Filing",D81-H81,E81-H81)))</f>
        <v>0</v>
      </c>
      <c r="K81" s="932" t="str">
        <f>IF(OR(J81&gt;=Data!$C$10,J81&lt;=-Data!$C$10), "Material", "Immaterial")</f>
        <v>Immaterial</v>
      </c>
      <c r="L81" s="933">
        <v>0</v>
      </c>
      <c r="M81" s="938"/>
      <c r="N81" s="938"/>
      <c r="O81" s="938"/>
      <c r="P81" s="938"/>
    </row>
    <row r="82" spans="1:17" ht="29">
      <c r="A82" s="969" t="s">
        <v>1071</v>
      </c>
      <c r="B82" s="970"/>
      <c r="C82" s="920" t="s">
        <v>1029</v>
      </c>
      <c r="D82" s="930">
        <v>-158.10355799999999</v>
      </c>
      <c r="E82" s="930"/>
      <c r="F82" s="922"/>
      <c r="G82" s="923"/>
      <c r="H82" s="930"/>
      <c r="I82" s="925"/>
      <c r="J82" s="1015">
        <f>IF(E$11&lt;&gt;"",IF(OR(B$11="No Filing Date","Enter Filing Date",E$11&lt;D$11),"Error in Filing Date",IF('R8a - Tax Reconciliation'!B$11="Original Filing",D82-H82,E82-H82)),IF(OR(B$11="No Filing Date","Enter Filing Date"),"Error in Filing Date",IF('R8a - Tax Reconciliation'!B$11="Original Filing",D82-H82,E82-H82)))</f>
        <v>-158.10355799999999</v>
      </c>
      <c r="K82" s="932" t="str">
        <f>IF(OR(J82&gt;=Data!$C$10,J82&lt;=-Data!$C$10), "Material", "Immaterial")</f>
        <v>Material</v>
      </c>
      <c r="L82" s="933" t="s">
        <v>1177</v>
      </c>
      <c r="M82" s="938"/>
      <c r="N82" s="938"/>
      <c r="O82" s="938"/>
      <c r="P82" s="938"/>
    </row>
    <row r="83" spans="1:17" ht="29">
      <c r="A83" s="934" t="s">
        <v>1072</v>
      </c>
      <c r="B83" s="935"/>
      <c r="C83" s="920" t="s">
        <v>1029</v>
      </c>
      <c r="D83" s="930">
        <v>-1.6142559999999999</v>
      </c>
      <c r="E83" s="930"/>
      <c r="F83" s="922"/>
      <c r="G83" s="923"/>
      <c r="H83" s="930"/>
      <c r="I83" s="925"/>
      <c r="J83" s="1015">
        <f>IF(E$11&lt;&gt;"",IF(OR(B$11="No Filing Date","Enter Filing Date",E$11&lt;D$11),"Error in Filing Date",IF('R8a - Tax Reconciliation'!B$11="Original Filing",D83-H83,E83-H83)),IF(OR(B$11="No Filing Date","Enter Filing Date"),"Error in Filing Date",IF('R8a - Tax Reconciliation'!B$11="Original Filing",D83-H83,E83-H83)))</f>
        <v>-1.6142559999999999</v>
      </c>
      <c r="K83" s="932" t="str">
        <f>IF(OR(J83&gt;=Data!$C$10,J83&lt;=-Data!$C$10), "Material", "Immaterial")</f>
        <v>Immaterial</v>
      </c>
      <c r="L83" s="933" t="s">
        <v>1178</v>
      </c>
      <c r="M83" s="938"/>
      <c r="N83" s="938"/>
      <c r="O83" s="938"/>
      <c r="P83" s="938"/>
    </row>
    <row r="84" spans="1:17">
      <c r="A84" s="934" t="s">
        <v>1073</v>
      </c>
      <c r="B84" s="935"/>
      <c r="C84" s="920" t="s">
        <v>1029</v>
      </c>
      <c r="D84" s="930">
        <v>0</v>
      </c>
      <c r="E84" s="930"/>
      <c r="F84" s="922"/>
      <c r="G84" s="923"/>
      <c r="H84" s="930"/>
      <c r="I84" s="925"/>
      <c r="J84" s="1015">
        <f>IF(E$11&lt;&gt;"",IF(OR(B$11="No Filing Date","Enter Filing Date",E$11&lt;D$11),"Error in Filing Date",IF('R8a - Tax Reconciliation'!B$11="Original Filing",D84-H84,E84-H84)),IF(OR(B$11="No Filing Date","Enter Filing Date"),"Error in Filing Date",IF('R8a - Tax Reconciliation'!B$11="Original Filing",D84-H84,E84-H84)))</f>
        <v>0</v>
      </c>
      <c r="K84" s="932" t="str">
        <f>IF(OR(J84&gt;=Data!$C$10,J84&lt;=-Data!$C$10), "Material", "Immaterial")</f>
        <v>Immaterial</v>
      </c>
      <c r="L84" s="933">
        <v>0</v>
      </c>
      <c r="M84" s="938"/>
      <c r="N84" s="938"/>
      <c r="O84" s="938"/>
      <c r="P84" s="938"/>
    </row>
    <row r="85" spans="1:17">
      <c r="A85" s="934" t="s">
        <v>1074</v>
      </c>
      <c r="B85" s="935"/>
      <c r="C85" s="920" t="s">
        <v>1029</v>
      </c>
      <c r="D85" s="930">
        <v>0</v>
      </c>
      <c r="E85" s="930"/>
      <c r="F85" s="922"/>
      <c r="G85" s="923"/>
      <c r="H85" s="930"/>
      <c r="I85" s="925"/>
      <c r="J85" s="1015">
        <f>IF(E$11&lt;&gt;"",IF(OR(B$11="No Filing Date","Enter Filing Date",E$11&lt;D$11),"Error in Filing Date",IF('R8a - Tax Reconciliation'!B$11="Original Filing",D85-H85,E85-H85)),IF(OR(B$11="No Filing Date","Enter Filing Date"),"Error in Filing Date",IF('R8a - Tax Reconciliation'!B$11="Original Filing",D85-H85,E85-H85)))</f>
        <v>0</v>
      </c>
      <c r="K85" s="932" t="str">
        <f>IF(OR(J85&gt;=Data!$C$10,J85&lt;=-Data!$C$10), "Material", "Immaterial")</f>
        <v>Immaterial</v>
      </c>
      <c r="L85" s="933">
        <v>0</v>
      </c>
      <c r="M85" s="920"/>
      <c r="N85" s="938"/>
      <c r="O85" s="920"/>
      <c r="P85" s="920"/>
      <c r="Q85" s="920"/>
    </row>
    <row r="86" spans="1:17">
      <c r="A86" s="934" t="s">
        <v>1075</v>
      </c>
      <c r="B86" s="935"/>
      <c r="C86" s="920" t="s">
        <v>1029</v>
      </c>
      <c r="D86" s="930">
        <v>0</v>
      </c>
      <c r="E86" s="930"/>
      <c r="F86" s="922"/>
      <c r="G86" s="923"/>
      <c r="H86" s="930"/>
      <c r="I86" s="925"/>
      <c r="J86" s="1015">
        <f>IF(E$11&lt;&gt;"",IF(OR(B$11="No Filing Date","Enter Filing Date",E$11&lt;D$11),"Error in Filing Date",IF('R8a - Tax Reconciliation'!B$11="Original Filing",D86-H86,E86-H86)),IF(OR(B$11="No Filing Date","Enter Filing Date"),"Error in Filing Date",IF('R8a - Tax Reconciliation'!B$11="Original Filing",D86-H86,E86-H86)))</f>
        <v>0</v>
      </c>
      <c r="K86" s="932" t="str">
        <f>IF(OR(J86&gt;=Data!$C$10,J86&lt;=-Data!$C$10), "Material", "Immaterial")</f>
        <v>Immaterial</v>
      </c>
      <c r="L86" s="933">
        <v>0</v>
      </c>
      <c r="M86" s="938"/>
      <c r="N86" s="938"/>
      <c r="O86" s="938"/>
      <c r="P86" s="938"/>
    </row>
    <row r="87" spans="1:17">
      <c r="A87" s="934" t="s">
        <v>1180</v>
      </c>
      <c r="B87" s="935"/>
      <c r="C87" s="920" t="s">
        <v>1029</v>
      </c>
      <c r="D87" s="930">
        <v>0.31226900000000002</v>
      </c>
      <c r="E87" s="930"/>
      <c r="F87" s="922"/>
      <c r="G87" s="923"/>
      <c r="H87" s="930"/>
      <c r="I87" s="925"/>
      <c r="J87" s="1015">
        <f>IF(E$11&lt;&gt;"",IF(OR(B$11="No Filing Date","Enter Filing Date",E$11&lt;D$11),"Error in Filing Date",IF('R8a - Tax Reconciliation'!B$11="Original Filing",D87-H87,E87-H87)),IF(OR(B$11="No Filing Date","Enter Filing Date"),"Error in Filing Date",IF('R8a - Tax Reconciliation'!B$11="Original Filing",D87-H87,E87-H87)))</f>
        <v>0.31226900000000002</v>
      </c>
      <c r="K87" s="932" t="str">
        <f>IF(OR(J87&gt;=Data!$C$10,J87&lt;=-Data!$C$10), "Material", "Immaterial")</f>
        <v>Immaterial</v>
      </c>
      <c r="L87" s="933">
        <v>0</v>
      </c>
      <c r="M87" s="938"/>
      <c r="N87" s="938"/>
      <c r="O87" s="938"/>
      <c r="P87" s="938"/>
    </row>
    <row r="88" spans="1:17" ht="29">
      <c r="A88" s="934" t="s">
        <v>1181</v>
      </c>
      <c r="B88" s="972"/>
      <c r="C88" s="920" t="s">
        <v>1029</v>
      </c>
      <c r="D88" s="930">
        <v>-29</v>
      </c>
      <c r="E88" s="930"/>
      <c r="F88" s="922"/>
      <c r="G88" s="923"/>
      <c r="H88" s="930"/>
      <c r="I88" s="925"/>
      <c r="J88" s="1015">
        <f>IF(E$11&lt;&gt;"",IF(OR(B$11="No Filing Date","Enter Filing Date",E$11&lt;D$11),"Error in Filing Date",IF('R8a - Tax Reconciliation'!B$11="Original Filing",D88-H88,E88-H88)),IF(OR(B$11="No Filing Date","Enter Filing Date"),"Error in Filing Date",IF('R8a - Tax Reconciliation'!B$11="Original Filing",D88-H88,E88-H88)))</f>
        <v>-29</v>
      </c>
      <c r="K88" s="932" t="str">
        <f>IF(OR(J88&gt;=Data!$C$10,J88&lt;=-Data!$C$10), "Material", "Immaterial")</f>
        <v>Material</v>
      </c>
      <c r="L88" s="933" t="s">
        <v>1177</v>
      </c>
      <c r="M88" s="938"/>
      <c r="N88" s="938"/>
      <c r="O88" s="938"/>
      <c r="P88" s="938"/>
    </row>
    <row r="89" spans="1:17">
      <c r="A89" s="934"/>
      <c r="B89" s="919"/>
      <c r="C89" s="920"/>
      <c r="D89" s="1288"/>
      <c r="E89" s="1288"/>
      <c r="F89" s="922"/>
      <c r="G89" s="923"/>
      <c r="H89" s="1288"/>
      <c r="I89" s="925"/>
      <c r="J89" s="1287"/>
      <c r="K89" s="932"/>
      <c r="L89" s="1285">
        <v>0</v>
      </c>
      <c r="M89" s="938"/>
      <c r="N89" s="938"/>
      <c r="O89" s="938"/>
      <c r="P89" s="938"/>
    </row>
    <row r="90" spans="1:17">
      <c r="D90" s="973"/>
      <c r="E90" s="973"/>
      <c r="F90" s="949"/>
      <c r="G90" s="950"/>
      <c r="H90" s="973"/>
      <c r="I90" s="949"/>
      <c r="J90" s="949"/>
      <c r="K90" s="950"/>
      <c r="L90" s="1285">
        <v>0</v>
      </c>
      <c r="M90" s="938"/>
      <c r="N90" s="938"/>
      <c r="O90" s="938"/>
      <c r="P90" s="938"/>
    </row>
    <row r="91" spans="1:17">
      <c r="A91" s="1411" t="s">
        <v>1076</v>
      </c>
      <c r="B91" s="1412"/>
      <c r="C91" s="964" t="s">
        <v>1029</v>
      </c>
      <c r="D91" s="1009">
        <f>SUM(D44:D90)</f>
        <v>513.00799945999893</v>
      </c>
      <c r="E91" s="1009">
        <f>SUM(E44:E90)</f>
        <v>0</v>
      </c>
      <c r="F91" s="965"/>
      <c r="G91" s="945" t="s">
        <v>1077</v>
      </c>
      <c r="H91" s="1009">
        <f>SUM(H44:H90)</f>
        <v>116.39609162872978</v>
      </c>
      <c r="I91" s="966"/>
      <c r="J91" s="1009">
        <f>SUM(J44:J90)</f>
        <v>396.61190783126909</v>
      </c>
      <c r="K91" s="932" t="str">
        <f>IF(OR(J91&gt;=Data!$C$10,J91&lt;=-Data!$C$10), "Material", "Immaterial")</f>
        <v>Material</v>
      </c>
      <c r="L91" s="1285">
        <v>0</v>
      </c>
      <c r="M91" s="947"/>
      <c r="N91" s="947"/>
      <c r="O91" s="947"/>
      <c r="P91" s="947"/>
    </row>
    <row r="92" spans="1:17">
      <c r="A92" s="974"/>
      <c r="B92" s="974"/>
      <c r="C92" s="920"/>
      <c r="D92" s="975"/>
      <c r="E92" s="975"/>
      <c r="F92" s="922"/>
      <c r="G92" s="922"/>
      <c r="H92" s="975"/>
      <c r="I92" s="925"/>
      <c r="J92" s="976"/>
      <c r="K92" s="932"/>
      <c r="L92" s="927"/>
      <c r="M92" s="947"/>
      <c r="N92" s="947"/>
      <c r="O92" s="947"/>
      <c r="P92" s="947"/>
    </row>
    <row r="93" spans="1:17">
      <c r="A93" s="948" t="s">
        <v>1078</v>
      </c>
      <c r="B93" s="977"/>
      <c r="C93" s="920"/>
      <c r="D93" s="922"/>
      <c r="E93" s="922"/>
      <c r="F93" s="922"/>
      <c r="G93" s="922"/>
      <c r="H93" s="922"/>
      <c r="I93" s="925"/>
      <c r="J93" s="925"/>
      <c r="K93" s="932"/>
      <c r="L93" s="927"/>
      <c r="M93" s="947"/>
      <c r="N93" s="947"/>
      <c r="O93" s="947"/>
      <c r="P93" s="947"/>
    </row>
    <row r="94" spans="1:17">
      <c r="A94" s="978"/>
      <c r="B94" s="979"/>
      <c r="C94" s="920"/>
      <c r="D94" s="922"/>
      <c r="E94" s="922"/>
      <c r="F94" s="922"/>
      <c r="G94" s="922"/>
      <c r="H94" s="922"/>
      <c r="I94" s="925"/>
      <c r="J94" s="925"/>
      <c r="K94" s="932"/>
      <c r="L94" s="927"/>
      <c r="M94" s="947"/>
      <c r="N94" s="947"/>
      <c r="O94" s="947"/>
      <c r="P94" s="947"/>
      <c r="Q94" s="920"/>
    </row>
    <row r="95" spans="1:17">
      <c r="A95" s="962" t="s">
        <v>1079</v>
      </c>
      <c r="B95" s="980"/>
      <c r="D95" s="956"/>
      <c r="E95" s="981"/>
      <c r="F95" s="956"/>
      <c r="G95" s="957"/>
      <c r="H95" s="981"/>
      <c r="I95" s="949"/>
      <c r="J95" s="949"/>
      <c r="K95" s="950"/>
      <c r="M95" s="947"/>
      <c r="N95" s="947"/>
      <c r="O95" s="947"/>
      <c r="P95" s="947"/>
    </row>
    <row r="96" spans="1:17" s="920" customFormat="1">
      <c r="A96" s="934" t="s">
        <v>1080</v>
      </c>
      <c r="B96" s="979"/>
      <c r="C96" s="920" t="s">
        <v>1029</v>
      </c>
      <c r="D96" s="930"/>
      <c r="E96" s="930"/>
      <c r="F96" s="922"/>
      <c r="G96" s="923" t="str">
        <f t="shared" ref="G96:G100" si="4">IF($B$4="ESO2", $B$4&amp; " " &amp;"PCFM - see Tax Allowance in 'System Operator' worksheet",  $B$4&amp; " " &amp;"PCFM - see Tax Allowance in 'Finance &amp;Tax' worksheet")</f>
        <v>GD2 PCFM - see Tax Allowance in 'Finance &amp;Tax' worksheet</v>
      </c>
      <c r="H96" s="931"/>
      <c r="I96" s="925"/>
      <c r="J96" s="1015">
        <f>IF(E$11&lt;&gt;"",IF(OR(B$11="No Filing Date","Enter Filing Date",E$11&lt;D$11),"Error in Filing Date",IF('R8a - Tax Reconciliation'!B$11="Original Filing",D96-H96,E96-H96)),IF(OR(B$11="No Filing Date","Enter Filing Date"),"Error in Filing Date",IF('R8a - Tax Reconciliation'!B$11="Original Filing",D96-H96,E96-H96)))</f>
        <v>0</v>
      </c>
      <c r="K96" s="932" t="str">
        <f>IF(OR(J96&gt;=Data!$C$10,J96&lt;=-Data!$C$10), "Material", "Immaterial")</f>
        <v>Immaterial</v>
      </c>
      <c r="L96" s="933">
        <v>0</v>
      </c>
      <c r="M96" s="947"/>
      <c r="N96" s="947"/>
      <c r="O96" s="947"/>
      <c r="P96" s="947"/>
    </row>
    <row r="97" spans="1:16" s="920" customFormat="1">
      <c r="A97" s="934" t="s">
        <v>1081</v>
      </c>
      <c r="B97" s="979"/>
      <c r="C97" s="920" t="s">
        <v>1029</v>
      </c>
      <c r="D97" s="930"/>
      <c r="E97" s="930"/>
      <c r="F97" s="922"/>
      <c r="G97" s="923" t="str">
        <f t="shared" si="4"/>
        <v>GD2 PCFM - see Tax Allowance in 'Finance &amp;Tax' worksheet</v>
      </c>
      <c r="H97" s="931"/>
      <c r="I97" s="925"/>
      <c r="J97" s="1015">
        <f>IF(E$11&lt;&gt;"",IF(OR(B$11="No Filing Date","Enter Filing Date",E$11&lt;D$11),"Error in Filing Date",IF('R8a - Tax Reconciliation'!B$11="Original Filing",D97-H97,E97-H97)),IF(OR(B$11="No Filing Date","Enter Filing Date"),"Error in Filing Date",IF('R8a - Tax Reconciliation'!B$11="Original Filing",D97-H97,E97-H97)))</f>
        <v>0</v>
      </c>
      <c r="K97" s="932" t="str">
        <f>IF(OR(J97&gt;=Data!$C$10,J97&lt;=-Data!$C$10), "Material", "Immaterial")</f>
        <v>Immaterial</v>
      </c>
      <c r="L97" s="933">
        <v>0</v>
      </c>
      <c r="M97" s="947"/>
      <c r="N97" s="947"/>
      <c r="O97" s="947"/>
      <c r="P97" s="947"/>
    </row>
    <row r="98" spans="1:16" s="920" customFormat="1">
      <c r="A98" s="934" t="s">
        <v>1082</v>
      </c>
      <c r="B98" s="979"/>
      <c r="C98" s="920" t="s">
        <v>1029</v>
      </c>
      <c r="D98" s="982"/>
      <c r="E98" s="982"/>
      <c r="F98" s="922"/>
      <c r="G98" s="923" t="str">
        <f t="shared" si="4"/>
        <v>GD2 PCFM - see Tax Allowance in 'Finance &amp;Tax' worksheet</v>
      </c>
      <c r="H98" s="931"/>
      <c r="I98" s="925"/>
      <c r="J98" s="1015">
        <f>IF(E$11&lt;&gt;"",IF(OR(B$11="No Filing Date","Enter Filing Date",E$11&lt;D$11),"Error in Filing Date",IF('R8a - Tax Reconciliation'!B$11="Original Filing",D98-H98,E98-H98)),IF(OR(B$11="No Filing Date","Enter Filing Date"),"Error in Filing Date",IF('R8a - Tax Reconciliation'!B$11="Original Filing",D98-H98,E98-H98)))</f>
        <v>0</v>
      </c>
      <c r="K98" s="932" t="str">
        <f>IF(OR(J98&gt;=Data!$C$10,J98&lt;=-Data!$C$10), "Material", "Immaterial")</f>
        <v>Immaterial</v>
      </c>
      <c r="L98" s="933">
        <v>0</v>
      </c>
      <c r="M98" s="947"/>
      <c r="N98" s="947"/>
      <c r="O98" s="947"/>
      <c r="P98" s="947"/>
    </row>
    <row r="99" spans="1:16" s="920" customFormat="1">
      <c r="A99" s="934" t="s">
        <v>1083</v>
      </c>
      <c r="B99" s="979"/>
      <c r="C99" s="920" t="s">
        <v>1029</v>
      </c>
      <c r="D99" s="982"/>
      <c r="E99" s="982"/>
      <c r="F99" s="922"/>
      <c r="G99" s="923" t="str">
        <f t="shared" si="4"/>
        <v>GD2 PCFM - see Tax Allowance in 'Finance &amp;Tax' worksheet</v>
      </c>
      <c r="H99" s="931"/>
      <c r="I99" s="925"/>
      <c r="J99" s="1015">
        <f>IF(E$11&lt;&gt;"",IF(OR(B$11="No Filing Date","Enter Filing Date",E$11&lt;D$11),"Error in Filing Date",IF('R8a - Tax Reconciliation'!B$11="Original Filing",D99-H99,E99-H99)),IF(OR(B$11="No Filing Date","Enter Filing Date"),"Error in Filing Date",IF('R8a - Tax Reconciliation'!B$11="Original Filing",D99-H99,E99-H99)))</f>
        <v>0</v>
      </c>
      <c r="K99" s="932" t="str">
        <f>IF(OR(J99&gt;=Data!$C$10,J99&lt;=-Data!$C$10), "Material", "Immaterial")</f>
        <v>Immaterial</v>
      </c>
      <c r="L99" s="933">
        <v>0</v>
      </c>
      <c r="M99" s="947"/>
      <c r="N99" s="947"/>
      <c r="O99" s="947"/>
      <c r="P99" s="947"/>
    </row>
    <row r="100" spans="1:16" s="920" customFormat="1" ht="43.5">
      <c r="A100" s="934" t="s">
        <v>1084</v>
      </c>
      <c r="B100" s="979"/>
      <c r="C100" s="920" t="s">
        <v>1029</v>
      </c>
      <c r="D100" s="930"/>
      <c r="E100" s="930"/>
      <c r="F100" s="922"/>
      <c r="G100" s="923" t="str">
        <f t="shared" si="4"/>
        <v>GD2 PCFM - see Tax Allowance in 'Finance &amp;Tax' worksheet</v>
      </c>
      <c r="H100" s="931">
        <v>23.3</v>
      </c>
      <c r="I100" s="925"/>
      <c r="J100" s="1015">
        <f>IF(E$11&lt;&gt;"",IF(OR(B$11="No Filing Date","Enter Filing Date",E$11&lt;D$11),"Error in Filing Date",IF('R8a - Tax Reconciliation'!B$11="Original Filing",D100-H100,E100-H100)),IF(OR(B$11="No Filing Date","Enter Filing Date"),"Error in Filing Date",IF('R8a - Tax Reconciliation'!B$11="Original Filing",D100-H100,E100-H100)))</f>
        <v>-23.3</v>
      </c>
      <c r="K100" s="932" t="str">
        <f>IF(OR(J100&gt;=Data!$C$10,J100&lt;=-Data!$C$10), "Material", "Immaterial")</f>
        <v>Material</v>
      </c>
      <c r="L100" s="933" t="s">
        <v>1182</v>
      </c>
      <c r="M100" s="947"/>
      <c r="N100" s="947"/>
      <c r="O100" s="947"/>
      <c r="P100" s="947"/>
    </row>
    <row r="101" spans="1:16" s="920" customFormat="1">
      <c r="A101" s="971" t="s">
        <v>1085</v>
      </c>
      <c r="B101" s="972"/>
      <c r="C101" s="920" t="s">
        <v>1029</v>
      </c>
      <c r="D101" s="930"/>
      <c r="E101" s="930"/>
      <c r="F101" s="922"/>
      <c r="G101" s="923"/>
      <c r="H101" s="930"/>
      <c r="I101" s="925"/>
      <c r="J101" s="1015">
        <f>IF(E$11&lt;&gt;"",IF(OR(B$11="No Filing Date","Enter Filing Date",E$11&lt;D$11),"Error in Filing Date",IF('R8a - Tax Reconciliation'!B$11="Original Filing",D101-H101,E101-H101)),IF(OR(B$11="No Filing Date","Enter Filing Date"),"Error in Filing Date",IF('R8a - Tax Reconciliation'!B$11="Original Filing",D101-H101,E101-H101)))</f>
        <v>0</v>
      </c>
      <c r="K101" s="932" t="str">
        <f>IF(OR(J101&gt;=Data!$C$10,J101&lt;=-Data!$C$10), "Material", "Immaterial")</f>
        <v>Immaterial</v>
      </c>
      <c r="L101" s="933">
        <v>0</v>
      </c>
      <c r="M101" s="947"/>
      <c r="N101" s="947"/>
      <c r="O101" s="947"/>
      <c r="P101" s="947"/>
    </row>
    <row r="102" spans="1:16" s="920" customFormat="1">
      <c r="A102" s="898"/>
      <c r="B102" s="898"/>
      <c r="C102" s="898"/>
      <c r="D102" s="973"/>
      <c r="E102" s="973"/>
      <c r="F102" s="949"/>
      <c r="G102" s="950"/>
      <c r="H102" s="973"/>
      <c r="I102" s="949"/>
      <c r="J102" s="973"/>
      <c r="K102" s="950"/>
      <c r="L102" s="933">
        <v>0</v>
      </c>
      <c r="M102" s="947"/>
      <c r="N102" s="947"/>
      <c r="O102" s="947"/>
      <c r="P102" s="947"/>
    </row>
    <row r="103" spans="1:16" s="920" customFormat="1">
      <c r="A103" s="1235" t="s">
        <v>1086</v>
      </c>
      <c r="B103" s="1234"/>
      <c r="C103" s="964" t="s">
        <v>1029</v>
      </c>
      <c r="D103" s="1008">
        <f>MAX(D91-D100,0)</f>
        <v>513.00799945999893</v>
      </c>
      <c r="E103" s="1008">
        <f>MAX(E91-E100,0)</f>
        <v>0</v>
      </c>
      <c r="F103" s="1266"/>
      <c r="G103" s="1232" t="s">
        <v>1087</v>
      </c>
      <c r="H103" s="1008">
        <f>MAX(H91-H100,0)</f>
        <v>93.096091628729781</v>
      </c>
      <c r="I103" s="949"/>
      <c r="J103" s="1015">
        <f>IF(E$11&lt;&gt;"",IF(OR(B$11="No Filing Date","Enter Filing Date",E$11&lt;D$11),"Error in Filing Date",IF('R8a - Tax Reconciliation'!B$11="Original Filing",D103-H103,E103-H103)),IF(OR(B$11="No Filing Date","Enter Filing Date"),"Error in Filing Date",IF('R8a - Tax Reconciliation'!B$11="Original Filing",D103-H103,E103-H103)))</f>
        <v>419.91190783126916</v>
      </c>
      <c r="K103" s="932" t="str">
        <f>IF(OR(J103&gt;=Data!$C$10,J103&lt;=-Data!$C$10), "Material", "Immaterial")</f>
        <v>Material</v>
      </c>
      <c r="L103" s="933">
        <v>0</v>
      </c>
      <c r="M103" s="947"/>
      <c r="N103" s="947"/>
      <c r="O103" s="947"/>
      <c r="P103" s="947"/>
    </row>
    <row r="104" spans="1:16" s="920" customFormat="1">
      <c r="A104" s="983"/>
      <c r="B104" s="984"/>
      <c r="C104" s="898"/>
      <c r="D104" s="949"/>
      <c r="E104" s="949"/>
      <c r="F104" s="949"/>
      <c r="G104" s="949"/>
      <c r="H104" s="950"/>
      <c r="I104" s="950"/>
      <c r="J104" s="950"/>
      <c r="K104" s="950"/>
      <c r="L104" s="951"/>
      <c r="M104" s="947"/>
      <c r="N104" s="947"/>
      <c r="O104" s="947"/>
      <c r="P104" s="947"/>
    </row>
    <row r="105" spans="1:16" s="985" customFormat="1">
      <c r="A105" s="1236" t="s">
        <v>1088</v>
      </c>
      <c r="B105" s="1237"/>
      <c r="C105" s="985" t="s">
        <v>1029</v>
      </c>
      <c r="D105" s="1008">
        <f>+D103*D13</f>
        <v>97.471519897399801</v>
      </c>
      <c r="E105" s="1008">
        <f>+E103*E13</f>
        <v>0</v>
      </c>
      <c r="F105" s="941"/>
      <c r="G105" s="1233" t="s">
        <v>1089</v>
      </c>
      <c r="H105" s="1008">
        <f>+H103*H13</f>
        <v>17.688257409458657</v>
      </c>
      <c r="I105" s="941"/>
      <c r="J105" s="1008">
        <f>IF(E$11&lt;&gt;"",IF(OR(B$11="No Filing Date","Enter Filing Date",E$11&lt;D$11),"Error in Filing Date",IF('R8a - Tax Reconciliation'!B$11="Original Filing",D105-H105,E105-H105)),IF(OR(B$11="No Filing Date","Enter Filing Date"),"Error in Filing Date",IF('R8a - Tax Reconciliation'!B$11="Original Filing",D105-H105,E105-H105)))</f>
        <v>79.783262487941144</v>
      </c>
      <c r="K105" s="942" t="str">
        <f>IF(OR(J105&gt;=Data!$C$11,J105&lt;=-Data!$C$11), "Material", "Immaterial")</f>
        <v>Material</v>
      </c>
      <c r="L105" s="1292"/>
      <c r="M105" s="986"/>
      <c r="N105" s="986"/>
      <c r="O105" s="986"/>
      <c r="P105" s="986"/>
    </row>
    <row r="106" spans="1:16" s="945" customFormat="1">
      <c r="H106" s="987"/>
      <c r="L106" s="1293"/>
    </row>
    <row r="107" spans="1:16" s="988" customFormat="1">
      <c r="A107" s="1406" t="s">
        <v>1090</v>
      </c>
      <c r="B107" s="1406"/>
      <c r="C107" s="988" t="s">
        <v>915</v>
      </c>
      <c r="D107" s="1010">
        <f>INDEX(Data!$E$34:$L$34,MATCH($B$6,Data!$E$33:$L$33,0))</f>
        <v>1.1799638149272795</v>
      </c>
      <c r="E107" s="1010">
        <f>INDEX(Data!$E$34:$L$34,MATCH($B$6,Data!$E$33:$L$33,0))</f>
        <v>1.1799638149272795</v>
      </c>
      <c r="F107" s="989"/>
      <c r="G107" s="957" t="s">
        <v>1091</v>
      </c>
      <c r="H107" s="1012">
        <f>INDEX(Data!$E$34:$L$34,MATCH($B$6,Data!$E$33:$L$33,0))</f>
        <v>1.1799638149272795</v>
      </c>
      <c r="I107" s="990"/>
      <c r="J107" s="990"/>
      <c r="K107" s="991"/>
      <c r="L107" s="1294"/>
    </row>
    <row r="108" spans="1:16" s="999" customFormat="1" ht="15.5">
      <c r="A108" s="992" t="s">
        <v>1088</v>
      </c>
      <c r="B108" s="993"/>
      <c r="C108" s="994" t="str">
        <f>IF($B$4="ED","20/21 Prices","18/19 Prices")</f>
        <v>18/19 Prices</v>
      </c>
      <c r="D108" s="1011">
        <f>D105/D107</f>
        <v>82.605516088141158</v>
      </c>
      <c r="E108" s="1011">
        <f>E105/E107</f>
        <v>0</v>
      </c>
      <c r="F108" s="995"/>
      <c r="G108" s="996" t="s">
        <v>1092</v>
      </c>
      <c r="H108" s="1013">
        <f>H105/H107</f>
        <v>14.99050834075685</v>
      </c>
      <c r="I108" s="997"/>
      <c r="J108" s="1014">
        <f>IF(OR(B$11="No Filing Date","Enter Filing Date"),"Error in Filing Date",IF('R8a - Tax Reconciliation'!B$11="Original Filing",D108-H108,E108-H108))</f>
        <v>67.615007747384311</v>
      </c>
      <c r="K108" s="998"/>
      <c r="L108" s="1295"/>
      <c r="M108" s="998"/>
      <c r="N108" s="998"/>
      <c r="O108" s="998"/>
      <c r="P108" s="998"/>
    </row>
    <row r="109" spans="1:16">
      <c r="C109" s="1000"/>
      <c r="D109" s="949"/>
      <c r="E109" s="949"/>
      <c r="F109" s="949"/>
      <c r="G109" s="950"/>
      <c r="H109" s="923"/>
      <c r="I109" s="949"/>
      <c r="J109" s="949"/>
      <c r="K109" s="950"/>
      <c r="N109" s="900"/>
    </row>
    <row r="110" spans="1:16">
      <c r="D110" s="1001"/>
      <c r="E110" s="1001"/>
      <c r="F110" s="1001"/>
      <c r="G110" s="1002"/>
      <c r="H110" s="1001"/>
      <c r="I110" s="1001"/>
      <c r="J110" s="1001"/>
      <c r="K110" s="1002"/>
      <c r="N110" s="900"/>
    </row>
    <row r="114" spans="2:6">
      <c r="B114" s="1003"/>
    </row>
    <row r="115" spans="2:6">
      <c r="B115" s="1003"/>
    </row>
    <row r="120" spans="2:6">
      <c r="F120" s="1004"/>
    </row>
    <row r="121" spans="2:6">
      <c r="F121" s="1005"/>
    </row>
  </sheetData>
  <sheetProtection formatCells="0" insertRows="0" sort="0" autoFilter="0" pivotTables="0"/>
  <mergeCells count="19">
    <mergeCell ref="A107:B107"/>
    <mergeCell ref="A80:B80"/>
    <mergeCell ref="A35:B35"/>
    <mergeCell ref="A36:B36"/>
    <mergeCell ref="A39:B39"/>
    <mergeCell ref="A41:B41"/>
    <mergeCell ref="A42:B42"/>
    <mergeCell ref="A38:B38"/>
    <mergeCell ref="A91:B91"/>
    <mergeCell ref="A54:B54"/>
    <mergeCell ref="L8:L9"/>
    <mergeCell ref="A13:B13"/>
    <mergeCell ref="A26:B26"/>
    <mergeCell ref="A27:B27"/>
    <mergeCell ref="A7:B7"/>
    <mergeCell ref="A8:B9"/>
    <mergeCell ref="C8:C9"/>
    <mergeCell ref="G8:G9"/>
    <mergeCell ref="A17:B17"/>
  </mergeCells>
  <pageMargins left="0.23622047244094491" right="0.23622047244094491" top="0.74803149606299213" bottom="0.74803149606299213" header="0.31496062992125984" footer="0.31496062992125984"/>
  <pageSetup paperSize="9" scale="37" fitToHeight="0" orientation="landscape" r:id="rId1"/>
  <headerFooter>
    <oddFooter>&amp;L&amp;F&amp;C_x000D_&amp;1#&amp;"Calibri"&amp;10&amp;K000000 OFFICIAL-InternalOnly&amp;R&amp;D</oddFooter>
  </headerFooter>
  <customProperties>
    <customPr name="_pios_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zoomScaleNormal="100" workbookViewId="0">
      <selection activeCell="A6" sqref="A6"/>
    </sheetView>
  </sheetViews>
  <sheetFormatPr defaultColWidth="9" defaultRowHeight="13.5"/>
  <cols>
    <col min="1" max="1" width="8.3828125" style="114" customWidth="1"/>
    <col min="2" max="2" width="77.23046875" style="114" bestFit="1" customWidth="1"/>
    <col min="3" max="3" width="14.15234375" style="114" customWidth="1"/>
    <col min="4" max="8" width="11.15234375" style="114" customWidth="1"/>
    <col min="9" max="9" width="6.61328125" style="114" bestFit="1" customWidth="1"/>
    <col min="10" max="16384" width="9" style="114"/>
  </cols>
  <sheetData>
    <row r="1" spans="1:10" ht="20">
      <c r="A1" s="324" t="s">
        <v>1093</v>
      </c>
      <c r="B1" s="326"/>
      <c r="C1" s="327"/>
      <c r="D1" s="327"/>
      <c r="E1" s="327"/>
      <c r="F1" s="327"/>
      <c r="G1" s="327"/>
      <c r="H1" s="327"/>
      <c r="I1" s="456"/>
    </row>
    <row r="2" spans="1:10" ht="20">
      <c r="A2" s="329" t="str">
        <f>Licensee</f>
        <v>Cadent-NW</v>
      </c>
      <c r="B2" s="331"/>
      <c r="C2" s="332"/>
      <c r="D2" s="332"/>
      <c r="E2" s="332"/>
      <c r="F2" s="332"/>
      <c r="G2" s="332"/>
      <c r="H2" s="332"/>
      <c r="I2" s="334"/>
    </row>
    <row r="3" spans="1:10" ht="20">
      <c r="A3" s="331">
        <f>Reporting_Year</f>
        <v>2024</v>
      </c>
      <c r="B3" s="555"/>
      <c r="C3" s="335"/>
      <c r="D3" s="335"/>
      <c r="E3" s="335"/>
      <c r="F3" s="335"/>
      <c r="G3" s="335"/>
      <c r="H3" s="335"/>
      <c r="I3" s="337"/>
    </row>
    <row r="4" spans="1:10" s="339" customFormat="1" ht="12.75" customHeight="1">
      <c r="B4" s="480"/>
      <c r="C4" s="114"/>
      <c r="D4" s="777"/>
      <c r="E4" s="777"/>
    </row>
    <row r="5" spans="1:10" s="339" customFormat="1" ht="12.75" customHeight="1">
      <c r="B5" s="480"/>
      <c r="C5" s="114"/>
      <c r="D5" s="1042" t="str">
        <f t="shared" ref="D5:H5" si="0">IF(D6&lt;=Reporting_Year,"Actuals","Forecast")</f>
        <v>Actuals</v>
      </c>
      <c r="E5" s="1042" t="str">
        <f t="shared" si="0"/>
        <v>Actuals</v>
      </c>
      <c r="F5" s="1042" t="str">
        <f t="shared" si="0"/>
        <v>Actuals</v>
      </c>
      <c r="G5" s="1042" t="str">
        <f t="shared" si="0"/>
        <v>Forecast</v>
      </c>
      <c r="H5" s="1042" t="str">
        <f t="shared" si="0"/>
        <v>Forecast</v>
      </c>
      <c r="I5" s="467"/>
    </row>
    <row r="6" spans="1:10" s="339" customFormat="1">
      <c r="C6" s="114"/>
      <c r="D6" s="562">
        <f>'RFPR cover'!$C$6</f>
        <v>2022</v>
      </c>
      <c r="E6" s="562">
        <f>D6+1</f>
        <v>2023</v>
      </c>
      <c r="F6" s="562">
        <f t="shared" ref="F6:H6" si="1">E6+1</f>
        <v>2024</v>
      </c>
      <c r="G6" s="562">
        <f t="shared" si="1"/>
        <v>2025</v>
      </c>
      <c r="H6" s="562">
        <f t="shared" si="1"/>
        <v>2026</v>
      </c>
      <c r="I6" s="467"/>
    </row>
    <row r="7" spans="1:10" s="339" customFormat="1">
      <c r="D7" s="457" t="str">
        <f>RIIO_2_start_date-1&amp;"/"&amp;RIGHT(RIIO_2_start_date,2)</f>
        <v>2021/22</v>
      </c>
      <c r="E7" s="457" t="str">
        <f>RIIO_2_start_date&amp;"/"&amp;RIGHT(RIIO_2_start_date+1,2)</f>
        <v>2022/23</v>
      </c>
      <c r="F7" s="457" t="str">
        <f>RIIO_2_start_date+1&amp;"/"&amp;RIGHT(RIIO_2_start_date+2,2)</f>
        <v>2023/24</v>
      </c>
      <c r="G7" s="457" t="str">
        <f>RIIO_2_start_date+2&amp;"/"&amp;RIGHT(RIIO_2_start_date+3,2)</f>
        <v>2024/25</v>
      </c>
      <c r="H7" s="562" t="str">
        <f>RIIO_2_start_date+3&amp;"/"&amp;RIGHT(RIIO_2_start_date+4,2)</f>
        <v>2025/26</v>
      </c>
      <c r="I7" s="467"/>
    </row>
    <row r="8" spans="1:10" s="339" customFormat="1">
      <c r="I8" s="467"/>
    </row>
    <row r="9" spans="1:10" s="339" customFormat="1">
      <c r="B9" s="1043" t="s">
        <v>1094</v>
      </c>
      <c r="C9" s="392"/>
      <c r="D9" s="393"/>
      <c r="E9" s="393"/>
      <c r="F9" s="393"/>
      <c r="G9" s="393"/>
      <c r="H9" s="393"/>
      <c r="I9" s="467"/>
    </row>
    <row r="10" spans="1:10" s="339" customFormat="1">
      <c r="B10" s="482"/>
      <c r="C10" s="29"/>
      <c r="I10" s="467"/>
    </row>
    <row r="11" spans="1:10" s="339" customFormat="1">
      <c r="B11" s="482"/>
      <c r="C11" s="29"/>
      <c r="I11" s="467"/>
    </row>
    <row r="12" spans="1:10">
      <c r="B12" s="429" t="s">
        <v>1095</v>
      </c>
      <c r="C12" s="29" t="s">
        <v>522</v>
      </c>
      <c r="D12" s="496">
        <v>5.672798278250303</v>
      </c>
      <c r="E12" s="496">
        <v>5.6437889323232087</v>
      </c>
      <c r="F12" s="1044">
        <f>SUM(F14:F15)</f>
        <v>0</v>
      </c>
      <c r="G12" s="1044"/>
      <c r="H12" s="1044"/>
      <c r="I12" s="467"/>
      <c r="J12" s="339"/>
    </row>
    <row r="13" spans="1:10">
      <c r="B13" s="564" t="s">
        <v>1096</v>
      </c>
      <c r="D13" s="860"/>
      <c r="E13" s="860"/>
      <c r="F13" s="860"/>
      <c r="G13" s="860"/>
      <c r="H13" s="860"/>
      <c r="J13" s="339"/>
    </row>
    <row r="14" spans="1:10">
      <c r="B14" s="114" t="s">
        <v>1097</v>
      </c>
      <c r="C14" s="29" t="s">
        <v>522</v>
      </c>
      <c r="D14" s="496">
        <v>7.8821960522478731</v>
      </c>
      <c r="E14" s="496">
        <v>7.8418883697375463</v>
      </c>
      <c r="F14" s="1044">
        <v>0</v>
      </c>
      <c r="G14" s="1044"/>
      <c r="H14" s="1044"/>
      <c r="I14" s="467"/>
      <c r="J14" s="339"/>
    </row>
    <row r="15" spans="1:10">
      <c r="B15" s="114" t="s">
        <v>1098</v>
      </c>
      <c r="C15" s="29" t="s">
        <v>522</v>
      </c>
      <c r="D15" s="496">
        <v>-2.2093977739975701</v>
      </c>
      <c r="E15" s="496">
        <v>-2.1980994374143377</v>
      </c>
      <c r="F15" s="1044">
        <v>0</v>
      </c>
      <c r="G15" s="1044"/>
      <c r="H15" s="1044"/>
      <c r="I15" s="467"/>
      <c r="J15" s="339"/>
    </row>
    <row r="16" spans="1:10">
      <c r="D16" s="860"/>
      <c r="E16" s="860"/>
      <c r="F16" s="860"/>
      <c r="G16" s="860"/>
      <c r="H16" s="860"/>
      <c r="I16" s="467"/>
      <c r="J16" s="339"/>
    </row>
    <row r="17" spans="2:10">
      <c r="D17" s="860"/>
      <c r="E17" s="860"/>
      <c r="F17" s="860"/>
      <c r="G17" s="860"/>
      <c r="H17" s="860"/>
      <c r="I17" s="467"/>
      <c r="J17" s="339"/>
    </row>
    <row r="18" spans="2:10">
      <c r="B18" s="114" t="s">
        <v>1097</v>
      </c>
      <c r="C18" s="841" t="str">
        <f>Data!$C$9</f>
        <v>£m 18/19</v>
      </c>
      <c r="D18" s="240">
        <f t="shared" ref="D18:H18" si="2">D$14/INDEX(real_to_nominal_CF,MATCH(D6,calendar_year,0))</f>
        <v>7.2661465007567054</v>
      </c>
      <c r="E18" s="240">
        <f t="shared" si="2"/>
        <v>6.6458719077083197</v>
      </c>
      <c r="F18" s="240">
        <f t="shared" si="2"/>
        <v>0</v>
      </c>
      <c r="G18" s="240">
        <f t="shared" si="2"/>
        <v>0</v>
      </c>
      <c r="H18" s="240">
        <f t="shared" si="2"/>
        <v>0</v>
      </c>
      <c r="I18" s="467"/>
      <c r="J18" s="339"/>
    </row>
    <row r="19" spans="2:10">
      <c r="D19" s="860"/>
      <c r="E19" s="860"/>
      <c r="F19" s="860"/>
      <c r="G19" s="860"/>
      <c r="H19" s="860"/>
      <c r="I19" s="467"/>
      <c r="J19" s="339"/>
    </row>
    <row r="20" spans="2:10">
      <c r="D20" s="860"/>
      <c r="E20" s="860"/>
      <c r="F20" s="860"/>
      <c r="G20" s="860"/>
      <c r="H20" s="860"/>
      <c r="I20" s="467"/>
      <c r="J20" s="339"/>
    </row>
    <row r="21" spans="2:10" s="339" customFormat="1">
      <c r="B21" s="429" t="s">
        <v>1099</v>
      </c>
      <c r="C21" s="841" t="str">
        <f>Data!$C$9</f>
        <v>£m 18/19</v>
      </c>
      <c r="D21" s="850">
        <v>6.5933369003796098</v>
      </c>
      <c r="E21" s="850">
        <v>3.110751350813671</v>
      </c>
      <c r="F21" s="850">
        <v>0</v>
      </c>
      <c r="G21" s="850">
        <v>-1.8</v>
      </c>
      <c r="H21" s="850">
        <v>-1.8</v>
      </c>
      <c r="I21" s="339" t="s">
        <v>1150</v>
      </c>
    </row>
    <row r="22" spans="2:10" s="339" customFormat="1">
      <c r="B22" s="114" t="s">
        <v>1100</v>
      </c>
      <c r="C22" s="841" t="str">
        <f>Data!$C$9</f>
        <v>£m 18/19</v>
      </c>
      <c r="D22" s="496">
        <v>0.5</v>
      </c>
      <c r="E22" s="496">
        <v>0.5</v>
      </c>
      <c r="F22" s="776">
        <v>0</v>
      </c>
      <c r="G22" s="776">
        <v>-1.8</v>
      </c>
      <c r="H22" s="776">
        <v>-1.8</v>
      </c>
      <c r="I22" s="467"/>
    </row>
    <row r="23" spans="2:10" s="339" customFormat="1">
      <c r="B23" s="429" t="s">
        <v>1101</v>
      </c>
      <c r="C23" s="841" t="str">
        <f>Data!$C$9</f>
        <v>£m 18/19</v>
      </c>
      <c r="D23" s="240">
        <f>D21-D22</f>
        <v>6.0933369003796098</v>
      </c>
      <c r="E23" s="240">
        <f t="shared" ref="E23:H23" si="3">E21-E22</f>
        <v>2.610751350813671</v>
      </c>
      <c r="F23" s="240">
        <f t="shared" si="3"/>
        <v>0</v>
      </c>
      <c r="G23" s="240">
        <f t="shared" si="3"/>
        <v>0</v>
      </c>
      <c r="H23" s="240">
        <f t="shared" si="3"/>
        <v>0</v>
      </c>
      <c r="I23" s="467"/>
    </row>
    <row r="24" spans="2:10" s="339" customFormat="1">
      <c r="B24" s="429"/>
      <c r="C24" s="429"/>
      <c r="D24" s="429"/>
      <c r="E24" s="429"/>
      <c r="F24" s="429"/>
      <c r="G24" s="429"/>
      <c r="H24" s="429"/>
      <c r="I24" s="467"/>
    </row>
    <row r="25" spans="2:10" s="339" customFormat="1">
      <c r="B25" s="429"/>
      <c r="C25" s="429"/>
      <c r="D25" s="1413" t="s">
        <v>1102</v>
      </c>
      <c r="E25" s="429"/>
      <c r="F25" s="429"/>
      <c r="G25" s="429"/>
      <c r="H25" s="429"/>
      <c r="I25" s="467"/>
    </row>
    <row r="26" spans="2:10" s="339" customFormat="1" ht="12.75" customHeight="1">
      <c r="B26" s="429"/>
      <c r="C26" s="429"/>
      <c r="D26" s="1414"/>
      <c r="E26" s="429"/>
      <c r="F26" s="429"/>
      <c r="G26" s="429"/>
      <c r="H26" s="429"/>
      <c r="I26" s="467"/>
    </row>
    <row r="27" spans="2:10">
      <c r="C27" s="429"/>
      <c r="D27" s="1415"/>
      <c r="E27" s="429"/>
      <c r="F27" s="429"/>
      <c r="I27" s="467"/>
    </row>
    <row r="28" spans="2:10">
      <c r="B28" s="429" t="s">
        <v>1103</v>
      </c>
      <c r="C28" s="429"/>
      <c r="D28" s="1284">
        <v>44651</v>
      </c>
      <c r="E28" s="429"/>
      <c r="F28" s="429"/>
      <c r="I28" s="467"/>
    </row>
    <row r="29" spans="2:10">
      <c r="B29" s="429"/>
      <c r="C29" s="429"/>
      <c r="D29" s="1045"/>
      <c r="E29" s="429"/>
      <c r="F29" s="429"/>
      <c r="I29" s="467"/>
    </row>
    <row r="30" spans="2:10">
      <c r="B30" s="114" t="s">
        <v>1017</v>
      </c>
      <c r="C30" s="429"/>
      <c r="D30" s="496" t="s">
        <v>1157</v>
      </c>
      <c r="E30" s="429"/>
      <c r="F30" s="429"/>
      <c r="I30" s="467"/>
    </row>
    <row r="31" spans="2:10">
      <c r="C31" s="429"/>
      <c r="D31" s="429"/>
      <c r="E31" s="429"/>
      <c r="F31" s="429"/>
      <c r="H31"/>
      <c r="I31" s="467"/>
    </row>
    <row r="32" spans="2:10">
      <c r="B32" s="429"/>
      <c r="F32" s="429"/>
      <c r="I32" s="467"/>
    </row>
    <row r="33" spans="2:9">
      <c r="B33" s="114" t="s">
        <v>1104</v>
      </c>
      <c r="C33" s="1046" t="str">
        <f>"£m "&amp;$D$30</f>
        <v>£m 21/22</v>
      </c>
      <c r="D33" s="496">
        <v>238.39195799999999</v>
      </c>
      <c r="E33" s="429"/>
      <c r="F33" s="429"/>
      <c r="I33" s="467"/>
    </row>
    <row r="34" spans="2:9">
      <c r="B34" s="114" t="s">
        <v>1105</v>
      </c>
      <c r="C34" s="1046" t="str">
        <f>"£m "&amp;$D$30</f>
        <v>£m 21/22</v>
      </c>
      <c r="D34" s="496">
        <v>6196.6080419999998</v>
      </c>
      <c r="E34" s="429"/>
      <c r="F34" s="429"/>
      <c r="I34" s="467"/>
    </row>
    <row r="35" spans="2:9">
      <c r="C35" s="1047"/>
      <c r="D35" s="860"/>
      <c r="E35" s="429"/>
      <c r="F35" s="429"/>
      <c r="I35" s="467"/>
    </row>
    <row r="36" spans="2:9">
      <c r="B36" s="114" t="s">
        <v>1106</v>
      </c>
      <c r="C36" s="1046" t="str">
        <f>"£m "&amp;$D$30</f>
        <v>£m 21/22</v>
      </c>
      <c r="D36" s="496">
        <v>286.61980701200832</v>
      </c>
      <c r="I36" s="467"/>
    </row>
    <row r="37" spans="2:9">
      <c r="B37" s="114" t="s">
        <v>1107</v>
      </c>
      <c r="C37" s="1046" t="str">
        <f>"£m "&amp;$D$30</f>
        <v>£m 21/22</v>
      </c>
      <c r="D37" s="496">
        <v>6249.6801929879921</v>
      </c>
      <c r="I37" s="467"/>
    </row>
    <row r="38" spans="2:9">
      <c r="C38" s="1047"/>
      <c r="D38" s="860"/>
      <c r="I38" s="467"/>
    </row>
    <row r="39" spans="2:9">
      <c r="B39" s="575" t="s">
        <v>1108</v>
      </c>
      <c r="C39" s="1046" t="str">
        <f>"£m "&amp;$D$30</f>
        <v>£m 21/22</v>
      </c>
      <c r="D39" s="240">
        <f>D33-D36</f>
        <v>-48.227849012008335</v>
      </c>
      <c r="I39" s="467"/>
    </row>
    <row r="40" spans="2:9">
      <c r="B40" s="575" t="s">
        <v>1109</v>
      </c>
      <c r="C40" s="1046" t="str">
        <f>"£m "&amp;$D$30</f>
        <v>£m 21/22</v>
      </c>
      <c r="D40" s="240">
        <f>D34-D37</f>
        <v>-53.072150987992245</v>
      </c>
      <c r="I40" s="467"/>
    </row>
    <row r="41" spans="2:9">
      <c r="C41" s="1047"/>
      <c r="D41" s="860"/>
      <c r="I41" s="467"/>
    </row>
    <row r="42" spans="2:9">
      <c r="B42" s="114" t="s">
        <v>1110</v>
      </c>
      <c r="C42" s="1046" t="str">
        <f>"£m "&amp;$D$30</f>
        <v>£m 21/22</v>
      </c>
      <c r="D42" s="496">
        <v>9.6591314798145884</v>
      </c>
      <c r="I42" s="467"/>
    </row>
    <row r="43" spans="2:9">
      <c r="B43" s="114" t="s">
        <v>1111</v>
      </c>
      <c r="C43" s="1046" t="str">
        <f>"£m "&amp;$D$30</f>
        <v>£m 21/22</v>
      </c>
      <c r="D43" s="496">
        <v>9.6639961733264563</v>
      </c>
      <c r="I43" s="467"/>
    </row>
    <row r="44" spans="2:9">
      <c r="I44" s="467"/>
    </row>
    <row r="45" spans="2:9">
      <c r="I45" s="467"/>
    </row>
    <row r="46" spans="2:9">
      <c r="I46" s="467"/>
    </row>
    <row r="47" spans="2:9">
      <c r="B47" s="1043" t="s">
        <v>1112</v>
      </c>
      <c r="C47" s="392"/>
      <c r="D47" s="393"/>
      <c r="E47" s="393"/>
      <c r="F47" s="393"/>
      <c r="G47" s="393"/>
      <c r="H47" s="393"/>
      <c r="I47" s="467"/>
    </row>
    <row r="48" spans="2:9">
      <c r="I48" s="467"/>
    </row>
    <row r="49" spans="1:9">
      <c r="I49" s="467"/>
    </row>
    <row r="50" spans="1:9">
      <c r="I50" s="467"/>
    </row>
    <row r="51" spans="1:9">
      <c r="A51" s="339"/>
      <c r="B51" s="480"/>
      <c r="C51" s="480"/>
      <c r="D51" s="1042" t="str">
        <f t="shared" ref="D51:H51" si="4">IF(D52&lt;=Reporting_Year,"Actuals","Forecast")</f>
        <v>Actuals</v>
      </c>
      <c r="E51" s="1042" t="str">
        <f t="shared" si="4"/>
        <v>Actuals</v>
      </c>
      <c r="F51" s="1042" t="str">
        <f t="shared" si="4"/>
        <v>Actuals</v>
      </c>
      <c r="G51" s="1042" t="str">
        <f t="shared" si="4"/>
        <v>Forecast</v>
      </c>
      <c r="H51" s="1042" t="str">
        <f t="shared" si="4"/>
        <v>Forecast</v>
      </c>
      <c r="I51" s="467"/>
    </row>
    <row r="52" spans="1:9">
      <c r="A52" s="339"/>
      <c r="B52" s="339"/>
      <c r="C52" s="429"/>
      <c r="D52" s="562">
        <f>'RFPR cover'!$C$6</f>
        <v>2022</v>
      </c>
      <c r="E52" s="562">
        <f t="shared" ref="E52:H52" si="5">D52+1</f>
        <v>2023</v>
      </c>
      <c r="F52" s="562">
        <f t="shared" si="5"/>
        <v>2024</v>
      </c>
      <c r="G52" s="562">
        <f t="shared" si="5"/>
        <v>2025</v>
      </c>
      <c r="H52" s="562">
        <f t="shared" si="5"/>
        <v>2026</v>
      </c>
      <c r="I52" s="467"/>
    </row>
    <row r="53" spans="1:9">
      <c r="D53" s="1048"/>
      <c r="E53" s="1048"/>
      <c r="F53" s="1048"/>
      <c r="G53" s="1048"/>
      <c r="H53" s="1048"/>
      <c r="I53" s="467"/>
    </row>
    <row r="54" spans="1:9">
      <c r="B54" s="482" t="s">
        <v>1113</v>
      </c>
      <c r="C54" s="841" t="str">
        <f>Data!$C$9</f>
        <v>£m 18/19</v>
      </c>
      <c r="D54" s="242">
        <f>(D$62+D$67)/INDEX(real_to_nominal_CF,MATCH('R10 - Pensions &amp; Oth Activities'!D52,calendar_year,0))</f>
        <v>0.56163558666096347</v>
      </c>
      <c r="E54" s="242">
        <f>(E$62+E$67)/INDEX(real_to_nominal_CF,MATCH('R10 - Pensions &amp; Oth Activities'!E52,calendar_year,0))</f>
        <v>0.73266022785052887</v>
      </c>
      <c r="F54" s="242">
        <f>(F$62+F$67)/INDEX(real_to_nominal_CF,MATCH('R10 - Pensions &amp; Oth Activities'!F52,calendar_year,0))</f>
        <v>0.64449131986184605</v>
      </c>
      <c r="G54" s="242">
        <f>(G$62+G$67)/INDEX(real_to_nominal_CF,MATCH('R10 - Pensions &amp; Oth Activities'!G52,calendar_year,0))</f>
        <v>0.25872095044411575</v>
      </c>
      <c r="H54" s="242">
        <f>(H$62+H$67)/INDEX(real_to_nominal_CF,MATCH('R10 - Pensions &amp; Oth Activities'!H52,calendar_year,0))</f>
        <v>0.25480321612004342</v>
      </c>
      <c r="I54" s="467"/>
    </row>
    <row r="55" spans="1:9">
      <c r="D55" s="1048"/>
      <c r="E55" s="1048"/>
      <c r="F55" s="1048"/>
      <c r="G55" s="1048"/>
      <c r="H55" s="1048"/>
    </row>
    <row r="56" spans="1:9">
      <c r="B56" s="429" t="s">
        <v>1114</v>
      </c>
      <c r="D56" s="1048"/>
      <c r="E56" s="1048"/>
      <c r="F56" s="1048"/>
      <c r="G56" s="1048"/>
      <c r="H56" s="1048"/>
    </row>
    <row r="57" spans="1:9">
      <c r="B57" s="1049" t="s">
        <v>1115</v>
      </c>
      <c r="C57" s="29" t="s">
        <v>522</v>
      </c>
      <c r="D57" s="496">
        <v>0</v>
      </c>
      <c r="E57" s="496">
        <v>0</v>
      </c>
      <c r="F57" s="496">
        <v>0</v>
      </c>
      <c r="G57" s="496">
        <v>0</v>
      </c>
      <c r="H57" s="496">
        <v>0</v>
      </c>
    </row>
    <row r="58" spans="1:9">
      <c r="B58" s="1049" t="s">
        <v>1115</v>
      </c>
      <c r="C58" s="29" t="s">
        <v>522</v>
      </c>
      <c r="D58" s="496">
        <v>0</v>
      </c>
      <c r="E58" s="496">
        <v>0</v>
      </c>
      <c r="F58" s="496">
        <v>0</v>
      </c>
      <c r="G58" s="496">
        <v>0</v>
      </c>
      <c r="H58" s="496">
        <v>0</v>
      </c>
    </row>
    <row r="59" spans="1:9">
      <c r="B59" s="1049" t="s">
        <v>943</v>
      </c>
      <c r="C59" s="29" t="s">
        <v>522</v>
      </c>
      <c r="D59" s="496">
        <v>0</v>
      </c>
      <c r="E59" s="496">
        <v>0</v>
      </c>
      <c r="F59" s="496">
        <v>0</v>
      </c>
      <c r="G59" s="496">
        <v>0</v>
      </c>
      <c r="H59" s="496">
        <v>0</v>
      </c>
    </row>
    <row r="60" spans="1:9">
      <c r="B60" s="429" t="s">
        <v>1116</v>
      </c>
      <c r="C60" s="29" t="s">
        <v>522</v>
      </c>
      <c r="D60" s="242">
        <f t="shared" ref="D60:H60" si="6">SUM(D57:D59)</f>
        <v>0</v>
      </c>
      <c r="E60" s="242">
        <f t="shared" si="6"/>
        <v>0</v>
      </c>
      <c r="F60" s="242">
        <f t="shared" si="6"/>
        <v>0</v>
      </c>
      <c r="G60" s="242">
        <f t="shared" si="6"/>
        <v>0</v>
      </c>
      <c r="H60" s="242">
        <f t="shared" si="6"/>
        <v>0</v>
      </c>
    </row>
    <row r="61" spans="1:9">
      <c r="B61" s="339" t="s">
        <v>1117</v>
      </c>
      <c r="C61" s="29" t="s">
        <v>522</v>
      </c>
      <c r="D61" s="496">
        <v>0</v>
      </c>
      <c r="E61" s="496">
        <v>0</v>
      </c>
      <c r="F61" s="496">
        <v>0</v>
      </c>
      <c r="G61" s="496">
        <v>0</v>
      </c>
      <c r="H61" s="496">
        <v>0</v>
      </c>
    </row>
    <row r="62" spans="1:9">
      <c r="B62" s="482" t="s">
        <v>1118</v>
      </c>
      <c r="C62" s="29" t="s">
        <v>522</v>
      </c>
      <c r="D62" s="242">
        <f t="shared" ref="D62:H62" si="7">D60-D61</f>
        <v>0</v>
      </c>
      <c r="E62" s="242">
        <f t="shared" si="7"/>
        <v>0</v>
      </c>
      <c r="F62" s="242">
        <f t="shared" si="7"/>
        <v>0</v>
      </c>
      <c r="G62" s="242">
        <f t="shared" si="7"/>
        <v>0</v>
      </c>
      <c r="H62" s="242">
        <f t="shared" si="7"/>
        <v>0</v>
      </c>
    </row>
    <row r="64" spans="1:9">
      <c r="B64" s="429" t="s">
        <v>1119</v>
      </c>
      <c r="D64" s="1048"/>
      <c r="E64" s="1048"/>
      <c r="F64" s="1048"/>
      <c r="G64" s="1048"/>
      <c r="H64" s="1048"/>
    </row>
    <row r="65" spans="2:8">
      <c r="B65" s="1049" t="s">
        <v>1120</v>
      </c>
      <c r="C65" s="29" t="s">
        <v>522</v>
      </c>
      <c r="D65" s="496">
        <v>0.75216424000000004</v>
      </c>
      <c r="E65" s="496">
        <v>1.1526834099999999</v>
      </c>
      <c r="F65" s="496">
        <v>1.0702124199999998</v>
      </c>
      <c r="G65" s="496">
        <v>0.43953253893754357</v>
      </c>
      <c r="H65" s="496">
        <v>0.43953253893754357</v>
      </c>
    </row>
    <row r="66" spans="2:8">
      <c r="B66" s="339" t="s">
        <v>1117</v>
      </c>
      <c r="C66" s="29" t="s">
        <v>522</v>
      </c>
      <c r="D66" s="496">
        <v>0.14291120560000001</v>
      </c>
      <c r="E66" s="496">
        <v>0.28817085249999996</v>
      </c>
      <c r="F66" s="496">
        <f t="shared" ref="F66:H66" si="8">F65*0.25</f>
        <v>0.26755310499999996</v>
      </c>
      <c r="G66" s="496">
        <f t="shared" si="8"/>
        <v>0.10988313473438589</v>
      </c>
      <c r="H66" s="496">
        <f t="shared" si="8"/>
        <v>0.10988313473438589</v>
      </c>
    </row>
    <row r="67" spans="2:8">
      <c r="B67" s="482" t="s">
        <v>1121</v>
      </c>
      <c r="C67" s="29" t="s">
        <v>522</v>
      </c>
      <c r="D67" s="242">
        <f t="shared" ref="D67:H67" si="9">D65-D66</f>
        <v>0.6092530344</v>
      </c>
      <c r="E67" s="242">
        <f t="shared" si="9"/>
        <v>0.86451255749999989</v>
      </c>
      <c r="F67" s="242">
        <f t="shared" si="9"/>
        <v>0.80265931499999987</v>
      </c>
      <c r="G67" s="242">
        <f t="shared" si="9"/>
        <v>0.32964940420315769</v>
      </c>
      <c r="H67" s="242">
        <f t="shared" si="9"/>
        <v>0.32964940420315769</v>
      </c>
    </row>
  </sheetData>
  <sheetProtection insertRows="0" sort="0" autoFilter="0" pivotTables="0"/>
  <mergeCells count="1">
    <mergeCell ref="D25:D27"/>
  </mergeCells>
  <conditionalFormatting sqref="D25">
    <cfRule type="expression" dxfId="8" priority="10">
      <formula>AND(E$4="Actuals",F$4="Forecast")</formula>
    </cfRule>
  </conditionalFormatting>
  <conditionalFormatting sqref="D5:G6 I5:I12 I14:I54 D51:G52">
    <cfRule type="expression" dxfId="7" priority="13">
      <formula>AND(D$5="Actuals",E$5="Forecast")</formula>
    </cfRule>
  </conditionalFormatting>
  <conditionalFormatting sqref="D6:G6 D52:G52">
    <cfRule type="expression" dxfId="6" priority="20">
      <formula>AND(D$4="Actuals",E$4="Forecast")</formula>
    </cfRule>
  </conditionalFormatting>
  <conditionalFormatting sqref="D7:H7">
    <cfRule type="expression" dxfId="5" priority="1">
      <formula>AND(D$5="Actuals",E$5="Forecast")</formula>
    </cfRule>
  </conditionalFormatting>
  <conditionalFormatting sqref="F12:H12 F14:H15">
    <cfRule type="expression" dxfId="4" priority="14">
      <formula>F$5="Forecast"</formula>
    </cfRule>
    <cfRule type="expression" dxfId="3" priority="15">
      <formula>F$5="Actuals"</formula>
    </cfRule>
  </conditionalFormatting>
  <conditionalFormatting sqref="H5:H6 H51:H52">
    <cfRule type="expression" dxfId="2" priority="274">
      <formula>AND(H$5="Actuals",#REF!="Forecast")</formula>
    </cfRule>
  </conditionalFormatting>
  <conditionalFormatting sqref="H6 H52">
    <cfRule type="expression" dxfId="1" priority="266">
      <formula>AND(H$4="Actuals",#REF!="Forecast")</formula>
    </cfRule>
  </conditionalFormatting>
  <conditionalFormatting sqref="J17:J22">
    <cfRule type="expression" dxfId="0" priority="286">
      <formula>AND(I$5="Actuals",J$5="Forecast")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AD769-905E-4256-A59C-429A67119C6D}">
  <sheetPr>
    <tabColor theme="1"/>
  </sheetPr>
  <dimension ref="A1:E9"/>
  <sheetViews>
    <sheetView workbookViewId="0">
      <selection activeCell="B8" sqref="B8"/>
    </sheetView>
  </sheetViews>
  <sheetFormatPr defaultRowHeight="13.5"/>
  <cols>
    <col min="1" max="1" width="1.61328125" customWidth="1"/>
  </cols>
  <sheetData>
    <row r="1" spans="1:5">
      <c r="A1" s="1" t="s">
        <v>1122</v>
      </c>
    </row>
    <row r="4" spans="1:5">
      <c r="B4" s="47" t="s">
        <v>273</v>
      </c>
    </row>
    <row r="5" spans="1:5">
      <c r="B5" s="47" t="s">
        <v>274</v>
      </c>
      <c r="E5" s="47"/>
    </row>
    <row r="6" spans="1:5">
      <c r="B6" s="47" t="s">
        <v>275</v>
      </c>
    </row>
    <row r="7" spans="1:5">
      <c r="B7" s="47" t="s">
        <v>276</v>
      </c>
    </row>
    <row r="8" spans="1:5">
      <c r="B8" s="47" t="s">
        <v>277</v>
      </c>
    </row>
    <row r="9" spans="1:5">
      <c r="B9" s="47" t="s">
        <v>278</v>
      </c>
    </row>
  </sheetData>
  <hyperlinks>
    <hyperlink ref="B4" location="'F3 - Fixed Rate Debt'!A1" display="F3 - Fixed Rate Debt" xr:uid="{1D18CAE7-8D37-4918-B224-A931931223E4}"/>
    <hyperlink ref="B5" location="'F4 - Floating Rate Debt'!A1" display="F4 - Floating Rate Debt" xr:uid="{A2B28C7E-E6F5-40AF-8C0A-5DC246ED860C}"/>
    <hyperlink ref="B6" location="'F5 - Inflation Linked Debt'!A1" display="F5 - Inflation Linked Debt" xr:uid="{54E752C9-C20B-4DFD-81D5-F0E885CFE0DA}"/>
    <hyperlink ref="B7" location="'F6 - Debt Dataset'!A1" display="F6 - Debt Dataset" xr:uid="{C080F8BF-3B33-4B9B-82AA-F36815ED48B4}"/>
    <hyperlink ref="B8" location="'I1 - Universal Data'!A1" display="I1 - Universal Data" xr:uid="{9324DC15-6C37-4F65-A192-C53642FF46C9}"/>
    <hyperlink ref="B9" location="'I2 - Monthly Inflation'!A1" display="I2 - Monthly Inflation" xr:uid="{1731E8EF-63AD-4F42-99C5-F173463829BF}"/>
  </hyperlinks>
  <pageMargins left="0.7" right="0.7" top="0.75" bottom="0.75" header="0.3" footer="0.3"/>
  <customProperties>
    <customPr name="_pios_id" r:id="rId1"/>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4A33E-40F3-4C8F-88F8-90EA340CBBCC}">
  <sheetPr codeName="Sheet18">
    <tabColor rgb="FFFFFFCC"/>
    <pageSetUpPr autoPageBreaks="0"/>
  </sheetPr>
  <dimension ref="A1:AF37"/>
  <sheetViews>
    <sheetView workbookViewId="0">
      <selection activeCell="Q35" sqref="Q35"/>
    </sheetView>
  </sheetViews>
  <sheetFormatPr defaultColWidth="0" defaultRowHeight="15" customHeight="1" zeroHeight="1"/>
  <cols>
    <col min="1" max="1" width="19.15234375" style="267" customWidth="1"/>
    <col min="2" max="2" width="11.3828125" style="267" customWidth="1"/>
    <col min="3" max="3" width="10.4609375" style="267" customWidth="1"/>
    <col min="4" max="4" width="9" style="267" customWidth="1"/>
    <col min="5" max="15" width="10" style="267" customWidth="1"/>
    <col min="16" max="23" width="10" style="266" customWidth="1"/>
    <col min="24" max="32" width="10" style="266" hidden="1" customWidth="1"/>
    <col min="33" max="16384" width="9" style="266" hidden="1"/>
  </cols>
  <sheetData>
    <row r="1" spans="1:29" customFormat="1" ht="19.5">
      <c r="A1" s="272" t="str">
        <f ca="1">MID(CELL("filename",A1),FIND("]",CELL("filename",A1))+1,256)</f>
        <v>I1 - Universal Data</v>
      </c>
      <c r="B1" s="273"/>
      <c r="C1" s="273"/>
      <c r="D1" s="273"/>
      <c r="E1" s="273"/>
      <c r="F1" s="273"/>
      <c r="G1" s="273"/>
      <c r="H1" s="273"/>
      <c r="I1" s="273"/>
      <c r="J1" s="273"/>
      <c r="K1" s="273"/>
      <c r="L1" s="273"/>
      <c r="M1" s="273"/>
      <c r="N1" s="273"/>
      <c r="O1" s="273"/>
      <c r="P1" s="273"/>
      <c r="Q1" s="273"/>
      <c r="R1" s="273"/>
      <c r="S1" s="273"/>
      <c r="T1" s="273"/>
      <c r="U1" s="273"/>
      <c r="V1" s="273"/>
      <c r="W1" s="276"/>
      <c r="X1" s="1059"/>
      <c r="Y1" s="1059"/>
      <c r="Z1" s="1059"/>
      <c r="AA1" s="1059"/>
      <c r="AB1" s="1059"/>
    </row>
    <row r="2" spans="1:29" customFormat="1" ht="19.5">
      <c r="A2" s="272" t="str">
        <f>Licensee</f>
        <v>Cadent-NW</v>
      </c>
      <c r="B2" s="273"/>
      <c r="C2" s="273"/>
      <c r="D2" s="273"/>
      <c r="E2" s="273"/>
      <c r="F2" s="273"/>
      <c r="G2" s="273"/>
      <c r="H2" s="273"/>
      <c r="I2" s="273"/>
      <c r="J2" s="273"/>
      <c r="K2" s="273"/>
      <c r="L2" s="273"/>
      <c r="M2" s="273"/>
      <c r="N2" s="273"/>
      <c r="O2" s="273"/>
      <c r="P2" s="273"/>
      <c r="Q2" s="273"/>
      <c r="R2" s="273"/>
      <c r="S2" s="273"/>
      <c r="T2" s="273"/>
      <c r="U2" s="273"/>
      <c r="V2" s="273"/>
      <c r="W2" s="276"/>
      <c r="X2" s="1059"/>
      <c r="Y2" s="1059"/>
      <c r="Z2" s="1059"/>
      <c r="AA2" s="1059"/>
      <c r="AB2" s="1059"/>
    </row>
    <row r="3" spans="1:29" customFormat="1" ht="19.5">
      <c r="A3" s="274" t="str">
        <f>Sector</f>
        <v>GD2</v>
      </c>
      <c r="B3" s="275"/>
      <c r="C3" s="275"/>
      <c r="D3" s="275"/>
      <c r="E3" s="275"/>
      <c r="F3" s="275"/>
      <c r="G3" s="275"/>
      <c r="H3" s="275"/>
      <c r="I3" s="275"/>
      <c r="J3" s="275"/>
      <c r="K3" s="275"/>
      <c r="L3" s="275"/>
      <c r="M3" s="275"/>
      <c r="N3" s="275"/>
      <c r="O3" s="275"/>
      <c r="P3" s="275"/>
      <c r="Q3" s="275"/>
      <c r="R3" s="275"/>
      <c r="S3" s="275"/>
      <c r="T3" s="275"/>
      <c r="U3" s="275"/>
      <c r="V3" s="275"/>
      <c r="W3" s="277"/>
      <c r="X3" s="1059"/>
      <c r="Y3" s="1059"/>
      <c r="Z3" s="1059"/>
      <c r="AA3" s="1059"/>
      <c r="AB3" s="1059"/>
    </row>
    <row r="4" spans="1:29" ht="14.5">
      <c r="A4" s="1060"/>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2"/>
    </row>
    <row r="5" spans="1:29" ht="14.5">
      <c r="A5" s="1063" t="s">
        <v>1123</v>
      </c>
      <c r="B5" s="1064" t="s">
        <v>1124</v>
      </c>
      <c r="C5" s="1064" t="s">
        <v>1125</v>
      </c>
      <c r="D5" s="1065">
        <v>2015</v>
      </c>
      <c r="E5" s="1065">
        <v>2016</v>
      </c>
      <c r="F5" s="1065">
        <v>2017</v>
      </c>
      <c r="G5" s="1065">
        <v>2018</v>
      </c>
      <c r="H5" s="1065">
        <v>2019</v>
      </c>
      <c r="I5" s="1065">
        <v>2020</v>
      </c>
      <c r="J5" s="1065">
        <v>2021</v>
      </c>
      <c r="K5" s="1065">
        <v>2022</v>
      </c>
      <c r="L5" s="1065">
        <v>2023</v>
      </c>
      <c r="M5" s="1065">
        <f>L5+1</f>
        <v>2024</v>
      </c>
      <c r="N5" s="1065">
        <f>M5+1</f>
        <v>2025</v>
      </c>
      <c r="O5" s="1065">
        <f>N5+1</f>
        <v>2026</v>
      </c>
      <c r="P5" s="1065">
        <f>O5+1</f>
        <v>2027</v>
      </c>
      <c r="Q5" s="1065">
        <f>P5+1</f>
        <v>2028</v>
      </c>
      <c r="R5" s="1065">
        <f t="shared" ref="R5:V5" si="0">Q5+1</f>
        <v>2029</v>
      </c>
      <c r="S5" s="1065">
        <f t="shared" si="0"/>
        <v>2030</v>
      </c>
      <c r="T5" s="1065">
        <f t="shared" si="0"/>
        <v>2031</v>
      </c>
      <c r="U5" s="1065">
        <f t="shared" si="0"/>
        <v>2032</v>
      </c>
      <c r="V5" s="1065">
        <f t="shared" si="0"/>
        <v>2033</v>
      </c>
      <c r="W5" s="1062"/>
    </row>
    <row r="6" spans="1:29" ht="14.5">
      <c r="A6" s="1066"/>
      <c r="B6" s="1061"/>
      <c r="C6" s="1061"/>
      <c r="D6" s="1062"/>
      <c r="E6" s="1062"/>
      <c r="F6" s="1062"/>
      <c r="G6" s="1062"/>
      <c r="H6" s="1062"/>
      <c r="I6" s="1062"/>
      <c r="J6" s="1062"/>
      <c r="K6" s="1062"/>
      <c r="L6" s="1062"/>
      <c r="M6" s="1062"/>
      <c r="N6" s="1062"/>
      <c r="O6" s="1062"/>
      <c r="P6" s="1062"/>
      <c r="Q6" s="1062"/>
      <c r="R6" s="1062"/>
      <c r="S6" s="1062"/>
      <c r="T6" s="1062"/>
      <c r="U6" s="1062"/>
      <c r="V6" s="1062"/>
      <c r="W6" s="1062"/>
      <c r="X6" s="1062"/>
      <c r="Y6" s="1062"/>
    </row>
    <row r="7" spans="1:29" s="267" customFormat="1" ht="13.5">
      <c r="A7" s="87" t="s">
        <v>1126</v>
      </c>
      <c r="B7" s="87"/>
      <c r="C7" s="1067"/>
      <c r="D7" s="1068"/>
      <c r="E7" s="1068"/>
      <c r="F7" s="1068"/>
      <c r="G7" s="1068"/>
      <c r="H7" s="1068"/>
      <c r="I7" s="1069"/>
      <c r="J7" s="1069"/>
      <c r="K7" s="1069"/>
      <c r="L7" s="1069"/>
      <c r="M7" s="1069"/>
      <c r="N7" s="1069"/>
      <c r="O7" s="1069"/>
      <c r="P7" s="1069"/>
      <c r="Q7" s="1069"/>
      <c r="R7" s="1069"/>
      <c r="S7" s="1069"/>
      <c r="T7" s="1069"/>
      <c r="U7" s="1069"/>
      <c r="V7" s="1069"/>
    </row>
    <row r="8" spans="1:29" ht="14.5">
      <c r="E8" s="1070"/>
      <c r="F8" s="1070"/>
      <c r="G8" s="1070"/>
      <c r="H8" s="1070"/>
      <c r="I8" s="1070"/>
      <c r="J8" s="1070"/>
      <c r="K8" s="1070"/>
      <c r="L8" s="1070"/>
      <c r="M8" s="1070"/>
      <c r="N8" s="1070"/>
      <c r="O8" s="1070"/>
      <c r="P8" s="1071"/>
      <c r="Q8" s="1071"/>
      <c r="R8" s="1071"/>
      <c r="S8" s="1071"/>
      <c r="T8" s="1071"/>
      <c r="U8" s="1071"/>
      <c r="V8" s="1071"/>
    </row>
    <row r="9" spans="1:29" ht="14.5">
      <c r="A9" s="1072" t="s">
        <v>1127</v>
      </c>
      <c r="B9" s="267" t="s">
        <v>1128</v>
      </c>
      <c r="C9" s="1073">
        <f>IF(Price_basis = "£M 18/19", 2019, IF(Price_basis = "£M 20/21", 2021, "NA"))</f>
        <v>2019</v>
      </c>
      <c r="D9" s="266"/>
      <c r="E9" s="1070"/>
      <c r="F9" s="1070"/>
      <c r="G9" s="1070"/>
      <c r="H9" s="1070"/>
      <c r="I9" s="1070"/>
      <c r="J9" s="1070"/>
      <c r="K9" s="1070"/>
      <c r="L9" s="1070"/>
      <c r="M9" s="1070"/>
      <c r="N9" s="1070"/>
      <c r="O9" s="1070"/>
      <c r="P9" s="1071"/>
      <c r="Q9" s="1071"/>
      <c r="R9" s="1071"/>
      <c r="S9" s="1071"/>
      <c r="T9" s="1071"/>
      <c r="U9" s="1071"/>
      <c r="V9" s="1071"/>
    </row>
    <row r="10" spans="1:29" s="267" customFormat="1" ht="14.5">
      <c r="E10" s="1070"/>
      <c r="F10" s="1070"/>
      <c r="G10" s="1070"/>
      <c r="H10" s="1070"/>
      <c r="I10" s="1070"/>
      <c r="J10" s="1070"/>
      <c r="K10" s="1070"/>
      <c r="L10" s="1070"/>
      <c r="M10" s="1070"/>
      <c r="N10" s="1070"/>
      <c r="O10" s="1070"/>
      <c r="P10" s="1071"/>
      <c r="Q10" s="1070"/>
      <c r="R10" s="1070"/>
      <c r="S10" s="1070"/>
      <c r="T10" s="1070"/>
      <c r="U10" s="1070"/>
      <c r="V10" s="1070"/>
    </row>
    <row r="11" spans="1:29" s="267" customFormat="1" ht="14.5">
      <c r="A11" s="1074" t="s">
        <v>1129</v>
      </c>
      <c r="B11" s="1075"/>
      <c r="D11" s="1076"/>
      <c r="E11" s="1077"/>
      <c r="F11" s="1077"/>
      <c r="G11" s="1077"/>
      <c r="H11" s="1070"/>
      <c r="I11" s="1070"/>
      <c r="J11" s="1070"/>
      <c r="K11" s="1070"/>
      <c r="L11" s="1070"/>
      <c r="M11" s="1070"/>
      <c r="N11" s="1070"/>
      <c r="O11" s="1070"/>
      <c r="P11" s="1071"/>
      <c r="Q11" s="1077"/>
      <c r="R11" s="1077"/>
      <c r="S11" s="1077"/>
      <c r="T11" s="1077"/>
      <c r="U11" s="1077"/>
      <c r="V11" s="1077"/>
    </row>
    <row r="12" spans="1:29" s="267" customFormat="1" ht="13.5">
      <c r="A12" s="1275" t="s">
        <v>1130</v>
      </c>
      <c r="B12" s="1276"/>
      <c r="D12" s="1078"/>
      <c r="E12" s="1077"/>
      <c r="F12" s="1077"/>
      <c r="G12" s="1077"/>
      <c r="H12" s="1077"/>
      <c r="I12" s="1077"/>
      <c r="J12" s="1077"/>
      <c r="K12" s="1077"/>
      <c r="L12" s="1077"/>
      <c r="M12" s="1077"/>
      <c r="N12" s="1077"/>
      <c r="O12" s="1077"/>
      <c r="P12" s="1077"/>
      <c r="Q12" s="1077"/>
      <c r="R12" s="1077"/>
      <c r="S12" s="1077"/>
      <c r="T12" s="1077"/>
      <c r="U12" s="1077"/>
      <c r="V12" s="1077"/>
    </row>
    <row r="13" spans="1:29" s="267" customFormat="1" ht="14.5">
      <c r="E13" s="1077"/>
      <c r="F13" s="1077"/>
      <c r="G13" s="1077"/>
      <c r="H13" s="1077"/>
      <c r="I13" s="1077"/>
      <c r="J13" s="1077"/>
      <c r="K13" s="1077"/>
      <c r="L13" s="1077"/>
      <c r="M13" s="1077"/>
      <c r="N13" s="1077"/>
      <c r="O13" s="1077"/>
      <c r="P13" s="1077"/>
      <c r="Q13" s="1077"/>
      <c r="R13" s="1077"/>
      <c r="S13" s="1077"/>
      <c r="T13" s="1077"/>
      <c r="U13" s="1077"/>
      <c r="V13" s="1077"/>
      <c r="W13" s="266"/>
      <c r="X13" s="266"/>
      <c r="Y13" s="266"/>
      <c r="Z13" s="266"/>
      <c r="AA13" s="266"/>
      <c r="AB13" s="266"/>
      <c r="AC13" s="266"/>
    </row>
    <row r="14" spans="1:29" s="267" customFormat="1" ht="14.5">
      <c r="A14" s="1072" t="s">
        <v>1131</v>
      </c>
      <c r="B14" s="267" t="s">
        <v>1132</v>
      </c>
      <c r="D14" s="1079">
        <v>2015</v>
      </c>
      <c r="E14" s="1079">
        <v>2016</v>
      </c>
      <c r="F14" s="1079">
        <v>2017</v>
      </c>
      <c r="G14" s="1079">
        <v>2018</v>
      </c>
      <c r="H14" s="1079">
        <v>2019</v>
      </c>
      <c r="I14" s="1079">
        <v>2020</v>
      </c>
      <c r="J14" s="1079">
        <v>2021</v>
      </c>
      <c r="K14" s="1079">
        <v>2022</v>
      </c>
      <c r="L14" s="1079">
        <v>2023</v>
      </c>
      <c r="M14" s="1079">
        <v>2024</v>
      </c>
      <c r="N14" s="1079">
        <v>2025</v>
      </c>
      <c r="O14" s="1079">
        <v>2026</v>
      </c>
      <c r="P14" s="1079">
        <v>2027</v>
      </c>
      <c r="Q14" s="1079">
        <v>2028</v>
      </c>
      <c r="R14" s="1079">
        <v>2029</v>
      </c>
      <c r="S14" s="1079">
        <v>2030</v>
      </c>
      <c r="T14" s="1079">
        <v>2031</v>
      </c>
      <c r="U14" s="1079">
        <v>2032</v>
      </c>
      <c r="V14" s="1079">
        <v>2033</v>
      </c>
      <c r="W14" s="266"/>
      <c r="X14" s="266"/>
      <c r="Y14" s="266"/>
      <c r="Z14" s="266"/>
      <c r="AA14" s="266"/>
      <c r="AB14" s="266"/>
      <c r="AC14" s="266"/>
    </row>
    <row r="15" spans="1:29" s="267" customFormat="1" ht="14.5">
      <c r="A15" s="1072" t="s">
        <v>1133</v>
      </c>
      <c r="B15" s="267" t="s">
        <v>486</v>
      </c>
      <c r="D15" s="1080"/>
      <c r="E15" s="1081"/>
      <c r="F15" s="1081"/>
      <c r="G15" s="1082"/>
      <c r="H15" s="1279">
        <v>2.5628884588821732E-2</v>
      </c>
      <c r="I15" s="1279">
        <v>1.5033471260387898E-2</v>
      </c>
      <c r="J15" s="1279">
        <v>4.0452569031158125E-2</v>
      </c>
      <c r="K15" s="1279">
        <v>0.11584699426229506</v>
      </c>
      <c r="L15" s="1273">
        <v>9.6914789201007601E-2</v>
      </c>
      <c r="M15" s="1273">
        <v>3.1356893625321E-2</v>
      </c>
      <c r="N15" s="1273">
        <v>2.0457266265074402E-2</v>
      </c>
      <c r="O15" s="1273">
        <v>2.4969908330546801E-2</v>
      </c>
      <c r="P15" s="1274">
        <v>0.03</v>
      </c>
      <c r="Q15" s="1274">
        <v>0.03</v>
      </c>
      <c r="R15" s="1274">
        <v>0.03</v>
      </c>
      <c r="S15" s="1274">
        <v>0.03</v>
      </c>
      <c r="T15" s="1274">
        <v>0.03</v>
      </c>
      <c r="U15" s="1279">
        <v>0.03</v>
      </c>
      <c r="V15" s="1279">
        <v>0.03</v>
      </c>
      <c r="W15" s="266"/>
      <c r="X15" s="266"/>
      <c r="Y15" s="266"/>
      <c r="Z15" s="266"/>
      <c r="AA15" s="266"/>
      <c r="AB15" s="266"/>
      <c r="AC15" s="266"/>
    </row>
    <row r="16" spans="1:29" s="267" customFormat="1" ht="14.5">
      <c r="A16" s="1072" t="s">
        <v>1134</v>
      </c>
      <c r="B16" s="267" t="s">
        <v>486</v>
      </c>
      <c r="D16" s="1083"/>
      <c r="E16" s="1084"/>
      <c r="F16" s="1084"/>
      <c r="G16" s="1085"/>
      <c r="H16" s="1279">
        <v>1.7910205867057716E-2</v>
      </c>
      <c r="I16" s="1279">
        <v>8.5065402820156955E-3</v>
      </c>
      <c r="J16" s="1279">
        <v>2.5882219500718229E-2</v>
      </c>
      <c r="K16" s="1279">
        <v>9.0667455547039033E-2</v>
      </c>
      <c r="L16" s="1273">
        <v>7.3032807433557098E-2</v>
      </c>
      <c r="M16" s="1273">
        <v>2.1902133306788099E-2</v>
      </c>
      <c r="N16" s="1273">
        <v>1.47540195471507E-2</v>
      </c>
      <c r="O16" s="1273">
        <v>1.62662132526732E-2</v>
      </c>
      <c r="P16" s="1274">
        <v>0.02</v>
      </c>
      <c r="Q16" s="1274">
        <v>0.02</v>
      </c>
      <c r="R16" s="1274">
        <v>0.02</v>
      </c>
      <c r="S16" s="1274">
        <v>0.02</v>
      </c>
      <c r="T16" s="1274">
        <v>0.02</v>
      </c>
      <c r="U16" s="1279">
        <v>0.02</v>
      </c>
      <c r="V16" s="1279">
        <v>0.02</v>
      </c>
      <c r="W16" s="266"/>
      <c r="X16" s="266"/>
      <c r="Y16" s="266"/>
      <c r="Z16" s="266"/>
      <c r="AA16" s="266"/>
      <c r="AB16" s="266"/>
      <c r="AC16" s="266"/>
    </row>
    <row r="17" spans="1:29" s="267" customFormat="1" ht="14.5">
      <c r="H17" s="1250"/>
      <c r="I17" s="1259"/>
      <c r="J17" s="1259"/>
      <c r="K17" s="1259"/>
      <c r="L17" s="1259"/>
      <c r="M17" s="1259"/>
      <c r="N17" s="1259"/>
      <c r="O17" s="1259"/>
      <c r="P17" s="1250"/>
      <c r="Q17" s="1250"/>
      <c r="R17" s="1264"/>
      <c r="S17" s="1264"/>
      <c r="T17" s="1264"/>
      <c r="U17" s="1264"/>
      <c r="V17" s="1264"/>
      <c r="W17" s="266"/>
      <c r="X17" s="266"/>
      <c r="Y17" s="266"/>
      <c r="Z17" s="266"/>
      <c r="AA17" s="266"/>
      <c r="AB17" s="266"/>
      <c r="AC17" s="266"/>
    </row>
    <row r="18" spans="1:29" s="267" customFormat="1" ht="14.5">
      <c r="A18" s="1074" t="s">
        <v>1135</v>
      </c>
      <c r="E18" s="1086"/>
      <c r="F18" s="1087"/>
      <c r="G18" s="1087"/>
      <c r="H18" s="1087"/>
      <c r="I18" s="1087"/>
      <c r="J18" s="1087"/>
      <c r="K18" s="1087"/>
      <c r="L18" s="1087"/>
      <c r="M18" s="1087"/>
      <c r="N18" s="1087"/>
      <c r="O18" s="1087"/>
      <c r="P18" s="1087"/>
      <c r="Q18" s="1087"/>
      <c r="R18" s="1087"/>
      <c r="S18" s="1087"/>
      <c r="T18" s="1087"/>
      <c r="U18" s="1087"/>
      <c r="V18" s="1087"/>
      <c r="W18" s="266"/>
      <c r="X18" s="266"/>
      <c r="Y18" s="266"/>
      <c r="Z18" s="266"/>
      <c r="AA18" s="266"/>
      <c r="AB18" s="266"/>
      <c r="AC18" s="266"/>
    </row>
    <row r="19" spans="1:29" s="267" customFormat="1" ht="14.5">
      <c r="A19" s="1072" t="s">
        <v>1136</v>
      </c>
      <c r="B19" s="267" t="s">
        <v>1137</v>
      </c>
      <c r="D19" s="1088">
        <f ca="1">AVERAGEIFS('I2 - Monthly Inflation'!$H:$H,'I2 - Monthly Inflation'!$A:$A,"&gt;"&amp;DATE(D$14 - 1, 3, 31),'I2 - Monthly Inflation'!$A:$A,"&lt;"&amp;DATE(D$14, 4, 1))</f>
        <v>256.66666666666669</v>
      </c>
      <c r="E19" s="1088">
        <f ca="1">AVERAGEIFS('I2 - Monthly Inflation'!$H:$H,'I2 - Monthly Inflation'!$A:$A,"&gt;"&amp;DATE(E$14 - 1, 3, 31),'I2 - Monthly Inflation'!$A:$A,"&lt;"&amp;DATE(E$14, 4, 1))</f>
        <v>259.43333333333334</v>
      </c>
      <c r="F19" s="1088">
        <f ca="1">AVERAGEIFS('I2 - Monthly Inflation'!$H:$H,'I2 - Monthly Inflation'!$A:$A,"&gt;"&amp;DATE(F$14 - 1, 3, 31),'I2 - Monthly Inflation'!$A:$A,"&lt;"&amp;DATE(F$14, 4, 1))</f>
        <v>264.99166666666673</v>
      </c>
      <c r="G19" s="1088">
        <f ca="1">AVERAGEIFS('I2 - Monthly Inflation'!$H:$H,'I2 - Monthly Inflation'!$A:$A,"&gt;"&amp;DATE(G$14 - 1, 3, 31),'I2 - Monthly Inflation'!$A:$A,"&lt;"&amp;DATE(G$14, 4, 1))</f>
        <v>274.90833333333336</v>
      </c>
      <c r="H19" s="1088">
        <f ca="1">AVERAGEIFS('I2 - Monthly Inflation'!$H:$H,'I2 - Monthly Inflation'!$A:$A,"&gt;"&amp;DATE(H$14 - 1, 3, 31),'I2 - Monthly Inflation'!$A:$A,"&lt;"&amp;DATE(H$14, 4, 1))</f>
        <v>283.30833333333334</v>
      </c>
      <c r="I19" s="1088">
        <f ca="1">AVERAGEIFS('I2 - Monthly Inflation'!$H:$H,'I2 - Monthly Inflation'!$A:$A,"&gt;"&amp;DATE(I$14 - 1, 3, 31),'I2 - Monthly Inflation'!$A:$A,"&lt;"&amp;DATE(I$14, 4, 1))</f>
        <v>290.64166666666665</v>
      </c>
      <c r="J19" s="1088">
        <f ca="1">AVERAGEIFS('I2 - Monthly Inflation'!$H:$H,'I2 - Monthly Inflation'!$A:$A,"&gt;"&amp;DATE(J$14 - 1, 3, 31),'I2 - Monthly Inflation'!$A:$A,"&lt;"&amp;DATE(J$14, 4, 1))</f>
        <v>294.16666666666669</v>
      </c>
      <c r="K19" s="1088">
        <f ca="1">AVERAGEIFS('I2 - Monthly Inflation'!$H:$H,'I2 - Monthly Inflation'!$A:$A,"&gt;"&amp;DATE(K$14 - 1, 3, 31),'I2 - Monthly Inflation'!$A:$A,"&lt;"&amp;DATE(K$14, 4, 1))</f>
        <v>311.1583333333333</v>
      </c>
      <c r="L19" s="1088">
        <f ca="1">AVERAGEIFS('I2 - Monthly Inflation'!$H:$H,'I2 - Monthly Inflation'!$A:$A,"&gt;"&amp;DATE(L$14 - 1, 3, 31),'I2 - Monthly Inflation'!$A:$A,"&lt;"&amp;DATE(L$14, 4, 1))</f>
        <v>351.2166666666667</v>
      </c>
      <c r="M19" s="1088">
        <f ca="1">AVERAGEIFS('I2 - Monthly Inflation'!$H:$H,'I2 - Monthly Inflation'!$A:$A,"&gt;"&amp;DATE(M$14 - 1, 3, 31),'I2 - Monthly Inflation'!$A:$A,"&lt;"&amp;DATE(M$14, 4, 1))</f>
        <v>377.48333333333341</v>
      </c>
      <c r="N19" s="1088">
        <f ca="1">AVERAGEIFS('I2 - Monthly Inflation'!$H:$H,'I2 - Monthly Inflation'!$A:$A,"&gt;"&amp;DATE(N$14 - 1, 3, 31),'I2 - Monthly Inflation'!$A:$A,"&lt;"&amp;DATE(N$14, 4, 1))</f>
        <v>388.17567024472964</v>
      </c>
      <c r="O19" s="1088">
        <f ca="1">AVERAGEIFS('I2 - Monthly Inflation'!$H:$H,'I2 - Monthly Inflation'!$A:$A,"&gt;"&amp;DATE(O$14 - 1, 3, 31),'I2 - Monthly Inflation'!$A:$A,"&lt;"&amp;DATE(O$14, 4, 1))</f>
        <v>396.75312552378745</v>
      </c>
      <c r="P19" s="1088">
        <f ca="1">AVERAGEIFS('I2 - Monthly Inflation'!$H:$H,'I2 - Monthly Inflation'!$A:$A,"&gt;"&amp;DATE(P$14 - 1, 3, 31),'I2 - Monthly Inflation'!$A:$A,"&lt;"&amp;DATE(P$14, 4, 1))</f>
        <v>407.24952999494184</v>
      </c>
      <c r="Q19" s="1088">
        <f ca="1">AVERAGEIFS('I2 - Monthly Inflation'!$H:$H,'I2 - Monthly Inflation'!$A:$A,"&gt;"&amp;DATE(Q$14 - 1, 3, 31),'I2 - Monthly Inflation'!$A:$A,"&lt;"&amp;DATE(Q$14, 4, 1))</f>
        <v>419.42476662637688</v>
      </c>
      <c r="R19" s="1088">
        <f ca="1">AVERAGEIFS('I2 - Monthly Inflation'!$H:$H,'I2 - Monthly Inflation'!$A:$A,"&gt;"&amp;DATE(R$14 - 1, 3, 31),'I2 - Monthly Inflation'!$A:$A,"&lt;"&amp;DATE(R$14, 4, 1))</f>
        <v>432.00750962516872</v>
      </c>
      <c r="S19" s="1088">
        <f ca="1">AVERAGEIFS('I2 - Monthly Inflation'!$H:$H,'I2 - Monthly Inflation'!$A:$A,"&gt;"&amp;DATE(S$14 - 1, 3, 31),'I2 - Monthly Inflation'!$A:$A,"&lt;"&amp;DATE(S$14, 4, 1))</f>
        <v>444.96773491392423</v>
      </c>
      <c r="T19" s="1088">
        <f ca="1">AVERAGEIFS('I2 - Monthly Inflation'!$H:$H,'I2 - Monthly Inflation'!$A:$A,"&gt;"&amp;DATE(T$14 - 1, 3, 31),'I2 - Monthly Inflation'!$A:$A,"&lt;"&amp;DATE(T$14, 4, 1))</f>
        <v>458.31676696134241</v>
      </c>
      <c r="U19" s="1088">
        <f ca="1">AVERAGEIFS('I2 - Monthly Inflation'!$H:$H,'I2 - Monthly Inflation'!$A:$A,"&gt;"&amp;DATE(U$14 - 1, 3, 31),'I2 - Monthly Inflation'!$A:$A,"&lt;"&amp;DATE(U$14, 4, 1))</f>
        <v>472.06626997018316</v>
      </c>
      <c r="V19" s="1088">
        <f ca="1">AVERAGEIFS('I2 - Monthly Inflation'!$H:$H,'I2 - Monthly Inflation'!$A:$A,"&gt;"&amp;DATE(V$14 - 1, 3, 31),'I2 - Monthly Inflation'!$A:$A,"&lt;"&amp;DATE(V$14, 4, 1))</f>
        <v>486.22825806928921</v>
      </c>
      <c r="W19" s="266"/>
      <c r="X19" s="266"/>
      <c r="Y19" s="266"/>
      <c r="Z19" s="266"/>
      <c r="AA19" s="266"/>
      <c r="AB19" s="266"/>
      <c r="AC19" s="266"/>
    </row>
    <row r="20" spans="1:29" s="267" customFormat="1" ht="14.5">
      <c r="A20" s="1089" t="s">
        <v>1138</v>
      </c>
      <c r="B20" s="267" t="s">
        <v>486</v>
      </c>
      <c r="D20" s="1083"/>
      <c r="E20" s="1090">
        <f t="shared" ref="E20:V20" ca="1" si="1">E19/D19-1</f>
        <v>1.0779220779220777E-2</v>
      </c>
      <c r="F20" s="1090">
        <f t="shared" ca="1" si="1"/>
        <v>2.1424900424001248E-2</v>
      </c>
      <c r="G20" s="1090">
        <f t="shared" ca="1" si="1"/>
        <v>3.7422560457875953E-2</v>
      </c>
      <c r="H20" s="1090">
        <f t="shared" ca="1" si="1"/>
        <v>3.0555639758707454E-2</v>
      </c>
      <c r="I20" s="1090">
        <f t="shared" ca="1" si="1"/>
        <v>2.5884636879724532E-2</v>
      </c>
      <c r="J20" s="1090">
        <f t="shared" ca="1" si="1"/>
        <v>1.2128336726209277E-2</v>
      </c>
      <c r="K20" s="1090">
        <f t="shared" ca="1" si="1"/>
        <v>5.7762039660056441E-2</v>
      </c>
      <c r="L20" s="1090">
        <f t="shared" ca="1" si="1"/>
        <v>0.12873938777149907</v>
      </c>
      <c r="M20" s="1090">
        <f t="shared" ca="1" si="1"/>
        <v>7.4787642955440825E-2</v>
      </c>
      <c r="N20" s="1090">
        <f t="shared" ca="1" si="1"/>
        <v>2.8325321854553165E-2</v>
      </c>
      <c r="O20" s="1090">
        <f t="shared" ca="1" si="1"/>
        <v>2.2096838974091426E-2</v>
      </c>
      <c r="P20" s="1090">
        <f t="shared" ca="1" si="1"/>
        <v>2.6455757487221288E-2</v>
      </c>
      <c r="Q20" s="1090">
        <f t="shared" ca="1" si="1"/>
        <v>2.9896257048071417E-2</v>
      </c>
      <c r="R20" s="1090">
        <f t="shared" ca="1" si="1"/>
        <v>3.0000000000001359E-2</v>
      </c>
      <c r="S20" s="1090">
        <f t="shared" ca="1" si="1"/>
        <v>3.0000000000001137E-2</v>
      </c>
      <c r="T20" s="1090">
        <f t="shared" ca="1" si="1"/>
        <v>3.0000000000000915E-2</v>
      </c>
      <c r="U20" s="1090">
        <f t="shared" ca="1" si="1"/>
        <v>3.0000000000001137E-2</v>
      </c>
      <c r="V20" s="1090">
        <f t="shared" ca="1" si="1"/>
        <v>3.0000000000001137E-2</v>
      </c>
      <c r="W20" s="266"/>
      <c r="X20" s="266"/>
      <c r="Y20" s="266"/>
      <c r="Z20" s="266"/>
      <c r="AA20" s="266"/>
      <c r="AB20" s="266"/>
      <c r="AC20" s="266"/>
    </row>
    <row r="21" spans="1:29" s="267" customFormat="1" ht="14.5">
      <c r="A21" s="1072"/>
      <c r="D21" s="1087"/>
      <c r="E21" s="1087"/>
      <c r="F21" s="1087"/>
      <c r="G21" s="1087"/>
      <c r="H21" s="1087"/>
      <c r="I21" s="1087"/>
      <c r="J21" s="1087"/>
      <c r="K21" s="1087"/>
      <c r="L21" s="1087"/>
      <c r="M21" s="1087"/>
      <c r="N21" s="1087"/>
      <c r="O21" s="1087"/>
      <c r="P21" s="1087"/>
      <c r="Q21" s="1087"/>
      <c r="R21" s="1087"/>
      <c r="S21" s="1087"/>
      <c r="T21" s="1087"/>
      <c r="U21" s="1087"/>
      <c r="V21" s="1087"/>
      <c r="W21" s="266"/>
      <c r="X21" s="266"/>
      <c r="Y21" s="266"/>
      <c r="Z21" s="266"/>
      <c r="AA21" s="266"/>
      <c r="AB21" s="266"/>
      <c r="AC21" s="266"/>
    </row>
    <row r="22" spans="1:29" s="267" customFormat="1" ht="14.5">
      <c r="A22" s="1072" t="s">
        <v>1139</v>
      </c>
      <c r="B22" s="267" t="s">
        <v>1137</v>
      </c>
      <c r="D22" s="1088">
        <f ca="1">AVERAGEIFS('I2 - Monthly Inflation'!$G:$G,'I2 - Monthly Inflation'!$A:$A,"&gt;"&amp;DATE(D$14 - 1, 3, 31),'I2 - Monthly Inflation'!$A:$A,"&lt;"&amp;DATE(D$14, 4, 1))</f>
        <v>99.72499999999998</v>
      </c>
      <c r="E22" s="1088">
        <f ca="1">AVERAGEIFS('I2 - Monthly Inflation'!$G:$G,'I2 - Monthly Inflation'!$A:$A,"&gt;"&amp;DATE(E$14 - 1, 3, 31),'I2 - Monthly Inflation'!$A:$A,"&lt;"&amp;DATE(E$14, 4, 1))</f>
        <v>100.16666666666667</v>
      </c>
      <c r="F22" s="1088">
        <f ca="1">AVERAGEIFS('I2 - Monthly Inflation'!$G:$G,'I2 - Monthly Inflation'!$A:$A,"&gt;"&amp;DATE(F$14 - 1, 3, 31),'I2 - Monthly Inflation'!$A:$A,"&lt;"&amp;DATE(F$14, 4, 1))</f>
        <v>101.54166666666667</v>
      </c>
      <c r="G22" s="1088">
        <f ca="1">AVERAGEIFS('I2 - Monthly Inflation'!$G:$G,'I2 - Monthly Inflation'!$A:$A,"&gt;"&amp;DATE(G$14 - 1, 3, 31),'I2 - Monthly Inflation'!$A:$A,"&lt;"&amp;DATE(G$14, 4, 1))</f>
        <v>104.21666666666665</v>
      </c>
      <c r="H22" s="1088">
        <f ca="1">AVERAGEIFS('I2 - Monthly Inflation'!$G:$G,'I2 - Monthly Inflation'!$A:$A,"&gt;"&amp;DATE(H$14 - 1, 3, 31),'I2 - Monthly Inflation'!$A:$A,"&lt;"&amp;DATE(H$14, 4, 1))</f>
        <v>106.43333333333334</v>
      </c>
      <c r="I22" s="1088">
        <f ca="1">AVERAGEIFS('I2 - Monthly Inflation'!$G:$G,'I2 - Monthly Inflation'!$A:$A,"&gt;"&amp;DATE(I$14 - 1, 3, 31),'I2 - Monthly Inflation'!$A:$A,"&lt;"&amp;DATE(I$14, 4, 1))</f>
        <v>108.24166666666663</v>
      </c>
      <c r="J22" s="1088">
        <f ca="1">AVERAGEIFS('I2 - Monthly Inflation'!$G:$G,'I2 - Monthly Inflation'!$A:$A,"&gt;"&amp;DATE(J$14 - 1, 3, 31),'I2 - Monthly Inflation'!$A:$A,"&lt;"&amp;DATE(J$14, 4, 1))</f>
        <v>109.10833333333335</v>
      </c>
      <c r="K22" s="1088">
        <f ca="1">AVERAGEIFS('I2 - Monthly Inflation'!$G:$G,'I2 - Monthly Inflation'!$A:$A,"&gt;"&amp;DATE(K$14 - 1, 3, 31),'I2 - Monthly Inflation'!$A:$A,"&lt;"&amp;DATE(K$14, 4, 1))</f>
        <v>113.11666666666667</v>
      </c>
      <c r="L22" s="1088">
        <f ca="1">AVERAGEIFS('I2 - Monthly Inflation'!$G:$G,'I2 - Monthly Inflation'!$A:$A,"&gt;"&amp;DATE(L$14 - 1, 3, 31),'I2 - Monthly Inflation'!$A:$A,"&lt;"&amp;DATE(L$14, 4, 1))</f>
        <v>123.04166666666664</v>
      </c>
      <c r="M22" s="1088">
        <f ca="1">AVERAGEIFS('I2 - Monthly Inflation'!$G:$G,'I2 - Monthly Inflation'!$A:$A,"&gt;"&amp;DATE(M$14 - 1, 3, 31),'I2 - Monthly Inflation'!$A:$A,"&lt;"&amp;DATE(M$14, 4, 1))</f>
        <v>129.86666666666665</v>
      </c>
      <c r="N22" s="1088">
        <f ca="1">AVERAGEIFS('I2 - Monthly Inflation'!$G:$G,'I2 - Monthly Inflation'!$A:$A,"&gt;"&amp;DATE(N$14 - 1, 3, 31),'I2 - Monthly Inflation'!$A:$A,"&lt;"&amp;DATE(N$14, 4, 1))</f>
        <v>132.86304853440734</v>
      </c>
      <c r="O22" s="1088">
        <f ca="1">AVERAGEIFS('I2 - Monthly Inflation'!$G:$G,'I2 - Monthly Inflation'!$A:$A,"&gt;"&amp;DATE(O$14 - 1, 3, 31),'I2 - Monthly Inflation'!$A:$A,"&lt;"&amp;DATE(O$14, 4, 1))</f>
        <v>134.90588823466803</v>
      </c>
      <c r="P22" s="1088">
        <f ca="1">AVERAGEIFS('I2 - Monthly Inflation'!$G:$G,'I2 - Monthly Inflation'!$A:$A,"&gt;"&amp;DATE(P$14 - 1, 3, 31),'I2 - Monthly Inflation'!$A:$A,"&lt;"&amp;DATE(P$14, 4, 1))</f>
        <v>137.25393974873671</v>
      </c>
      <c r="Q22" s="1088">
        <f ca="1">AVERAGEIFS('I2 - Monthly Inflation'!$G:$G,'I2 - Monthly Inflation'!$A:$A,"&gt;"&amp;DATE(Q$14 - 1, 3, 31),'I2 - Monthly Inflation'!$A:$A,"&lt;"&amp;DATE(Q$14, 4, 1))</f>
        <v>139.98841143297739</v>
      </c>
      <c r="R22" s="1088">
        <f ca="1">AVERAGEIFS('I2 - Monthly Inflation'!$G:$G,'I2 - Monthly Inflation'!$A:$A,"&gt;"&amp;DATE(R$14 - 1, 3, 31),'I2 - Monthly Inflation'!$A:$A,"&lt;"&amp;DATE(R$14, 4, 1))</f>
        <v>142.78817966163695</v>
      </c>
      <c r="S22" s="1088">
        <f ca="1">AVERAGEIFS('I2 - Monthly Inflation'!$G:$G,'I2 - Monthly Inflation'!$A:$A,"&gt;"&amp;DATE(S$14 - 1, 3, 31),'I2 - Monthly Inflation'!$A:$A,"&lt;"&amp;DATE(S$14, 4, 1))</f>
        <v>145.64394325486975</v>
      </c>
      <c r="T22" s="1088">
        <f ca="1">AVERAGEIFS('I2 - Monthly Inflation'!$G:$G,'I2 - Monthly Inflation'!$A:$A,"&gt;"&amp;DATE(T$14 - 1, 3, 31),'I2 - Monthly Inflation'!$A:$A,"&lt;"&amp;DATE(T$14, 4, 1))</f>
        <v>148.55682211996722</v>
      </c>
      <c r="U22" s="1088">
        <f ca="1">AVERAGEIFS('I2 - Monthly Inflation'!$G:$G,'I2 - Monthly Inflation'!$A:$A,"&gt;"&amp;DATE(U$14 - 1, 3, 31),'I2 - Monthly Inflation'!$A:$A,"&lt;"&amp;DATE(U$14, 4, 1))</f>
        <v>151.52795856236665</v>
      </c>
      <c r="V22" s="1088">
        <f ca="1">AVERAGEIFS('I2 - Monthly Inflation'!$G:$G,'I2 - Monthly Inflation'!$A:$A,"&gt;"&amp;DATE(V$14 - 1, 3, 31),'I2 - Monthly Inflation'!$A:$A,"&lt;"&amp;DATE(V$14, 4, 1))</f>
        <v>154.55851773361411</v>
      </c>
      <c r="W22" s="266"/>
      <c r="X22" s="266"/>
      <c r="Y22" s="266"/>
      <c r="Z22" s="266"/>
      <c r="AA22" s="266"/>
      <c r="AB22" s="266"/>
      <c r="AC22" s="266"/>
    </row>
    <row r="23" spans="1:29" s="267" customFormat="1" ht="14.5">
      <c r="A23" s="1072" t="s">
        <v>1140</v>
      </c>
      <c r="B23" s="267" t="s">
        <v>486</v>
      </c>
      <c r="D23" s="1083"/>
      <c r="E23" s="1090">
        <f t="shared" ref="E23:V23" ca="1" si="2">E22/D22-1</f>
        <v>4.4288459931480784E-3</v>
      </c>
      <c r="F23" s="1090">
        <f t="shared" ca="1" si="2"/>
        <v>1.3727121464226277E-2</v>
      </c>
      <c r="G23" s="1090">
        <f t="shared" ca="1" si="2"/>
        <v>2.6343865408288814E-2</v>
      </c>
      <c r="H23" s="1090">
        <f t="shared" ca="1" si="2"/>
        <v>2.1269790500559882E-2</v>
      </c>
      <c r="I23" s="1090">
        <f t="shared" ca="1" si="2"/>
        <v>1.6990291262135582E-2</v>
      </c>
      <c r="J23" s="1090">
        <f t="shared" ca="1" si="2"/>
        <v>8.0067749634311625E-3</v>
      </c>
      <c r="K23" s="1090">
        <f t="shared" ca="1" si="2"/>
        <v>3.6737187810280236E-2</v>
      </c>
      <c r="L23" s="1090">
        <f t="shared" ca="1" si="2"/>
        <v>8.7741270075143429E-2</v>
      </c>
      <c r="M23" s="1090">
        <f t="shared" ca="1" si="2"/>
        <v>5.5469014561462915E-2</v>
      </c>
      <c r="N23" s="1090">
        <f t="shared" ca="1" si="2"/>
        <v>2.3072755655087596E-2</v>
      </c>
      <c r="O23" s="1090">
        <f t="shared" ca="1" si="2"/>
        <v>1.537552933486741E-2</v>
      </c>
      <c r="P23" s="1090">
        <f t="shared" ca="1" si="2"/>
        <v>1.7405107699852707E-2</v>
      </c>
      <c r="Q23" s="1090">
        <f t="shared" ca="1" si="2"/>
        <v>1.9922719080024409E-2</v>
      </c>
      <c r="R23" s="1090">
        <f t="shared" ca="1" si="2"/>
        <v>2.0000000000000018E-2</v>
      </c>
      <c r="S23" s="1090">
        <f t="shared" ca="1" si="2"/>
        <v>2.0000000000000462E-2</v>
      </c>
      <c r="T23" s="1090">
        <f t="shared" ca="1" si="2"/>
        <v>2.0000000000000462E-2</v>
      </c>
      <c r="U23" s="1090">
        <f t="shared" ca="1" si="2"/>
        <v>2.0000000000000462E-2</v>
      </c>
      <c r="V23" s="1090">
        <f t="shared" ca="1" si="2"/>
        <v>2.0000000000000906E-2</v>
      </c>
      <c r="W23" s="266"/>
      <c r="X23" s="266"/>
      <c r="Y23" s="266"/>
      <c r="Z23" s="266"/>
      <c r="AA23" s="266"/>
      <c r="AB23" s="266"/>
      <c r="AC23" s="266"/>
    </row>
    <row r="24" spans="1:29" s="267" customFormat="1" ht="14.5">
      <c r="A24" s="1072"/>
      <c r="D24" s="1087"/>
      <c r="E24" s="1087"/>
      <c r="F24" s="1087"/>
      <c r="G24" s="1087"/>
      <c r="H24" s="1087"/>
      <c r="I24" s="1087"/>
      <c r="J24" s="1087"/>
      <c r="K24" s="1087"/>
      <c r="L24" s="1087"/>
      <c r="M24" s="1087"/>
      <c r="N24" s="1087"/>
      <c r="O24" s="1087"/>
      <c r="P24" s="1087"/>
      <c r="Q24" s="1087"/>
      <c r="R24" s="1087"/>
      <c r="S24" s="1087"/>
      <c r="T24" s="1087"/>
      <c r="U24" s="1087"/>
      <c r="V24" s="1087"/>
      <c r="W24" s="266"/>
      <c r="X24" s="266"/>
      <c r="Y24" s="266"/>
      <c r="Z24" s="266"/>
      <c r="AA24" s="266"/>
      <c r="AB24" s="266"/>
      <c r="AC24" s="266"/>
    </row>
    <row r="25" spans="1:29" s="267" customFormat="1" ht="14.5">
      <c r="A25" s="1271" t="s">
        <v>1141</v>
      </c>
      <c r="B25" s="1272"/>
      <c r="C25" s="1272"/>
      <c r="D25" s="1272"/>
      <c r="E25" s="1272"/>
      <c r="F25" s="1272"/>
      <c r="G25" s="1272"/>
      <c r="W25" s="266"/>
      <c r="X25" s="266"/>
      <c r="Y25" s="266"/>
      <c r="Z25" s="266"/>
      <c r="AA25" s="266"/>
      <c r="AB25" s="266"/>
      <c r="AC25" s="266"/>
    </row>
    <row r="26" spans="1:29" ht="16">
      <c r="A26" s="1091" t="s">
        <v>182</v>
      </c>
      <c r="B26" s="267" t="s">
        <v>1142</v>
      </c>
      <c r="D26" s="1092"/>
      <c r="E26" s="1280">
        <v>5.0781749999999973E-3</v>
      </c>
      <c r="F26" s="1280">
        <v>3.4351165354330692E-3</v>
      </c>
      <c r="G26" s="1280">
        <v>3.5873463999999979E-3</v>
      </c>
      <c r="H26" s="1280">
        <v>6.6127083003952539E-3</v>
      </c>
      <c r="I26" s="1280">
        <v>6.803233464566928E-3</v>
      </c>
      <c r="J26" s="1280">
        <v>7.1293557312252984E-4</v>
      </c>
      <c r="K26" s="1280">
        <v>1.7992043478260867E-3</v>
      </c>
      <c r="L26" s="1280">
        <v>2.0980357784199554E-2</v>
      </c>
      <c r="M26" s="1280">
        <v>2.3740698686855872E-2</v>
      </c>
      <c r="N26" s="1280">
        <v>1.9477023536646317E-2</v>
      </c>
      <c r="O26" s="1280">
        <v>1.5611995450668598E-2</v>
      </c>
      <c r="P26" s="1280">
        <v>1.3742897566514626E-2</v>
      </c>
      <c r="Q26" s="1280">
        <v>1.3281905321116914E-2</v>
      </c>
      <c r="R26" s="1280">
        <v>1.3276122547146463E-2</v>
      </c>
      <c r="S26" s="1280">
        <v>1.3276122547146463E-2</v>
      </c>
      <c r="T26" s="1280">
        <v>1.3276122547146463E-2</v>
      </c>
      <c r="U26" s="1280">
        <v>1.3276122547146463E-2</v>
      </c>
      <c r="V26" s="1280">
        <v>1.3276122547146463E-2</v>
      </c>
    </row>
    <row r="27" spans="1:29" ht="16">
      <c r="A27" s="1091" t="s">
        <v>192</v>
      </c>
      <c r="B27" s="267" t="s">
        <v>1142</v>
      </c>
      <c r="D27" s="1093"/>
      <c r="E27" s="1280">
        <v>5.8068182539682493E-3</v>
      </c>
      <c r="F27" s="1280">
        <v>4.3909897637795289E-3</v>
      </c>
      <c r="G27" s="1280">
        <v>4.1095688000000029E-3</v>
      </c>
      <c r="H27" s="1280">
        <v>8.0087794466403156E-3</v>
      </c>
      <c r="I27" s="1280">
        <v>7.5744059055118133E-3</v>
      </c>
      <c r="J27" s="1280">
        <v>1.3609695652173918E-3</v>
      </c>
      <c r="K27" s="1280">
        <v>2.7350237154150194E-3</v>
      </c>
      <c r="L27" s="1280">
        <v>2.5740684477426647E-2</v>
      </c>
      <c r="M27" s="1280">
        <v>2.8715698686855855E-2</v>
      </c>
      <c r="N27" s="1280">
        <v>2.4452023536646307E-2</v>
      </c>
      <c r="O27" s="1280">
        <v>2.05869954506686E-2</v>
      </c>
      <c r="P27" s="1280">
        <v>1.8717897566514617E-2</v>
      </c>
      <c r="Q27" s="1280">
        <v>1.8256905321116835E-2</v>
      </c>
      <c r="R27" s="1280">
        <v>1.8251122547146371E-2</v>
      </c>
      <c r="S27" s="1280">
        <v>1.8251122547146368E-2</v>
      </c>
      <c r="T27" s="1280">
        <v>1.8251122547146368E-2</v>
      </c>
      <c r="U27" s="1280">
        <v>1.8251122547146371E-2</v>
      </c>
      <c r="V27" s="1280">
        <v>1.8251122547146365E-2</v>
      </c>
    </row>
    <row r="28" spans="1:29" ht="16">
      <c r="A28" s="1091" t="s">
        <v>201</v>
      </c>
      <c r="B28" s="267" t="s">
        <v>1142</v>
      </c>
      <c r="D28" s="1093"/>
      <c r="E28" s="1280">
        <v>7.3433785714285748E-3</v>
      </c>
      <c r="F28" s="1280">
        <v>5.8573948818897627E-3</v>
      </c>
      <c r="G28" s="1280">
        <v>5.2583907999999993E-3</v>
      </c>
      <c r="H28" s="1280">
        <v>9.1325312252964422E-3</v>
      </c>
      <c r="I28" s="1280">
        <v>8.2736870078740157E-3</v>
      </c>
      <c r="J28" s="1280">
        <v>1.9395011857707494E-3</v>
      </c>
      <c r="K28" s="1280">
        <v>4.3624873517786582E-3</v>
      </c>
      <c r="L28" s="1280">
        <v>3.2193353800135785E-2</v>
      </c>
      <c r="M28" s="1280">
        <v>3.5484698686855873E-2</v>
      </c>
      <c r="N28" s="1280">
        <v>3.1221023536646332E-2</v>
      </c>
      <c r="O28" s="1280">
        <v>2.7355995450668611E-2</v>
      </c>
      <c r="P28" s="1280">
        <v>2.5486897566514628E-2</v>
      </c>
      <c r="Q28" s="1280">
        <v>2.5025905321116808E-2</v>
      </c>
      <c r="R28" s="1280">
        <v>2.5020122547146306E-2</v>
      </c>
      <c r="S28" s="1280">
        <v>2.5020122547146306E-2</v>
      </c>
      <c r="T28" s="1280">
        <v>2.5020122547146306E-2</v>
      </c>
      <c r="U28" s="1280">
        <v>2.5020122547146306E-2</v>
      </c>
      <c r="V28" s="1280">
        <v>2.5020122547146306E-2</v>
      </c>
    </row>
    <row r="29" spans="1:29" ht="16">
      <c r="A29" s="1091" t="s">
        <v>209</v>
      </c>
      <c r="B29" s="267" t="s">
        <v>1142</v>
      </c>
      <c r="D29" s="1093"/>
      <c r="E29" s="1280">
        <v>1.0276014682539686E-2</v>
      </c>
      <c r="F29" s="1280">
        <v>8.2560413385826814E-3</v>
      </c>
      <c r="G29" s="1280">
        <v>7.3098552000000032E-3</v>
      </c>
      <c r="H29" s="1280">
        <v>1.0661026482213435E-2</v>
      </c>
      <c r="I29" s="1280">
        <v>9.1932188976377935E-3</v>
      </c>
      <c r="J29" s="1280">
        <v>2.9339932806324112E-3</v>
      </c>
      <c r="K29" s="1280">
        <v>6.4837596837944694E-3</v>
      </c>
      <c r="L29" s="1280">
        <v>3.5593353800135813E-2</v>
      </c>
      <c r="M29" s="1280">
        <v>3.8884698686855873E-2</v>
      </c>
      <c r="N29" s="1280">
        <v>3.4621023536646325E-2</v>
      </c>
      <c r="O29" s="1280">
        <v>3.0755995450668594E-2</v>
      </c>
      <c r="P29" s="1280">
        <v>2.8886897566514632E-2</v>
      </c>
      <c r="Q29" s="1280">
        <v>2.8425905321116832E-2</v>
      </c>
      <c r="R29" s="1280">
        <v>2.8420122547146334E-2</v>
      </c>
      <c r="S29" s="1280">
        <v>2.8420122547146334E-2</v>
      </c>
      <c r="T29" s="1280">
        <v>2.8420122547146334E-2</v>
      </c>
      <c r="U29" s="1280">
        <v>2.8420122547146334E-2</v>
      </c>
      <c r="V29" s="1280">
        <v>2.8420122547146334E-2</v>
      </c>
    </row>
    <row r="30" spans="1:29" ht="16">
      <c r="A30" s="1091" t="s">
        <v>214</v>
      </c>
      <c r="B30" s="267" t="s">
        <v>1142</v>
      </c>
      <c r="D30" s="1094"/>
      <c r="E30" s="1280">
        <v>4.6020119047619082E-3</v>
      </c>
      <c r="F30" s="1280">
        <v>2.971768627450981E-3</v>
      </c>
      <c r="G30" s="1280">
        <v>3.1490079681274906E-3</v>
      </c>
      <c r="H30" s="1280">
        <v>6.1974703557312284E-3</v>
      </c>
      <c r="I30" s="1280">
        <v>6.76011023622047E-3</v>
      </c>
      <c r="J30" s="1280">
        <v>5.5921739130434752E-4</v>
      </c>
      <c r="K30" s="1280">
        <v>1.4230988142292492E-3</v>
      </c>
      <c r="L30" s="1280">
        <v>2.2631043824701203E-2</v>
      </c>
      <c r="M30" s="1280">
        <v>4.9711560000000037E-2</v>
      </c>
      <c r="N30" s="1280">
        <v>4.9637201437048195E-2</v>
      </c>
      <c r="O30" s="1280">
        <v>4.5004104095878336E-2</v>
      </c>
      <c r="P30" s="1280">
        <v>4.0659022973774384E-2</v>
      </c>
      <c r="Q30" s="1280">
        <v>3.7787179498201061E-2</v>
      </c>
      <c r="R30" s="1280">
        <v>3.6732654717432131E-2</v>
      </c>
      <c r="S30" s="1280">
        <v>3.6621815274093257E-2</v>
      </c>
      <c r="T30" s="1280">
        <v>3.6622122547146405E-2</v>
      </c>
      <c r="U30" s="1280">
        <v>3.6622122547146405E-2</v>
      </c>
      <c r="V30" s="1280">
        <v>3.6622122547146412E-2</v>
      </c>
    </row>
    <row r="31" spans="1:29" ht="14.5"/>
    <row r="32" spans="1:29" ht="14.5"/>
    <row r="33" ht="15" customHeight="1"/>
    <row r="34" ht="15" customHeight="1"/>
    <row r="35" ht="15" customHeight="1"/>
    <row r="36" ht="15" customHeight="1"/>
    <row r="37" ht="15" customHeight="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AJ383"/>
  <sheetViews>
    <sheetView zoomScale="85" zoomScaleNormal="85" workbookViewId="0">
      <selection activeCell="H19" sqref="H19"/>
    </sheetView>
  </sheetViews>
  <sheetFormatPr defaultRowHeight="13.5"/>
  <cols>
    <col min="1" max="1" width="10" customWidth="1"/>
    <col min="2" max="2" width="59.15234375" customWidth="1"/>
    <col min="3" max="3" width="17.765625" customWidth="1"/>
    <col min="4" max="4" width="16.84375" customWidth="1"/>
    <col min="5" max="5" width="11.765625" customWidth="1"/>
    <col min="6" max="6" width="13.15234375" bestFit="1" customWidth="1"/>
    <col min="7" max="7" width="13.84375" customWidth="1"/>
    <col min="8" max="8" width="11.4609375" bestFit="1" customWidth="1"/>
    <col min="9" max="9" width="11.15234375" bestFit="1" customWidth="1"/>
    <col min="10" max="10" width="12.3828125" customWidth="1"/>
    <col min="11" max="11" width="11.23046875" customWidth="1"/>
    <col min="12" max="12" width="15.84375" customWidth="1"/>
    <col min="13" max="13" width="11.84375" customWidth="1"/>
    <col min="14" max="14" width="12.765625" customWidth="1"/>
  </cols>
  <sheetData>
    <row r="1" spans="1:14" ht="20">
      <c r="A1" s="257" t="s">
        <v>16</v>
      </c>
      <c r="B1" s="321"/>
      <c r="C1" s="321"/>
      <c r="D1" s="321"/>
      <c r="E1" s="321"/>
      <c r="F1" s="321"/>
      <c r="G1" s="321"/>
      <c r="H1" s="321"/>
      <c r="I1" s="321"/>
      <c r="J1" s="321"/>
      <c r="K1" s="321"/>
      <c r="L1" s="321"/>
      <c r="M1" s="321"/>
      <c r="N1" s="258"/>
    </row>
    <row r="2" spans="1:14" ht="20">
      <c r="A2" s="315" t="str">
        <f>Licensee</f>
        <v>Cadent-NW</v>
      </c>
      <c r="B2" s="109"/>
      <c r="C2" s="109"/>
      <c r="D2" s="109"/>
      <c r="E2" s="109"/>
      <c r="F2" s="109"/>
      <c r="G2" s="109"/>
      <c r="H2" s="109"/>
      <c r="I2" s="109"/>
      <c r="J2" s="109"/>
      <c r="K2" s="109"/>
      <c r="L2" s="109"/>
      <c r="M2" s="109"/>
      <c r="N2" s="111"/>
    </row>
    <row r="3" spans="1:14" ht="20">
      <c r="A3" s="106">
        <f>Reporting_Year</f>
        <v>2024</v>
      </c>
      <c r="B3" s="222"/>
      <c r="C3" s="222"/>
      <c r="D3" s="222"/>
      <c r="E3" s="222"/>
      <c r="F3" s="222"/>
      <c r="G3" s="222"/>
      <c r="H3" s="222"/>
      <c r="I3" s="222"/>
      <c r="J3" s="222"/>
      <c r="K3" s="222"/>
      <c r="L3" s="222"/>
      <c r="M3" s="222"/>
      <c r="N3" s="112"/>
    </row>
    <row r="6" spans="1:14">
      <c r="B6" s="209" t="s">
        <v>17</v>
      </c>
      <c r="C6" s="225">
        <f>INDEX(O63:U91,MATCH(Licensee,Data!B63:B91,0),MATCH(Reporting_Year,Data!O62:U62,0))</f>
        <v>5.2833943999999994E-2</v>
      </c>
      <c r="F6" s="1270" t="s">
        <v>18</v>
      </c>
      <c r="G6" s="34"/>
      <c r="H6" s="202" t="s">
        <v>19</v>
      </c>
      <c r="I6" s="224" t="s">
        <v>20</v>
      </c>
    </row>
    <row r="7" spans="1:14">
      <c r="B7" s="209" t="s">
        <v>21</v>
      </c>
      <c r="C7" s="225">
        <f>SUMIF(Data!$B$62:$B$91,'RFPR cover'!C7,Data!$C$62:$C$91)</f>
        <v>0.5</v>
      </c>
      <c r="F7" s="226">
        <v>0.1</v>
      </c>
      <c r="G7" s="80"/>
      <c r="H7" s="202" t="s">
        <v>22</v>
      </c>
      <c r="I7" s="203" t="s">
        <v>23</v>
      </c>
    </row>
    <row r="8" spans="1:14">
      <c r="B8" s="209" t="s">
        <v>24</v>
      </c>
      <c r="C8" s="223">
        <f>SUMIF(Data!$B$62:$B$91,'RFPR cover'!C7,Data!$D$62:$D$91)</f>
        <v>0.6</v>
      </c>
      <c r="H8" s="202" t="s">
        <v>25</v>
      </c>
      <c r="I8" s="203" t="s">
        <v>23</v>
      </c>
    </row>
    <row r="9" spans="1:14">
      <c r="B9" s="148" t="s">
        <v>26</v>
      </c>
      <c r="C9" s="212" t="str">
        <f>INDEX(Data!$F$63:$F$91,MATCH('RFPR cover'!$C$7,Data!$B$63:$B$91,0),0)</f>
        <v>£m 18/19</v>
      </c>
      <c r="H9" s="202" t="s">
        <v>27</v>
      </c>
      <c r="I9" s="203" t="s">
        <v>23</v>
      </c>
    </row>
    <row r="10" spans="1:14">
      <c r="B10" s="148" t="s">
        <v>28</v>
      </c>
      <c r="C10" s="302">
        <f>INDEX(Data!$M$315:$S$343,MATCH('RFPR cover'!$C$7,Data!$L$315:$L$343,0),MATCH('R8a - Tax Reconciliation'!$B$6,Data!$M$314:$S$314,0))</f>
        <v>6.4138729332845683</v>
      </c>
      <c r="H10" s="202" t="s">
        <v>29</v>
      </c>
      <c r="I10" s="203" t="s">
        <v>23</v>
      </c>
    </row>
    <row r="11" spans="1:14">
      <c r="B11" s="148" t="s">
        <v>30</v>
      </c>
      <c r="C11" s="302">
        <f>INDEX(Data!$M$350:$S$378,MATCH('RFPR cover'!$C$7,Data!$L$350:$L$378,0),MATCH('R8a - Tax Reconciliation'!$B$6,Data!$M$349:$S$349,0))</f>
        <v>1.5044887127457629</v>
      </c>
      <c r="H11" s="129"/>
      <c r="I11" s="299"/>
    </row>
    <row r="13" spans="1:14">
      <c r="A13" s="7"/>
      <c r="B13" s="227" t="s">
        <v>31</v>
      </c>
      <c r="C13" s="173">
        <v>0.19</v>
      </c>
      <c r="D13" s="243">
        <v>0.19</v>
      </c>
      <c r="E13" s="243">
        <v>0.19</v>
      </c>
      <c r="F13" s="243">
        <v>0.19</v>
      </c>
      <c r="G13" s="173">
        <v>0.19</v>
      </c>
      <c r="H13" s="173">
        <v>0.25</v>
      </c>
      <c r="I13" s="173">
        <v>0.25</v>
      </c>
      <c r="J13" s="173">
        <v>0.25</v>
      </c>
      <c r="K13" s="172">
        <v>0.25</v>
      </c>
      <c r="L13" s="172">
        <v>0.25</v>
      </c>
      <c r="M13" s="172">
        <v>0.25</v>
      </c>
      <c r="N13" s="172">
        <v>0.25</v>
      </c>
    </row>
    <row r="15" spans="1:14">
      <c r="A15" s="1" t="s">
        <v>32</v>
      </c>
      <c r="B15" s="1269" t="s">
        <v>33</v>
      </c>
    </row>
    <row r="16" spans="1:14">
      <c r="B16" s="227" t="s">
        <v>34</v>
      </c>
      <c r="C16" s="228" t="str">
        <f t="shared" ref="C16:N16" si="0">IF(VALUE(C18)&lt;=Reporting_Year,"Actual","Forecast")</f>
        <v>Actual</v>
      </c>
      <c r="D16" s="228" t="str">
        <f t="shared" si="0"/>
        <v>Actual</v>
      </c>
      <c r="E16" s="228" t="str">
        <f t="shared" si="0"/>
        <v>Actual</v>
      </c>
      <c r="F16" s="228" t="str">
        <f t="shared" si="0"/>
        <v>Actual</v>
      </c>
      <c r="G16" s="228" t="str">
        <f t="shared" si="0"/>
        <v>Actual</v>
      </c>
      <c r="H16" s="228" t="str">
        <f t="shared" si="0"/>
        <v>Actual</v>
      </c>
      <c r="I16" s="228" t="str">
        <f t="shared" si="0"/>
        <v>Forecast</v>
      </c>
      <c r="J16" s="228" t="str">
        <f t="shared" si="0"/>
        <v>Forecast</v>
      </c>
      <c r="K16" s="228" t="str">
        <f t="shared" si="0"/>
        <v>Forecast</v>
      </c>
      <c r="L16" s="228" t="str">
        <f t="shared" si="0"/>
        <v>Forecast</v>
      </c>
      <c r="M16" s="228" t="str">
        <f t="shared" si="0"/>
        <v>Forecast</v>
      </c>
      <c r="N16" s="228" t="str">
        <f t="shared" si="0"/>
        <v>Forecast</v>
      </c>
    </row>
    <row r="17" spans="1:22">
      <c r="B17" s="227" t="s">
        <v>35</v>
      </c>
      <c r="C17" s="229">
        <v>43555</v>
      </c>
      <c r="D17" s="230">
        <v>43921</v>
      </c>
      <c r="E17" s="230">
        <v>44286</v>
      </c>
      <c r="F17" s="230">
        <v>44651</v>
      </c>
      <c r="G17" s="230">
        <v>45016</v>
      </c>
      <c r="H17" s="229">
        <v>45382</v>
      </c>
      <c r="I17" s="229">
        <v>45747</v>
      </c>
      <c r="J17" s="229">
        <v>46112</v>
      </c>
      <c r="K17" s="229">
        <v>46477</v>
      </c>
      <c r="L17" s="229">
        <v>46843</v>
      </c>
      <c r="M17" s="229">
        <v>47208</v>
      </c>
      <c r="N17" s="229">
        <v>47573</v>
      </c>
    </row>
    <row r="18" spans="1:22">
      <c r="B18" s="227" t="s">
        <v>36</v>
      </c>
      <c r="C18" s="231">
        <v>2019</v>
      </c>
      <c r="D18" s="232">
        <v>2020</v>
      </c>
      <c r="E18" s="231">
        <v>2021</v>
      </c>
      <c r="F18" s="232">
        <v>2022</v>
      </c>
      <c r="G18" s="231">
        <v>2023</v>
      </c>
      <c r="H18" s="232">
        <v>2024</v>
      </c>
      <c r="I18" s="231">
        <v>2025</v>
      </c>
      <c r="J18" s="232">
        <v>2026</v>
      </c>
      <c r="K18" s="231">
        <v>2027</v>
      </c>
      <c r="L18" s="232">
        <v>2028</v>
      </c>
      <c r="M18" s="231">
        <v>2029</v>
      </c>
      <c r="N18" s="232">
        <v>2030</v>
      </c>
    </row>
    <row r="19" spans="1:22">
      <c r="B19" s="233" t="s">
        <v>37</v>
      </c>
      <c r="C19" s="293">
        <v>283.30833333333334</v>
      </c>
      <c r="D19" s="294">
        <v>290.64166666666665</v>
      </c>
      <c r="E19" s="294">
        <v>294.16666666666669</v>
      </c>
      <c r="F19" s="294">
        <v>307.32821397646848</v>
      </c>
      <c r="G19" s="294">
        <v>334.29358180068937</v>
      </c>
      <c r="H19" s="294">
        <v>352.83651735739545</v>
      </c>
      <c r="I19" s="294">
        <v>360.97742810857477</v>
      </c>
      <c r="J19" s="294">
        <v>366.52764714368323</v>
      </c>
      <c r="K19" s="309">
        <f t="shared" ref="K19:N21" si="1">J19*(1+K$22)</f>
        <v>373.85820008655691</v>
      </c>
      <c r="L19" s="309">
        <f t="shared" si="1"/>
        <v>381.33536408828803</v>
      </c>
      <c r="M19" s="309">
        <f t="shared" si="1"/>
        <v>388.96207137005382</v>
      </c>
      <c r="N19" s="309">
        <f t="shared" si="1"/>
        <v>396.7413127974549</v>
      </c>
      <c r="O19" s="1209"/>
    </row>
    <row r="20" spans="1:22">
      <c r="B20" s="233" t="s">
        <v>38</v>
      </c>
      <c r="C20" s="293">
        <v>286.64999999999998</v>
      </c>
      <c r="D20" s="294">
        <v>292.60000000000002</v>
      </c>
      <c r="E20" s="294">
        <v>298.42363263445759</v>
      </c>
      <c r="F20" s="294">
        <v>319.91658048382931</v>
      </c>
      <c r="G20" s="294">
        <v>346.54233410371501</v>
      </c>
      <c r="H20" s="294">
        <v>357.86889631512634</v>
      </c>
      <c r="I20" s="294">
        <v>363.68027567809611</v>
      </c>
      <c r="J20" s="294">
        <v>369.23294542844485</v>
      </c>
      <c r="K20" s="309">
        <f t="shared" si="1"/>
        <v>376.61760433701374</v>
      </c>
      <c r="L20" s="309">
        <f t="shared" si="1"/>
        <v>384.14995642375402</v>
      </c>
      <c r="M20" s="309">
        <f t="shared" si="1"/>
        <v>391.83295555222912</v>
      </c>
      <c r="N20" s="309">
        <f t="shared" si="1"/>
        <v>399.66961466327371</v>
      </c>
      <c r="O20" s="1209"/>
    </row>
    <row r="21" spans="1:22">
      <c r="A21" s="7"/>
      <c r="B21" s="123" t="s">
        <v>39</v>
      </c>
      <c r="C21" s="295">
        <v>106.43333333333334</v>
      </c>
      <c r="D21" s="295">
        <v>108.24166666666663</v>
      </c>
      <c r="E21" s="295">
        <v>109.10833333333335</v>
      </c>
      <c r="F21" s="295">
        <v>113.11666666666667</v>
      </c>
      <c r="G21" s="295">
        <v>123.04166666666664</v>
      </c>
      <c r="H21" s="295">
        <v>129.86666666666665</v>
      </c>
      <c r="I21" s="295">
        <v>132.86304853440734</v>
      </c>
      <c r="J21" s="295">
        <v>134.90588823466803</v>
      </c>
      <c r="K21" s="309">
        <f t="shared" si="1"/>
        <v>137.60400599936139</v>
      </c>
      <c r="L21" s="309">
        <f t="shared" si="1"/>
        <v>140.35608611934862</v>
      </c>
      <c r="M21" s="309">
        <f t="shared" si="1"/>
        <v>143.16320784173558</v>
      </c>
      <c r="N21" s="309">
        <f t="shared" si="1"/>
        <v>146.02647199857029</v>
      </c>
      <c r="O21" s="1209"/>
      <c r="U21" s="120"/>
      <c r="V21" s="120"/>
    </row>
    <row r="22" spans="1:22" ht="16">
      <c r="A22" s="7"/>
      <c r="B22" s="227" t="s">
        <v>40</v>
      </c>
      <c r="C22" s="123"/>
      <c r="D22" s="123"/>
      <c r="E22" s="123"/>
      <c r="F22" s="123"/>
      <c r="G22" s="123"/>
      <c r="H22" s="124"/>
      <c r="I22" s="123"/>
      <c r="J22" s="123"/>
      <c r="K22" s="173">
        <v>0.02</v>
      </c>
      <c r="L22" s="173">
        <v>0.02</v>
      </c>
      <c r="M22" s="173">
        <v>0.02</v>
      </c>
      <c r="N22" s="173">
        <v>0.02</v>
      </c>
      <c r="O22" s="135" t="s">
        <v>41</v>
      </c>
      <c r="U22" s="120"/>
      <c r="V22" s="120"/>
    </row>
    <row r="23" spans="1:22" ht="16">
      <c r="A23" s="7"/>
      <c r="H23" s="122"/>
      <c r="K23" s="1212"/>
      <c r="L23" s="1212"/>
      <c r="M23" s="1212"/>
      <c r="N23" s="1212"/>
      <c r="O23" s="135"/>
      <c r="U23" s="120"/>
      <c r="V23" s="120"/>
    </row>
    <row r="24" spans="1:22">
      <c r="A24" s="1213" t="s">
        <v>42</v>
      </c>
      <c r="B24" s="1269" t="s">
        <v>43</v>
      </c>
      <c r="U24" s="120"/>
      <c r="V24" s="120"/>
    </row>
    <row r="25" spans="1:22">
      <c r="A25" s="7"/>
      <c r="B25" s="227" t="s">
        <v>34</v>
      </c>
      <c r="C25" s="228" t="str">
        <f t="shared" ref="C25:N25" si="2">IF(VALUE(C27)&lt;=Reporting_Year,"Actual","Forecast")</f>
        <v>Actual</v>
      </c>
      <c r="D25" s="228" t="str">
        <f t="shared" si="2"/>
        <v>Actual</v>
      </c>
      <c r="E25" s="228" t="str">
        <f t="shared" si="2"/>
        <v>Actual</v>
      </c>
      <c r="F25" s="228" t="str">
        <f t="shared" si="2"/>
        <v>Actual</v>
      </c>
      <c r="G25" s="228" t="str">
        <f t="shared" si="2"/>
        <v>Actual</v>
      </c>
      <c r="H25" s="228" t="str">
        <f t="shared" si="2"/>
        <v>Actual</v>
      </c>
      <c r="I25" s="228" t="str">
        <f t="shared" si="2"/>
        <v>Forecast</v>
      </c>
      <c r="J25" s="228" t="str">
        <f t="shared" si="2"/>
        <v>Forecast</v>
      </c>
      <c r="K25" s="228" t="str">
        <f t="shared" si="2"/>
        <v>Forecast</v>
      </c>
      <c r="L25" s="228" t="str">
        <f t="shared" si="2"/>
        <v>Forecast</v>
      </c>
      <c r="M25" s="228" t="str">
        <f t="shared" si="2"/>
        <v>Forecast</v>
      </c>
      <c r="N25" s="228" t="str">
        <f t="shared" si="2"/>
        <v>Forecast</v>
      </c>
      <c r="U25" s="120"/>
      <c r="V25" s="120"/>
    </row>
    <row r="26" spans="1:22">
      <c r="A26" s="7"/>
      <c r="B26" s="227" t="s">
        <v>35</v>
      </c>
      <c r="C26" s="229">
        <v>43555</v>
      </c>
      <c r="D26" s="230">
        <v>43921</v>
      </c>
      <c r="E26" s="230">
        <v>44286</v>
      </c>
      <c r="F26" s="230">
        <v>44651</v>
      </c>
      <c r="G26" s="230">
        <v>45016</v>
      </c>
      <c r="H26" s="229">
        <v>45382</v>
      </c>
      <c r="I26" s="229">
        <v>45747</v>
      </c>
      <c r="J26" s="229">
        <v>46112</v>
      </c>
      <c r="K26" s="229">
        <v>46477</v>
      </c>
      <c r="L26" s="229">
        <v>46843</v>
      </c>
      <c r="M26" s="229">
        <v>47208</v>
      </c>
      <c r="N26" s="229">
        <v>47573</v>
      </c>
      <c r="U26" s="120"/>
      <c r="V26" s="120"/>
    </row>
    <row r="27" spans="1:22">
      <c r="A27" s="7"/>
      <c r="B27" s="227" t="s">
        <v>36</v>
      </c>
      <c r="C27" s="231">
        <v>2019</v>
      </c>
      <c r="D27" s="232">
        <v>2020</v>
      </c>
      <c r="E27" s="231">
        <v>2021</v>
      </c>
      <c r="F27" s="232">
        <v>2022</v>
      </c>
      <c r="G27" s="231">
        <v>2023</v>
      </c>
      <c r="H27" s="232">
        <v>2024</v>
      </c>
      <c r="I27" s="231">
        <v>2025</v>
      </c>
      <c r="J27" s="232">
        <v>2026</v>
      </c>
      <c r="K27" s="1244">
        <v>2027</v>
      </c>
      <c r="L27" s="1245">
        <v>2028</v>
      </c>
      <c r="M27" s="1244">
        <v>2029</v>
      </c>
      <c r="N27" s="1245">
        <v>2030</v>
      </c>
      <c r="U27" s="120"/>
      <c r="V27" s="120"/>
    </row>
    <row r="28" spans="1:22">
      <c r="A28" s="7"/>
      <c r="B28" s="233" t="s">
        <v>37</v>
      </c>
      <c r="C28" s="293">
        <v>283.30833333333334</v>
      </c>
      <c r="D28" s="294">
        <v>290.64166666666665</v>
      </c>
      <c r="E28" s="294">
        <v>294.16666666666669</v>
      </c>
      <c r="F28" s="294">
        <v>311.1583333333333</v>
      </c>
      <c r="G28" s="294">
        <v>351.2166666666667</v>
      </c>
      <c r="H28" s="294">
        <v>376.71650221738128</v>
      </c>
      <c r="I28" s="294">
        <v>385.40839002428197</v>
      </c>
      <c r="J28" s="1243">
        <v>391.33424803100451</v>
      </c>
      <c r="K28" s="1246">
        <v>398.0456355005802</v>
      </c>
      <c r="L28" s="1247">
        <v>405.76023501973924</v>
      </c>
      <c r="M28" s="1248">
        <f t="shared" ref="M28:M29" si="3">L28*(1+M$22)</f>
        <v>413.87543972013401</v>
      </c>
      <c r="N28" s="1248">
        <f t="shared" ref="N28:N29" si="4">M28*(1+N$22)</f>
        <v>422.15294851453672</v>
      </c>
      <c r="O28" s="1209"/>
      <c r="U28" s="120"/>
      <c r="V28" s="120"/>
    </row>
    <row r="29" spans="1:22">
      <c r="A29" s="7"/>
      <c r="B29" s="227" t="s">
        <v>38</v>
      </c>
      <c r="C29" s="293">
        <v>286.64999999999998</v>
      </c>
      <c r="D29" s="294">
        <v>292.60000000000002</v>
      </c>
      <c r="E29" s="294">
        <v>299</v>
      </c>
      <c r="F29" s="294">
        <v>329.05</v>
      </c>
      <c r="G29" s="294">
        <v>369.68596214511041</v>
      </c>
      <c r="H29" s="294">
        <v>382.08947271654415</v>
      </c>
      <c r="I29" s="294">
        <v>388.29416638904945</v>
      </c>
      <c r="J29" s="1243">
        <v>394.48785735339231</v>
      </c>
      <c r="K29" s="1246">
        <v>401.81615050280811</v>
      </c>
      <c r="L29" s="1247">
        <v>409.44663376493384</v>
      </c>
      <c r="M29" s="1248">
        <f t="shared" si="3"/>
        <v>417.63556644023254</v>
      </c>
      <c r="N29" s="1248">
        <f t="shared" si="4"/>
        <v>425.98827776903721</v>
      </c>
      <c r="O29" s="1209"/>
      <c r="U29" s="120"/>
      <c r="V29" s="120"/>
    </row>
    <row r="31" spans="1:22" ht="14.25" customHeight="1">
      <c r="B31" s="1269" t="s">
        <v>44</v>
      </c>
      <c r="M31" s="10"/>
    </row>
    <row r="32" spans="1:22" ht="48.65" customHeight="1">
      <c r="E32" s="228" t="str">
        <f>IF(E33&lt;='RFPR cover'!$C$9,"Actuals","Forecast")</f>
        <v>Actuals</v>
      </c>
      <c r="F32" s="228" t="str">
        <f>IF(F33&lt;='RFPR cover'!$C$9,"Actuals","Forecast")</f>
        <v>Actuals</v>
      </c>
      <c r="G32" s="228" t="str">
        <f>IF(G33&lt;='RFPR cover'!$C$9,"Actuals","Forecast")</f>
        <v>Actuals</v>
      </c>
      <c r="H32" s="228" t="str">
        <f>IF(H33&lt;='RFPR cover'!$C$9,"Actuals","Forecast")</f>
        <v>Actuals</v>
      </c>
      <c r="I32" s="228" t="str">
        <f>IF(I33&lt;='RFPR cover'!$C$9,"Actuals","Forecast")</f>
        <v>Forecast</v>
      </c>
      <c r="J32" s="228" t="str">
        <f>IF(J33&lt;='RFPR cover'!$C$9,"Actuals","Forecast")</f>
        <v>Forecast</v>
      </c>
      <c r="K32" s="228" t="str">
        <f>IF(K33&lt;='RFPR cover'!$C$9,"Actuals","Forecast")</f>
        <v>Forecast</v>
      </c>
      <c r="L32" s="228" t="str">
        <f>IF(L33&lt;='RFPR cover'!$C$9,"Actuals","Forecast")</f>
        <v>Forecast</v>
      </c>
      <c r="M32" s="129"/>
      <c r="N32" s="339"/>
      <c r="O32" s="339"/>
      <c r="P32" s="339"/>
      <c r="Q32" s="339"/>
      <c r="R32" s="339"/>
      <c r="S32" s="339"/>
    </row>
    <row r="33" spans="1:23" ht="58.5" customHeight="1">
      <c r="E33" s="149">
        <v>2021</v>
      </c>
      <c r="F33" s="150">
        <f t="shared" ref="F33:L33" si="5">E33+1</f>
        <v>2022</v>
      </c>
      <c r="G33" s="150">
        <f t="shared" si="5"/>
        <v>2023</v>
      </c>
      <c r="H33" s="150">
        <f t="shared" si="5"/>
        <v>2024</v>
      </c>
      <c r="I33" s="150">
        <f t="shared" si="5"/>
        <v>2025</v>
      </c>
      <c r="J33" s="150">
        <f t="shared" si="5"/>
        <v>2026</v>
      </c>
      <c r="K33" s="150">
        <f t="shared" si="5"/>
        <v>2027</v>
      </c>
      <c r="L33" s="150">
        <f t="shared" si="5"/>
        <v>2028</v>
      </c>
      <c r="M33" s="129"/>
    </row>
    <row r="34" spans="1:23" ht="71.150000000000006" customHeight="1">
      <c r="A34" s="119"/>
      <c r="D34" s="234" t="s">
        <v>45</v>
      </c>
      <c r="E34" s="1228">
        <f>IF(SectorCov="ED2",E28/INDEX($C$28:$N$28,MATCH($E$27,$C$27:$N$27,0)),E19/INDEX($C$19:$N$19,MATCH($C$18,$C$18:$N$18,0)))</f>
        <v>1.0383269111980469</v>
      </c>
      <c r="F34" s="1228">
        <f t="shared" ref="F34:L34" si="6">IF(SectorCov="ED2",F28/INDEX($C$28:$N$28,MATCH($E$27,$C$27:$N$27,0)),F19/INDEX($C$19:$N$19,MATCH($C$18,$C$18:$N$18,0)))</f>
        <v>1.0847835302284383</v>
      </c>
      <c r="G34" s="1228">
        <f t="shared" si="6"/>
        <v>1.1799638149272795</v>
      </c>
      <c r="H34" s="1228">
        <f t="shared" si="6"/>
        <v>1.2454152449594804</v>
      </c>
      <c r="I34" s="1228">
        <f t="shared" si="6"/>
        <v>1.2741504065955518</v>
      </c>
      <c r="J34" s="1228">
        <f t="shared" si="6"/>
        <v>1.2937411435491952</v>
      </c>
      <c r="K34" s="1228">
        <f t="shared" si="6"/>
        <v>1.319615966420179</v>
      </c>
      <c r="L34" s="1228">
        <f t="shared" si="6"/>
        <v>1.3460082857485827</v>
      </c>
      <c r="M34" s="1214"/>
    </row>
    <row r="35" spans="1:23" ht="40.5">
      <c r="A35" s="119"/>
      <c r="B35" s="119"/>
      <c r="C35" s="119"/>
      <c r="D35" s="137" t="s">
        <v>46</v>
      </c>
      <c r="E35" s="1228">
        <f>IF(Sector="ED2",INDEX(Data!$C$28:$N$28,MATCH(E$33,Data!$C$27:$N$27,0))/INDEX(Data!$C$28:$N$28,MATCH(E$33-1,Data!$C$27:$N$27,0)),INDEX(Data!$C$19:$N$19,MATCH(E$33,Data!$C$18:$N$18,0))/INDEX(Data!$C$19:$N$19,MATCH(E$33-1,Data!$C$18:$N$18,0)))</f>
        <v>1.0121283367262093</v>
      </c>
      <c r="F35" s="1228">
        <f>IF(Sector="ED2",INDEX(Data!$C$28:$N$28,MATCH(F$33,Data!$C$27:$N$27,0))/INDEX(Data!$C$28:$N$28,MATCH(F$33-1,Data!$C$27:$N$27,0)),INDEX(Data!$C$19:$N$19,MATCH(F$33,Data!$C$18:$N$18,0))/INDEX(Data!$C$19:$N$19,MATCH(F$33-1,Data!$C$18:$N$18,0)))</f>
        <v>1.0447418038860117</v>
      </c>
      <c r="G35" s="1228">
        <f>IF(Sector="ED2",INDEX(Data!$C$28:$N$28,MATCH(G$33,Data!$C$27:$N$27,0))/INDEX(Data!$C$28:$N$28,MATCH(G$33-1,Data!$C$27:$N$27,0)),INDEX(Data!$C$19:$N$19,MATCH(G$33,Data!$C$18:$N$18,0))/INDEX(Data!$C$19:$N$19,MATCH(G$33-1,Data!$C$18:$N$18,0)))</f>
        <v>1.0877412700751437</v>
      </c>
      <c r="H35" s="1228">
        <f>IF(Sector="ED2",INDEX(Data!$C$28:$N$28,MATCH(H$33,Data!$C$27:$N$27,0))/INDEX(Data!$C$28:$N$28,MATCH(H$33-1,Data!$C$27:$N$27,0)),INDEX(Data!$C$19:$N$19,MATCH(H$33,Data!$C$18:$N$18,0))/INDEX(Data!$C$19:$N$19,MATCH(H$33-1,Data!$C$18:$N$18,0)))</f>
        <v>1.0554690145614631</v>
      </c>
      <c r="I35" s="1228">
        <f>IF(Sector="ED2",INDEX(Data!$C$28:$N$28,MATCH(I$33,Data!$C$27:$N$27,0))/INDEX(Data!$C$28:$N$28,MATCH(I$33-1,Data!$C$27:$N$27,0)),INDEX(Data!$C$19:$N$19,MATCH(I$33,Data!$C$18:$N$18,0))/INDEX(Data!$C$19:$N$19,MATCH(I$33-1,Data!$C$18:$N$18,0)))</f>
        <v>1.0230727556550878</v>
      </c>
      <c r="J35" s="1228">
        <f>IF(Sector="ED2",INDEX(Data!$C$28:$N$28,MATCH(J$33,Data!$C$27:$N$27,0))/INDEX(Data!$C$28:$N$28,MATCH(J$33-1,Data!$C$27:$N$27,0)),INDEX(Data!$C$19:$N$19,MATCH(J$33,Data!$C$18:$N$18,0))/INDEX(Data!$C$19:$N$19,MATCH(J$33-1,Data!$C$18:$N$18,0)))</f>
        <v>1.0153755293348676</v>
      </c>
      <c r="K35" s="1228">
        <f>IF(Sector="ED2",INDEX(Data!$C$28:$N$28,MATCH(K$33,Data!$C$27:$N$27,0))/INDEX(Data!$C$28:$N$28,MATCH(K$33-1,Data!$C$27:$N$27,0)),INDEX(Data!$C$19:$N$19,MATCH(K$33,Data!$C$18:$N$18,0))/INDEX(Data!$C$19:$N$19,MATCH(K$33-1,Data!$C$18:$N$18,0)))</f>
        <v>1.02</v>
      </c>
      <c r="L35" s="1228">
        <f>IF(Sector="ED2",INDEX(Data!$C$28:$N$28,MATCH(L$33,Data!$C$27:$N$27,0))/INDEX(Data!$C$28:$N$28,MATCH(L$33-1,Data!$C$27:$N$27,0)),INDEX(Data!$C$19:$N$19,MATCH(L$33,Data!$C$18:$N$18,0))/INDEX(Data!$C$19:$N$19,MATCH(L$33-1,Data!$C$18:$N$18,0)))</f>
        <v>1.02</v>
      </c>
      <c r="M35" s="129"/>
      <c r="N35" s="122"/>
      <c r="O35" s="122"/>
      <c r="P35" s="122"/>
      <c r="Q35" s="122"/>
      <c r="R35" s="122"/>
      <c r="S35" s="122"/>
      <c r="T35" s="122"/>
      <c r="U35" s="122"/>
      <c r="V35" s="122"/>
      <c r="W35" s="122"/>
    </row>
    <row r="36" spans="1:23" ht="67.5">
      <c r="A36" s="119"/>
      <c r="D36" s="137" t="s">
        <v>47</v>
      </c>
      <c r="E36" s="1228">
        <f>IF(SectorCov="ED2",INDEX(Data!$C$29:$N$29,MATCH(E$33,Data!$C$27:$N$27,0))/Data!$E$28,INDEX(Data!$C$20:$N$20,MATCH(E$33,Data!$C$18:$N$18,0))/Data!$C$19)</f>
        <v>1.0533528227824487</v>
      </c>
      <c r="F36" s="1228">
        <f>IF(SectorCov="ED2",INDEX(Data!$C$29:$N$29,MATCH(F$33,Data!$C$27:$N$27,0))/Data!$E$28,INDEX(Data!$C$20:$N$20,MATCH(F$33,Data!$C$18:$N$18,0))/Data!$C$19)</f>
        <v>1.1292169796764278</v>
      </c>
      <c r="G36" s="1228">
        <f>IF(SectorCov="ED2",INDEX(Data!$C$29:$N$29,MATCH(G$33,Data!$C$27:$N$27,0))/Data!$E$28,INDEX(Data!$C$20:$N$20,MATCH(G$33,Data!$C$18:$N$18,0))/Data!$C$19)</f>
        <v>1.2231985202354856</v>
      </c>
      <c r="H36" s="1228">
        <f>IF(SectorCov="ED2",INDEX(Data!$C$29:$N$29,MATCH(H$33,Data!$C$27:$N$27,0))/Data!$E$28,INDEX(Data!$C$20:$N$20,MATCH(H$33,Data!$C$18:$N$18,0))/Data!$C$19)</f>
        <v>1.2631781497724845</v>
      </c>
      <c r="I36" s="1228">
        <f>IF(SectorCov="ED2",INDEX(Data!$C$29:$N$29,MATCH(I$33,Data!$C$27:$N$27,0))/Data!$E$28,INDEX(Data!$C$20:$N$20,MATCH(I$33,Data!$C$18:$N$18,0))/Data!$C$19)</f>
        <v>1.2836907103971389</v>
      </c>
      <c r="J36" s="1228">
        <f>IF(SectorCov="ED2",INDEX(Data!$C$29:$N$29,MATCH(J$33,Data!$C$27:$N$27,0))/Data!$E$28,INDEX(Data!$C$20:$N$20,MATCH(J$33,Data!$C$18:$N$18,0))/Data!$C$19)</f>
        <v>1.3032900976972492</v>
      </c>
      <c r="K36" s="1228">
        <f>IF(SectorCov="ED2",INDEX(Data!$C$29:$N$29,MATCH(K$33,Data!$C$27:$N$27,0))/Data!$E$28,INDEX(Data!$C$20:$N$20,MATCH(K$33,Data!$C$18:$N$18,0))/Data!$C$19)</f>
        <v>1.3293558996511943</v>
      </c>
      <c r="L36" s="1228">
        <f>IF(SectorCov="ED2",INDEX(Data!$C$29:$N$29,MATCH(L$33,Data!$C$27:$N$27,0))/Data!$E$28,INDEX(Data!$C$20:$N$20,MATCH(L$33,Data!$C$18:$N$18,0))/Data!$C$19)</f>
        <v>1.355943017644218</v>
      </c>
      <c r="M36" s="129"/>
    </row>
    <row r="37" spans="1:23" ht="54" customHeight="1">
      <c r="A37" s="119"/>
      <c r="B37" s="1350" t="s">
        <v>48</v>
      </c>
      <c r="C37" s="1350"/>
      <c r="D37" s="1350"/>
      <c r="E37" s="1350"/>
      <c r="F37" s="1350"/>
      <c r="G37" s="1350"/>
      <c r="H37" s="1350"/>
      <c r="I37" s="1350"/>
      <c r="J37" s="1350"/>
      <c r="K37" s="1350"/>
      <c r="L37" s="1350"/>
      <c r="M37" s="1350"/>
      <c r="N37" s="1350"/>
      <c r="O37" s="1350"/>
      <c r="P37" s="1350"/>
      <c r="Q37" s="37"/>
    </row>
    <row r="38" spans="1:23">
      <c r="B38" s="98"/>
      <c r="C38" s="119"/>
      <c r="D38" s="119"/>
      <c r="E38" s="119"/>
      <c r="F38" s="119"/>
      <c r="G38" s="119"/>
      <c r="H38" s="119"/>
      <c r="I38" s="119"/>
      <c r="J38" s="119"/>
    </row>
    <row r="39" spans="1:23">
      <c r="B39" s="61"/>
      <c r="C39" s="61"/>
      <c r="D39" s="38"/>
      <c r="E39" s="61"/>
      <c r="F39" s="62"/>
      <c r="G39" s="63"/>
      <c r="H39" s="63"/>
      <c r="I39" s="63"/>
      <c r="J39" s="64"/>
      <c r="K39" s="64"/>
      <c r="L39" s="38"/>
      <c r="M39" s="38"/>
      <c r="N39" s="38"/>
      <c r="O39" s="38"/>
      <c r="P39" s="38"/>
      <c r="Q39" s="38"/>
      <c r="R39" s="38"/>
      <c r="S39" s="38"/>
      <c r="T39" s="38"/>
    </row>
    <row r="40" spans="1:23">
      <c r="B40" s="60" t="s">
        <v>49</v>
      </c>
      <c r="C40" s="34"/>
      <c r="I40" s="14"/>
    </row>
    <row r="41" spans="1:23">
      <c r="C41" s="149">
        <v>2022</v>
      </c>
      <c r="D41" s="150">
        <f t="shared" ref="D41" si="7">C41+1</f>
        <v>2023</v>
      </c>
      <c r="E41" s="150">
        <f t="shared" ref="E41" si="8">D41+1</f>
        <v>2024</v>
      </c>
      <c r="F41" s="150">
        <f t="shared" ref="F41" si="9">E41+1</f>
        <v>2025</v>
      </c>
      <c r="G41" s="150">
        <f t="shared" ref="G41" si="10">F41+1</f>
        <v>2026</v>
      </c>
      <c r="H41" s="150">
        <f t="shared" ref="H41" si="11">G41+1</f>
        <v>2027</v>
      </c>
      <c r="I41" s="150">
        <f t="shared" ref="I41" si="12">H41+1</f>
        <v>2028</v>
      </c>
    </row>
    <row r="42" spans="1:23">
      <c r="B42" s="147" t="s">
        <v>50</v>
      </c>
      <c r="C42" s="138"/>
      <c r="D42" s="139"/>
      <c r="E42" s="131">
        <v>3.04E-2</v>
      </c>
      <c r="F42" s="131">
        <v>3.1099999999999999E-2</v>
      </c>
      <c r="G42" s="131">
        <v>3.1699999999999999E-2</v>
      </c>
      <c r="H42" s="131">
        <v>3.1800000000000002E-2</v>
      </c>
      <c r="I42" s="132">
        <v>3.2000000000000001E-2</v>
      </c>
      <c r="J42" s="1209"/>
    </row>
    <row r="43" spans="1:23">
      <c r="B43" s="1195" t="s">
        <v>51</v>
      </c>
      <c r="C43" s="1196"/>
      <c r="D43" s="1197"/>
      <c r="E43" s="1198">
        <v>3.04E-2</v>
      </c>
      <c r="F43" s="1198">
        <v>3.1099999999999999E-2</v>
      </c>
      <c r="G43" s="1198">
        <v>3.1699999999999999E-2</v>
      </c>
      <c r="H43" s="1198">
        <v>3.1800000000000002E-2</v>
      </c>
      <c r="I43" s="1199">
        <v>3.2000000000000001E-2</v>
      </c>
      <c r="J43" s="1209"/>
    </row>
    <row r="44" spans="1:23">
      <c r="B44" s="1195" t="s">
        <v>52</v>
      </c>
      <c r="C44" s="1196"/>
      <c r="D44" s="1197"/>
      <c r="E44" s="1198">
        <v>3.04E-2</v>
      </c>
      <c r="F44" s="1198">
        <v>3.1099999999999999E-2</v>
      </c>
      <c r="G44" s="1198">
        <v>3.1699999999999999E-2</v>
      </c>
      <c r="H44" s="1198">
        <v>3.1800000000000002E-2</v>
      </c>
      <c r="I44" s="1199">
        <v>3.2000000000000001E-2</v>
      </c>
      <c r="J44" s="1209"/>
    </row>
    <row r="45" spans="1:23">
      <c r="A45" s="125"/>
      <c r="B45" s="141" t="s">
        <v>53</v>
      </c>
      <c r="C45" s="140"/>
      <c r="D45" s="81"/>
      <c r="E45" s="133">
        <v>3.1E-2</v>
      </c>
      <c r="F45" s="133">
        <v>3.1699999999999999E-2</v>
      </c>
      <c r="G45" s="133">
        <v>3.2300000000000002E-2</v>
      </c>
      <c r="H45" s="133">
        <v>3.2399999999999998E-2</v>
      </c>
      <c r="I45" s="59">
        <v>3.2599999999999997E-2</v>
      </c>
      <c r="J45" s="1209"/>
    </row>
    <row r="46" spans="1:23">
      <c r="A46" s="125"/>
      <c r="B46" s="141" t="s">
        <v>54</v>
      </c>
      <c r="C46" s="141">
        <v>1.8184707641684131E-2</v>
      </c>
      <c r="D46" s="133">
        <v>1.5809503423148775E-2</v>
      </c>
      <c r="E46" s="133">
        <v>1.8000565597912722E-2</v>
      </c>
      <c r="F46" s="133">
        <v>2.3276186478151731E-2</v>
      </c>
      <c r="G46" s="133">
        <v>2.7418061040625063E-2</v>
      </c>
      <c r="H46" s="81"/>
      <c r="I46" s="142"/>
      <c r="J46" s="1209"/>
    </row>
    <row r="47" spans="1:23">
      <c r="A47" s="126"/>
      <c r="B47" s="141" t="s">
        <v>55</v>
      </c>
      <c r="C47" s="141">
        <v>2.0500000000000001E-2</v>
      </c>
      <c r="D47" s="133">
        <v>1.9E-2</v>
      </c>
      <c r="E47" s="133">
        <v>1.9199999999999998E-2</v>
      </c>
      <c r="F47" s="133">
        <v>2.1100000000000001E-2</v>
      </c>
      <c r="G47" s="133">
        <v>2.29E-2</v>
      </c>
      <c r="H47" s="81"/>
      <c r="I47" s="142"/>
      <c r="J47" s="1209"/>
      <c r="N47" s="113"/>
      <c r="O47" s="113"/>
      <c r="P47" s="113"/>
      <c r="Q47" s="113"/>
      <c r="R47" s="113"/>
    </row>
    <row r="48" spans="1:23">
      <c r="A48" s="125"/>
      <c r="B48" s="141" t="s">
        <v>25</v>
      </c>
      <c r="C48" s="141">
        <v>2.0500000000000001E-2</v>
      </c>
      <c r="D48" s="133">
        <v>1.9E-2</v>
      </c>
      <c r="E48" s="133">
        <v>1.9199999999999998E-2</v>
      </c>
      <c r="F48" s="133">
        <v>2.1100000000000001E-2</v>
      </c>
      <c r="G48" s="133">
        <v>2.29E-2</v>
      </c>
      <c r="H48" s="81"/>
      <c r="I48" s="142"/>
      <c r="J48" s="1209"/>
    </row>
    <row r="49" spans="1:23">
      <c r="A49" s="125"/>
      <c r="B49" s="141" t="s">
        <v>56</v>
      </c>
      <c r="C49" s="141">
        <v>2.1100000000000001E-2</v>
      </c>
      <c r="D49" s="133">
        <v>1.9599999999999999E-2</v>
      </c>
      <c r="E49" s="133">
        <v>1.9799999999999998E-2</v>
      </c>
      <c r="F49" s="133">
        <v>2.1700000000000001E-2</v>
      </c>
      <c r="G49" s="133">
        <v>2.35E-2</v>
      </c>
      <c r="H49" s="81"/>
      <c r="I49" s="142"/>
      <c r="J49" s="1209"/>
    </row>
    <row r="50" spans="1:23">
      <c r="A50" s="125"/>
      <c r="B50" s="141" t="s">
        <v>27</v>
      </c>
      <c r="C50" s="141">
        <v>2.0500000000000001E-2</v>
      </c>
      <c r="D50" s="133">
        <v>1.9E-2</v>
      </c>
      <c r="E50" s="133">
        <v>1.9199999999999998E-2</v>
      </c>
      <c r="F50" s="133">
        <v>2.1100000000000001E-2</v>
      </c>
      <c r="G50" s="133">
        <v>2.29E-2</v>
      </c>
      <c r="H50" s="81"/>
      <c r="I50" s="142"/>
      <c r="J50" s="1209"/>
    </row>
    <row r="51" spans="1:23">
      <c r="A51" s="125"/>
      <c r="B51" s="143" t="s">
        <v>29</v>
      </c>
      <c r="C51" s="143">
        <v>-5.9999999999999995E-4</v>
      </c>
      <c r="D51" s="144">
        <v>2.12E-2</v>
      </c>
      <c r="E51" s="144">
        <v>5.0099999999999999E-2</v>
      </c>
      <c r="F51" s="144">
        <v>4.7300000000000002E-2</v>
      </c>
      <c r="G51" s="144">
        <v>4.19E-2</v>
      </c>
      <c r="H51" s="145"/>
      <c r="I51" s="146"/>
      <c r="J51" s="1209"/>
    </row>
    <row r="52" spans="1:23">
      <c r="C52" s="183"/>
      <c r="D52" s="183"/>
      <c r="E52" s="183"/>
      <c r="F52" s="183"/>
      <c r="G52" s="183"/>
      <c r="H52" s="14"/>
    </row>
    <row r="53" spans="1:23">
      <c r="B53" s="60" t="s">
        <v>57</v>
      </c>
      <c r="C53" s="34"/>
      <c r="D53" s="34"/>
      <c r="E53" s="34"/>
      <c r="F53" s="34"/>
      <c r="G53" s="34"/>
      <c r="I53" s="14"/>
    </row>
    <row r="54" spans="1:23">
      <c r="A54" s="12" t="s">
        <v>6</v>
      </c>
      <c r="C54" s="149">
        <v>2022</v>
      </c>
      <c r="D54" s="150">
        <f t="shared" ref="D54:I54" si="13">C54+1</f>
        <v>2023</v>
      </c>
      <c r="E54" s="150">
        <f t="shared" si="13"/>
        <v>2024</v>
      </c>
      <c r="F54" s="150">
        <f t="shared" si="13"/>
        <v>2025</v>
      </c>
      <c r="G54" s="150">
        <f t="shared" si="13"/>
        <v>2026</v>
      </c>
      <c r="H54" s="150">
        <f t="shared" si="13"/>
        <v>2027</v>
      </c>
      <c r="I54" s="150">
        <f t="shared" si="13"/>
        <v>2028</v>
      </c>
    </row>
    <row r="55" spans="1:23">
      <c r="A55" s="12" t="s">
        <v>42</v>
      </c>
      <c r="B55" s="141" t="s">
        <v>19</v>
      </c>
      <c r="C55" s="140"/>
      <c r="D55" s="81"/>
      <c r="E55" s="133">
        <v>5.2833944000000001E-2</v>
      </c>
      <c r="F55" s="133">
        <v>5.5875458000000003E-2</v>
      </c>
      <c r="G55" s="133">
        <v>5.5175427000000006E-2</v>
      </c>
      <c r="H55" s="133">
        <v>5.5320261000000003E-2</v>
      </c>
      <c r="I55" s="59">
        <v>5.5489234000000012E-2</v>
      </c>
    </row>
    <row r="56" spans="1:23">
      <c r="A56" s="12" t="s">
        <v>58</v>
      </c>
      <c r="B56" s="141" t="s">
        <v>22</v>
      </c>
      <c r="C56" s="141">
        <v>4.2439449777777784E-2</v>
      </c>
      <c r="D56" s="133">
        <v>4.2616093333333334E-2</v>
      </c>
      <c r="E56" s="133">
        <v>4.909683911111111E-2</v>
      </c>
      <c r="F56" s="133">
        <v>5.2011518222222233E-2</v>
      </c>
      <c r="G56" s="133">
        <v>5.158926844444444E-2</v>
      </c>
      <c r="H56" s="81"/>
      <c r="I56" s="142"/>
      <c r="N56" s="113"/>
      <c r="O56" s="113"/>
      <c r="P56" s="113"/>
      <c r="Q56" s="113"/>
      <c r="R56" s="113"/>
    </row>
    <row r="57" spans="1:23">
      <c r="A57" s="12" t="s">
        <v>59</v>
      </c>
      <c r="B57" s="141" t="s">
        <v>25</v>
      </c>
      <c r="C57" s="141">
        <v>4.5181881000000007E-2</v>
      </c>
      <c r="D57" s="133">
        <v>4.5568104999999998E-2</v>
      </c>
      <c r="E57" s="133">
        <v>5.2833943999999994E-2</v>
      </c>
      <c r="F57" s="133">
        <v>5.5875458000000003E-2</v>
      </c>
      <c r="G57" s="133">
        <v>5.5175426999999992E-2</v>
      </c>
      <c r="H57" s="81"/>
      <c r="I57" s="142"/>
    </row>
    <row r="58" spans="1:23">
      <c r="A58" s="12" t="s">
        <v>60</v>
      </c>
      <c r="B58" s="141" t="s">
        <v>27</v>
      </c>
      <c r="C58" s="244">
        <v>4.5181881000000007E-2</v>
      </c>
      <c r="D58" s="245">
        <v>4.5568104999999991E-2</v>
      </c>
      <c r="E58" s="245">
        <v>5.2833943999999994E-2</v>
      </c>
      <c r="F58" s="245">
        <v>5.587545800000001E-2</v>
      </c>
      <c r="G58" s="245">
        <v>5.5175426999999992E-2</v>
      </c>
      <c r="H58" s="81"/>
      <c r="I58" s="142"/>
    </row>
    <row r="59" spans="1:23">
      <c r="A59" s="12" t="s">
        <v>61</v>
      </c>
      <c r="B59" s="143" t="s">
        <v>29</v>
      </c>
      <c r="C59" s="246">
        <v>7.5718976000000007E-2</v>
      </c>
      <c r="D59" s="246">
        <v>7.5510080000000007E-2</v>
      </c>
      <c r="E59" s="246">
        <v>7.1580223999999998E-2</v>
      </c>
      <c r="F59" s="246">
        <v>6.9935168000000006E-2</v>
      </c>
      <c r="G59" s="246">
        <v>7.0313792E-2</v>
      </c>
      <c r="H59" s="185"/>
      <c r="I59" s="146"/>
    </row>
    <row r="60" spans="1:23" ht="14" thickBot="1">
      <c r="A60" s="125"/>
      <c r="B60" s="183"/>
      <c r="C60" s="183"/>
      <c r="D60" s="183"/>
      <c r="E60" s="183"/>
      <c r="F60" s="183"/>
      <c r="G60" s="183"/>
      <c r="H60" s="184"/>
      <c r="I60" s="184"/>
    </row>
    <row r="61" spans="1:23" s="122" customFormat="1" ht="41" thickBot="1">
      <c r="A61"/>
      <c r="B61" s="3"/>
      <c r="C61" s="200" t="s">
        <v>62</v>
      </c>
      <c r="D61" s="200" t="s">
        <v>63</v>
      </c>
      <c r="E61" s="200" t="s">
        <v>64</v>
      </c>
      <c r="F61" s="200" t="s">
        <v>65</v>
      </c>
      <c r="G61" s="201" t="s">
        <v>66</v>
      </c>
      <c r="H61" s="1331" t="s">
        <v>67</v>
      </c>
      <c r="I61" s="1332"/>
      <c r="J61" s="1332"/>
      <c r="K61" s="1332"/>
      <c r="L61" s="1332"/>
      <c r="M61" s="1332"/>
      <c r="N61" s="1332"/>
      <c r="O61" s="1328" t="s">
        <v>68</v>
      </c>
      <c r="P61" s="1329"/>
      <c r="Q61" s="1329"/>
      <c r="R61" s="1329"/>
      <c r="S61" s="1329"/>
      <c r="T61" s="1329"/>
      <c r="U61" s="1330"/>
      <c r="V61"/>
      <c r="W61"/>
    </row>
    <row r="62" spans="1:23" ht="14" thickBot="1">
      <c r="A62" s="48" t="s">
        <v>6</v>
      </c>
      <c r="B62" s="196" t="s">
        <v>69</v>
      </c>
      <c r="C62" s="197"/>
      <c r="D62" s="197"/>
      <c r="E62" s="198"/>
      <c r="F62" s="199"/>
      <c r="G62" s="1186"/>
      <c r="H62" s="1190">
        <v>2022</v>
      </c>
      <c r="I62" s="1191">
        <f t="shared" ref="I62:N62" si="14">H62+1</f>
        <v>2023</v>
      </c>
      <c r="J62" s="1191">
        <f t="shared" si="14"/>
        <v>2024</v>
      </c>
      <c r="K62" s="1192">
        <f t="shared" si="14"/>
        <v>2025</v>
      </c>
      <c r="L62" s="1192">
        <f t="shared" si="14"/>
        <v>2026</v>
      </c>
      <c r="M62" s="1192">
        <f t="shared" si="14"/>
        <v>2027</v>
      </c>
      <c r="N62" s="1193">
        <f t="shared" si="14"/>
        <v>2028</v>
      </c>
      <c r="O62" s="1175">
        <v>2022</v>
      </c>
      <c r="P62" s="187">
        <f t="shared" ref="P62:U62" si="15">O62+1</f>
        <v>2023</v>
      </c>
      <c r="Q62" s="187">
        <f t="shared" si="15"/>
        <v>2024</v>
      </c>
      <c r="R62" s="188">
        <f t="shared" si="15"/>
        <v>2025</v>
      </c>
      <c r="S62" s="188">
        <f t="shared" si="15"/>
        <v>2026</v>
      </c>
      <c r="T62" s="188">
        <f t="shared" si="15"/>
        <v>2027</v>
      </c>
      <c r="U62" s="1176">
        <f t="shared" si="15"/>
        <v>2028</v>
      </c>
    </row>
    <row r="63" spans="1:23">
      <c r="A63" s="12" t="s">
        <v>19</v>
      </c>
      <c r="B63" s="191" t="s">
        <v>70</v>
      </c>
      <c r="C63" s="190">
        <v>0.50600000000000001</v>
      </c>
      <c r="D63" s="133">
        <v>0.6</v>
      </c>
      <c r="E63" s="192">
        <v>2024</v>
      </c>
      <c r="F63" s="1169" t="str">
        <f t="shared" ref="F63:F91" si="16">VLOOKUP($A63,$H$6:$I$10,2,FALSE)</f>
        <v>£m 20/21</v>
      </c>
      <c r="G63" s="1187" t="s">
        <v>53</v>
      </c>
      <c r="H63" s="1194"/>
      <c r="I63" s="189"/>
      <c r="J63" s="1173">
        <f t="shared" ref="J63:N76" si="17">INDEX($C$42:$I$51,MATCH($G63,$B$42:$B$51,0),MATCH(J$62,$C$41:$I$41))</f>
        <v>3.1E-2</v>
      </c>
      <c r="K63" s="1173">
        <f t="shared" si="17"/>
        <v>3.1699999999999999E-2</v>
      </c>
      <c r="L63" s="1173">
        <f t="shared" si="17"/>
        <v>3.2300000000000002E-2</v>
      </c>
      <c r="M63" s="1172">
        <f t="shared" si="17"/>
        <v>3.2399999999999998E-2</v>
      </c>
      <c r="N63" s="1178">
        <f t="shared" si="17"/>
        <v>3.2599999999999997E-2</v>
      </c>
      <c r="O63" s="1177"/>
      <c r="P63" s="139"/>
      <c r="Q63" s="1174">
        <f t="shared" ref="Q63:U76" si="18">INDEX($C$55:$I$59,MATCH($A63,$B$55:$B$59,0),MATCH(Q$62,$C$54:$I$54))</f>
        <v>5.2833944000000001E-2</v>
      </c>
      <c r="R63" s="1174">
        <f t="shared" si="18"/>
        <v>5.5875458000000003E-2</v>
      </c>
      <c r="S63" s="1174">
        <f t="shared" si="18"/>
        <v>5.5175427000000006E-2</v>
      </c>
      <c r="T63" s="1172">
        <f t="shared" si="18"/>
        <v>5.5320261000000003E-2</v>
      </c>
      <c r="U63" s="1178">
        <f t="shared" si="18"/>
        <v>5.5489234000000012E-2</v>
      </c>
    </row>
    <row r="64" spans="1:23">
      <c r="A64" s="12" t="s">
        <v>19</v>
      </c>
      <c r="B64" s="193" t="s">
        <v>71</v>
      </c>
      <c r="C64" s="133">
        <v>0.501</v>
      </c>
      <c r="D64" s="133">
        <v>0.6</v>
      </c>
      <c r="E64" s="49">
        <v>2024</v>
      </c>
      <c r="F64" s="1170" t="str">
        <f t="shared" si="16"/>
        <v>£m 20/21</v>
      </c>
      <c r="G64" s="1188" t="s">
        <v>53</v>
      </c>
      <c r="H64" s="1179"/>
      <c r="I64" s="81"/>
      <c r="J64" s="1172">
        <f t="shared" si="17"/>
        <v>3.1E-2</v>
      </c>
      <c r="K64" s="1172">
        <f t="shared" si="17"/>
        <v>3.1699999999999999E-2</v>
      </c>
      <c r="L64" s="1172">
        <f t="shared" si="17"/>
        <v>3.2300000000000002E-2</v>
      </c>
      <c r="M64" s="1172">
        <f t="shared" si="17"/>
        <v>3.2399999999999998E-2</v>
      </c>
      <c r="N64" s="1178">
        <f t="shared" si="17"/>
        <v>3.2599999999999997E-2</v>
      </c>
      <c r="O64" s="1179"/>
      <c r="P64" s="81"/>
      <c r="Q64" s="1172">
        <f t="shared" si="18"/>
        <v>5.2833944000000001E-2</v>
      </c>
      <c r="R64" s="1172">
        <f t="shared" si="18"/>
        <v>5.5875458000000003E-2</v>
      </c>
      <c r="S64" s="1172">
        <f t="shared" si="18"/>
        <v>5.5175427000000006E-2</v>
      </c>
      <c r="T64" s="1172">
        <f t="shared" si="18"/>
        <v>5.5320261000000003E-2</v>
      </c>
      <c r="U64" s="1178">
        <f t="shared" si="18"/>
        <v>5.5489234000000012E-2</v>
      </c>
    </row>
    <row r="65" spans="1:21">
      <c r="A65" s="12" t="s">
        <v>19</v>
      </c>
      <c r="B65" s="193" t="s">
        <v>72</v>
      </c>
      <c r="C65" s="133">
        <v>0.501</v>
      </c>
      <c r="D65" s="133">
        <v>0.6</v>
      </c>
      <c r="E65" s="49">
        <v>2024</v>
      </c>
      <c r="F65" s="1170" t="str">
        <f t="shared" si="16"/>
        <v>£m 20/21</v>
      </c>
      <c r="G65" s="1188" t="s">
        <v>53</v>
      </c>
      <c r="H65" s="1179"/>
      <c r="I65" s="81"/>
      <c r="J65" s="1172">
        <f t="shared" si="17"/>
        <v>3.1E-2</v>
      </c>
      <c r="K65" s="1172">
        <f t="shared" si="17"/>
        <v>3.1699999999999999E-2</v>
      </c>
      <c r="L65" s="1172">
        <f t="shared" si="17"/>
        <v>3.2300000000000002E-2</v>
      </c>
      <c r="M65" s="1172">
        <f t="shared" si="17"/>
        <v>3.2399999999999998E-2</v>
      </c>
      <c r="N65" s="1178">
        <f t="shared" si="17"/>
        <v>3.2599999999999997E-2</v>
      </c>
      <c r="O65" s="1179"/>
      <c r="P65" s="81"/>
      <c r="Q65" s="1172">
        <f t="shared" si="18"/>
        <v>5.2833944000000001E-2</v>
      </c>
      <c r="R65" s="1172">
        <f t="shared" si="18"/>
        <v>5.5875458000000003E-2</v>
      </c>
      <c r="S65" s="1172">
        <f t="shared" si="18"/>
        <v>5.5175427000000006E-2</v>
      </c>
      <c r="T65" s="1172">
        <f t="shared" si="18"/>
        <v>5.5320261000000003E-2</v>
      </c>
      <c r="U65" s="1178">
        <f t="shared" si="18"/>
        <v>5.5489234000000012E-2</v>
      </c>
    </row>
    <row r="66" spans="1:21">
      <c r="A66" s="12" t="s">
        <v>19</v>
      </c>
      <c r="B66" s="193" t="s">
        <v>52</v>
      </c>
      <c r="C66" s="133">
        <v>0.5</v>
      </c>
      <c r="D66" s="133">
        <v>0.6</v>
      </c>
      <c r="E66" s="49">
        <v>2024</v>
      </c>
      <c r="F66" s="1170" t="str">
        <f t="shared" si="16"/>
        <v>£m 20/21</v>
      </c>
      <c r="G66" s="1188" t="s">
        <v>52</v>
      </c>
      <c r="H66" s="1179"/>
      <c r="I66" s="81"/>
      <c r="J66" s="1172">
        <f t="shared" si="17"/>
        <v>3.04E-2</v>
      </c>
      <c r="K66" s="1172">
        <f t="shared" si="17"/>
        <v>3.1099999999999999E-2</v>
      </c>
      <c r="L66" s="1172">
        <f t="shared" si="17"/>
        <v>3.1699999999999999E-2</v>
      </c>
      <c r="M66" s="1172">
        <f t="shared" si="17"/>
        <v>3.1800000000000002E-2</v>
      </c>
      <c r="N66" s="1178">
        <f t="shared" si="17"/>
        <v>3.2000000000000001E-2</v>
      </c>
      <c r="O66" s="1179"/>
      <c r="P66" s="81"/>
      <c r="Q66" s="1172">
        <f t="shared" si="18"/>
        <v>5.2833944000000001E-2</v>
      </c>
      <c r="R66" s="1172">
        <f t="shared" si="18"/>
        <v>5.5875458000000003E-2</v>
      </c>
      <c r="S66" s="1172">
        <f t="shared" si="18"/>
        <v>5.5175427000000006E-2</v>
      </c>
      <c r="T66" s="1172">
        <f t="shared" si="18"/>
        <v>5.5320261000000003E-2</v>
      </c>
      <c r="U66" s="1178">
        <f t="shared" si="18"/>
        <v>5.5489234000000012E-2</v>
      </c>
    </row>
    <row r="67" spans="1:21">
      <c r="A67" s="12" t="s">
        <v>19</v>
      </c>
      <c r="B67" s="193" t="s">
        <v>73</v>
      </c>
      <c r="C67" s="133">
        <v>0.5</v>
      </c>
      <c r="D67" s="133">
        <v>0.6</v>
      </c>
      <c r="E67" s="49">
        <v>2024</v>
      </c>
      <c r="F67" s="1170" t="str">
        <f t="shared" si="16"/>
        <v>£m 20/21</v>
      </c>
      <c r="G67" s="1188" t="s">
        <v>53</v>
      </c>
      <c r="H67" s="1179"/>
      <c r="I67" s="81"/>
      <c r="J67" s="1172">
        <f t="shared" si="17"/>
        <v>3.1E-2</v>
      </c>
      <c r="K67" s="1172">
        <f t="shared" si="17"/>
        <v>3.1699999999999999E-2</v>
      </c>
      <c r="L67" s="1172">
        <f t="shared" si="17"/>
        <v>3.2300000000000002E-2</v>
      </c>
      <c r="M67" s="1172">
        <f t="shared" si="17"/>
        <v>3.2399999999999998E-2</v>
      </c>
      <c r="N67" s="1178">
        <f t="shared" si="17"/>
        <v>3.2599999999999997E-2</v>
      </c>
      <c r="O67" s="1179"/>
      <c r="P67" s="81"/>
      <c r="Q67" s="1172">
        <f t="shared" si="18"/>
        <v>5.2833944000000001E-2</v>
      </c>
      <c r="R67" s="1172">
        <f t="shared" si="18"/>
        <v>5.5875458000000003E-2</v>
      </c>
      <c r="S67" s="1172">
        <f t="shared" si="18"/>
        <v>5.5175427000000006E-2</v>
      </c>
      <c r="T67" s="1172">
        <f t="shared" si="18"/>
        <v>5.5320261000000003E-2</v>
      </c>
      <c r="U67" s="1178">
        <f t="shared" si="18"/>
        <v>5.5489234000000012E-2</v>
      </c>
    </row>
    <row r="68" spans="1:21">
      <c r="A68" s="12" t="s">
        <v>19</v>
      </c>
      <c r="B68" s="193" t="s">
        <v>74</v>
      </c>
      <c r="C68" s="133">
        <v>0.5</v>
      </c>
      <c r="D68" s="133">
        <v>0.6</v>
      </c>
      <c r="E68" s="49">
        <v>2024</v>
      </c>
      <c r="F68" s="1170" t="str">
        <f t="shared" si="16"/>
        <v>£m 20/21</v>
      </c>
      <c r="G68" s="1188" t="s">
        <v>53</v>
      </c>
      <c r="H68" s="1179"/>
      <c r="I68" s="81"/>
      <c r="J68" s="1172">
        <f t="shared" si="17"/>
        <v>3.1E-2</v>
      </c>
      <c r="K68" s="1172">
        <f t="shared" si="17"/>
        <v>3.1699999999999999E-2</v>
      </c>
      <c r="L68" s="1172">
        <f t="shared" si="17"/>
        <v>3.2300000000000002E-2</v>
      </c>
      <c r="M68" s="1172">
        <f t="shared" si="17"/>
        <v>3.2399999999999998E-2</v>
      </c>
      <c r="N68" s="1178">
        <f t="shared" si="17"/>
        <v>3.2599999999999997E-2</v>
      </c>
      <c r="O68" s="1179"/>
      <c r="P68" s="81"/>
      <c r="Q68" s="1172">
        <f t="shared" si="18"/>
        <v>5.2833944000000001E-2</v>
      </c>
      <c r="R68" s="1172">
        <f t="shared" si="18"/>
        <v>5.5875458000000003E-2</v>
      </c>
      <c r="S68" s="1172">
        <f t="shared" si="18"/>
        <v>5.5175427000000006E-2</v>
      </c>
      <c r="T68" s="1172">
        <f t="shared" si="18"/>
        <v>5.5320261000000003E-2</v>
      </c>
      <c r="U68" s="1178">
        <f t="shared" si="18"/>
        <v>5.5489234000000012E-2</v>
      </c>
    </row>
    <row r="69" spans="1:21">
      <c r="A69" s="12" t="s">
        <v>19</v>
      </c>
      <c r="B69" s="193" t="s">
        <v>75</v>
      </c>
      <c r="C69" s="133">
        <v>0.5</v>
      </c>
      <c r="D69" s="133">
        <v>0.6</v>
      </c>
      <c r="E69" s="49">
        <v>2024</v>
      </c>
      <c r="F69" s="1170" t="str">
        <f t="shared" si="16"/>
        <v>£m 20/21</v>
      </c>
      <c r="G69" s="1188" t="s">
        <v>53</v>
      </c>
      <c r="H69" s="1179"/>
      <c r="I69" s="81"/>
      <c r="J69" s="1172">
        <f t="shared" si="17"/>
        <v>3.1E-2</v>
      </c>
      <c r="K69" s="1172">
        <f t="shared" si="17"/>
        <v>3.1699999999999999E-2</v>
      </c>
      <c r="L69" s="1172">
        <f t="shared" si="17"/>
        <v>3.2300000000000002E-2</v>
      </c>
      <c r="M69" s="1172">
        <f t="shared" si="17"/>
        <v>3.2399999999999998E-2</v>
      </c>
      <c r="N69" s="1178">
        <f t="shared" si="17"/>
        <v>3.2599999999999997E-2</v>
      </c>
      <c r="O69" s="1179"/>
      <c r="P69" s="81"/>
      <c r="Q69" s="1172">
        <f t="shared" si="18"/>
        <v>5.2833944000000001E-2</v>
      </c>
      <c r="R69" s="1172">
        <f t="shared" si="18"/>
        <v>5.5875458000000003E-2</v>
      </c>
      <c r="S69" s="1172">
        <f t="shared" si="18"/>
        <v>5.5175427000000006E-2</v>
      </c>
      <c r="T69" s="1172">
        <f t="shared" si="18"/>
        <v>5.5320261000000003E-2</v>
      </c>
      <c r="U69" s="1178">
        <f t="shared" si="18"/>
        <v>5.5489234000000012E-2</v>
      </c>
    </row>
    <row r="70" spans="1:21">
      <c r="A70" s="12" t="s">
        <v>19</v>
      </c>
      <c r="B70" s="193" t="s">
        <v>76</v>
      </c>
      <c r="C70" s="133">
        <v>0.5</v>
      </c>
      <c r="D70" s="133">
        <v>0.6</v>
      </c>
      <c r="E70" s="49">
        <v>2024</v>
      </c>
      <c r="F70" s="1170" t="str">
        <f t="shared" si="16"/>
        <v>£m 20/21</v>
      </c>
      <c r="G70" s="1188" t="s">
        <v>53</v>
      </c>
      <c r="H70" s="1179"/>
      <c r="I70" s="81"/>
      <c r="J70" s="1172">
        <f t="shared" si="17"/>
        <v>3.1E-2</v>
      </c>
      <c r="K70" s="1172">
        <f t="shared" si="17"/>
        <v>3.1699999999999999E-2</v>
      </c>
      <c r="L70" s="1172">
        <f t="shared" si="17"/>
        <v>3.2300000000000002E-2</v>
      </c>
      <c r="M70" s="1172">
        <f t="shared" si="17"/>
        <v>3.2399999999999998E-2</v>
      </c>
      <c r="N70" s="1178">
        <f t="shared" si="17"/>
        <v>3.2599999999999997E-2</v>
      </c>
      <c r="O70" s="1179"/>
      <c r="P70" s="81"/>
      <c r="Q70" s="1172">
        <f t="shared" si="18"/>
        <v>5.2833944000000001E-2</v>
      </c>
      <c r="R70" s="1172">
        <f t="shared" si="18"/>
        <v>5.5875458000000003E-2</v>
      </c>
      <c r="S70" s="1172">
        <f t="shared" si="18"/>
        <v>5.5175427000000006E-2</v>
      </c>
      <c r="T70" s="1172">
        <f t="shared" si="18"/>
        <v>5.5320261000000003E-2</v>
      </c>
      <c r="U70" s="1178">
        <f t="shared" si="18"/>
        <v>5.5489234000000012E-2</v>
      </c>
    </row>
    <row r="71" spans="1:21">
      <c r="A71" s="12" t="s">
        <v>19</v>
      </c>
      <c r="B71" s="193" t="s">
        <v>77</v>
      </c>
      <c r="C71" s="133">
        <v>0.50700000000000001</v>
      </c>
      <c r="D71" s="133">
        <v>0.6</v>
      </c>
      <c r="E71" s="49">
        <v>2024</v>
      </c>
      <c r="F71" s="1170" t="str">
        <f t="shared" si="16"/>
        <v>£m 20/21</v>
      </c>
      <c r="G71" s="1188" t="s">
        <v>53</v>
      </c>
      <c r="H71" s="1179"/>
      <c r="I71" s="81"/>
      <c r="J71" s="1172">
        <f t="shared" si="17"/>
        <v>3.1E-2</v>
      </c>
      <c r="K71" s="1172">
        <f t="shared" si="17"/>
        <v>3.1699999999999999E-2</v>
      </c>
      <c r="L71" s="1172">
        <f t="shared" si="17"/>
        <v>3.2300000000000002E-2</v>
      </c>
      <c r="M71" s="1172">
        <f t="shared" si="17"/>
        <v>3.2399999999999998E-2</v>
      </c>
      <c r="N71" s="1178">
        <f t="shared" si="17"/>
        <v>3.2599999999999997E-2</v>
      </c>
      <c r="O71" s="1179"/>
      <c r="P71" s="81"/>
      <c r="Q71" s="1172">
        <f t="shared" si="18"/>
        <v>5.2833944000000001E-2</v>
      </c>
      <c r="R71" s="1172">
        <f t="shared" si="18"/>
        <v>5.5875458000000003E-2</v>
      </c>
      <c r="S71" s="1172">
        <f t="shared" si="18"/>
        <v>5.5175427000000006E-2</v>
      </c>
      <c r="T71" s="1172">
        <f t="shared" si="18"/>
        <v>5.5320261000000003E-2</v>
      </c>
      <c r="U71" s="1178">
        <f t="shared" si="18"/>
        <v>5.5489234000000012E-2</v>
      </c>
    </row>
    <row r="72" spans="1:21">
      <c r="A72" s="12" t="s">
        <v>19</v>
      </c>
      <c r="B72" s="193" t="s">
        <v>50</v>
      </c>
      <c r="C72" s="133">
        <v>0.50700000000000001</v>
      </c>
      <c r="D72" s="133">
        <v>0.6</v>
      </c>
      <c r="E72" s="49">
        <v>2024</v>
      </c>
      <c r="F72" s="1170" t="str">
        <f t="shared" si="16"/>
        <v>£m 20/21</v>
      </c>
      <c r="G72" s="1188" t="s">
        <v>50</v>
      </c>
      <c r="H72" s="1179"/>
      <c r="I72" s="81"/>
      <c r="J72" s="1172">
        <f t="shared" si="17"/>
        <v>3.04E-2</v>
      </c>
      <c r="K72" s="1172">
        <f t="shared" si="17"/>
        <v>3.1099999999999999E-2</v>
      </c>
      <c r="L72" s="1172">
        <f t="shared" si="17"/>
        <v>3.1699999999999999E-2</v>
      </c>
      <c r="M72" s="1172">
        <f t="shared" si="17"/>
        <v>3.1800000000000002E-2</v>
      </c>
      <c r="N72" s="1178">
        <f t="shared" si="17"/>
        <v>3.2000000000000001E-2</v>
      </c>
      <c r="O72" s="1179"/>
      <c r="P72" s="81"/>
      <c r="Q72" s="1172">
        <f t="shared" si="18"/>
        <v>5.2833944000000001E-2</v>
      </c>
      <c r="R72" s="1172">
        <f t="shared" si="18"/>
        <v>5.5875458000000003E-2</v>
      </c>
      <c r="S72" s="1172">
        <f t="shared" si="18"/>
        <v>5.5175427000000006E-2</v>
      </c>
      <c r="T72" s="1172">
        <f t="shared" si="18"/>
        <v>5.5320261000000003E-2</v>
      </c>
      <c r="U72" s="1178">
        <f t="shared" si="18"/>
        <v>5.5489234000000012E-2</v>
      </c>
    </row>
    <row r="73" spans="1:21">
      <c r="A73" s="12" t="s">
        <v>19</v>
      </c>
      <c r="B73" s="193" t="s">
        <v>51</v>
      </c>
      <c r="C73" s="133">
        <v>0.5</v>
      </c>
      <c r="D73" s="133">
        <v>0.6</v>
      </c>
      <c r="E73" s="49">
        <v>2024</v>
      </c>
      <c r="F73" s="1170" t="str">
        <f t="shared" si="16"/>
        <v>£m 20/21</v>
      </c>
      <c r="G73" s="1188" t="s">
        <v>51</v>
      </c>
      <c r="H73" s="1179"/>
      <c r="I73" s="81"/>
      <c r="J73" s="1172">
        <f t="shared" si="17"/>
        <v>3.04E-2</v>
      </c>
      <c r="K73" s="1172">
        <f t="shared" si="17"/>
        <v>3.1099999999999999E-2</v>
      </c>
      <c r="L73" s="1172">
        <f t="shared" si="17"/>
        <v>3.1699999999999999E-2</v>
      </c>
      <c r="M73" s="1172">
        <f t="shared" si="17"/>
        <v>3.1800000000000002E-2</v>
      </c>
      <c r="N73" s="1178">
        <f t="shared" si="17"/>
        <v>3.2000000000000001E-2</v>
      </c>
      <c r="O73" s="1179"/>
      <c r="P73" s="81"/>
      <c r="Q73" s="1172">
        <f t="shared" si="18"/>
        <v>5.2833944000000001E-2</v>
      </c>
      <c r="R73" s="1172">
        <f t="shared" si="18"/>
        <v>5.5875458000000003E-2</v>
      </c>
      <c r="S73" s="1172">
        <f t="shared" si="18"/>
        <v>5.5175427000000006E-2</v>
      </c>
      <c r="T73" s="1172">
        <f t="shared" si="18"/>
        <v>5.5320261000000003E-2</v>
      </c>
      <c r="U73" s="1178">
        <f t="shared" si="18"/>
        <v>5.5489234000000012E-2</v>
      </c>
    </row>
    <row r="74" spans="1:21">
      <c r="A74" s="12" t="s">
        <v>19</v>
      </c>
      <c r="B74" s="193" t="s">
        <v>78</v>
      </c>
      <c r="C74" s="133">
        <v>0.5</v>
      </c>
      <c r="D74" s="133">
        <v>0.6</v>
      </c>
      <c r="E74" s="49">
        <v>2024</v>
      </c>
      <c r="F74" s="1170" t="str">
        <f t="shared" si="16"/>
        <v>£m 20/21</v>
      </c>
      <c r="G74" s="1188" t="s">
        <v>53</v>
      </c>
      <c r="H74" s="1179"/>
      <c r="I74" s="81"/>
      <c r="J74" s="1172">
        <f t="shared" si="17"/>
        <v>3.1E-2</v>
      </c>
      <c r="K74" s="1172">
        <f t="shared" si="17"/>
        <v>3.1699999999999999E-2</v>
      </c>
      <c r="L74" s="1172">
        <f t="shared" si="17"/>
        <v>3.2300000000000002E-2</v>
      </c>
      <c r="M74" s="1172">
        <f t="shared" si="17"/>
        <v>3.2399999999999998E-2</v>
      </c>
      <c r="N74" s="1178">
        <f t="shared" si="17"/>
        <v>3.2599999999999997E-2</v>
      </c>
      <c r="O74" s="1179"/>
      <c r="P74" s="81"/>
      <c r="Q74" s="1172">
        <f t="shared" si="18"/>
        <v>5.2833944000000001E-2</v>
      </c>
      <c r="R74" s="1172">
        <f t="shared" si="18"/>
        <v>5.5875458000000003E-2</v>
      </c>
      <c r="S74" s="1172">
        <f t="shared" si="18"/>
        <v>5.5175427000000006E-2</v>
      </c>
      <c r="T74" s="1172">
        <f t="shared" si="18"/>
        <v>5.5320261000000003E-2</v>
      </c>
      <c r="U74" s="1178">
        <f t="shared" si="18"/>
        <v>5.5489234000000012E-2</v>
      </c>
    </row>
    <row r="75" spans="1:21">
      <c r="A75" s="12" t="s">
        <v>19</v>
      </c>
      <c r="B75" s="193" t="s">
        <v>79</v>
      </c>
      <c r="C75" s="133">
        <v>0.5</v>
      </c>
      <c r="D75" s="133">
        <v>0.6</v>
      </c>
      <c r="E75" s="49">
        <v>2024</v>
      </c>
      <c r="F75" s="1170" t="str">
        <f t="shared" si="16"/>
        <v>£m 20/21</v>
      </c>
      <c r="G75" s="1188" t="s">
        <v>53</v>
      </c>
      <c r="H75" s="1179"/>
      <c r="I75" s="81"/>
      <c r="J75" s="1172">
        <f t="shared" si="17"/>
        <v>3.1E-2</v>
      </c>
      <c r="K75" s="1172">
        <f t="shared" si="17"/>
        <v>3.1699999999999999E-2</v>
      </c>
      <c r="L75" s="1172">
        <f t="shared" si="17"/>
        <v>3.2300000000000002E-2</v>
      </c>
      <c r="M75" s="1172">
        <f t="shared" si="17"/>
        <v>3.2399999999999998E-2</v>
      </c>
      <c r="N75" s="1178">
        <f t="shared" si="17"/>
        <v>3.2599999999999997E-2</v>
      </c>
      <c r="O75" s="1179"/>
      <c r="P75" s="81"/>
      <c r="Q75" s="1172">
        <f t="shared" si="18"/>
        <v>5.2833944000000001E-2</v>
      </c>
      <c r="R75" s="1172">
        <f t="shared" si="18"/>
        <v>5.5875458000000003E-2</v>
      </c>
      <c r="S75" s="1172">
        <f t="shared" si="18"/>
        <v>5.5175427000000006E-2</v>
      </c>
      <c r="T75" s="1172">
        <f t="shared" si="18"/>
        <v>5.5320261000000003E-2</v>
      </c>
      <c r="U75" s="1178">
        <f t="shared" si="18"/>
        <v>5.5489234000000012E-2</v>
      </c>
    </row>
    <row r="76" spans="1:21">
      <c r="A76" s="12" t="s">
        <v>19</v>
      </c>
      <c r="B76" s="193" t="s">
        <v>80</v>
      </c>
      <c r="C76" s="133">
        <v>0.5</v>
      </c>
      <c r="D76" s="133">
        <v>0.6</v>
      </c>
      <c r="E76" s="49">
        <v>2024</v>
      </c>
      <c r="F76" s="1170" t="str">
        <f t="shared" si="16"/>
        <v>£m 20/21</v>
      </c>
      <c r="G76" s="1188" t="s">
        <v>53</v>
      </c>
      <c r="H76" s="1179"/>
      <c r="I76" s="81"/>
      <c r="J76" s="1172">
        <f t="shared" si="17"/>
        <v>3.1E-2</v>
      </c>
      <c r="K76" s="1172">
        <f t="shared" si="17"/>
        <v>3.1699999999999999E-2</v>
      </c>
      <c r="L76" s="1172">
        <f t="shared" si="17"/>
        <v>3.2300000000000002E-2</v>
      </c>
      <c r="M76" s="1172">
        <f t="shared" si="17"/>
        <v>3.2399999999999998E-2</v>
      </c>
      <c r="N76" s="1178">
        <f t="shared" si="17"/>
        <v>3.2599999999999997E-2</v>
      </c>
      <c r="O76" s="1179"/>
      <c r="P76" s="81"/>
      <c r="Q76" s="1172">
        <f t="shared" si="18"/>
        <v>5.2833944000000001E-2</v>
      </c>
      <c r="R76" s="1172">
        <f t="shared" si="18"/>
        <v>5.5875458000000003E-2</v>
      </c>
      <c r="S76" s="1172">
        <f t="shared" si="18"/>
        <v>5.5175427000000006E-2</v>
      </c>
      <c r="T76" s="1172">
        <f t="shared" si="18"/>
        <v>5.5320261000000003E-2</v>
      </c>
      <c r="U76" s="1178">
        <f t="shared" si="18"/>
        <v>5.5489234000000012E-2</v>
      </c>
    </row>
    <row r="77" spans="1:21">
      <c r="A77" s="12" t="s">
        <v>25</v>
      </c>
      <c r="B77" s="193" t="s">
        <v>81</v>
      </c>
      <c r="C77" s="133">
        <v>0.5</v>
      </c>
      <c r="D77" s="133">
        <v>0.6</v>
      </c>
      <c r="E77" s="49">
        <v>2022</v>
      </c>
      <c r="F77" s="1170" t="str">
        <f t="shared" si="16"/>
        <v>£m 18/19</v>
      </c>
      <c r="G77" s="1188" t="s">
        <v>25</v>
      </c>
      <c r="H77" s="1180">
        <f t="shared" ref="H77:L91" si="19">INDEX($C$42:$I$51,MATCH($G77,$B$42:$B$51,0),MATCH(H$62,$C$41:$I$41))</f>
        <v>2.0500000000000001E-2</v>
      </c>
      <c r="I77" s="1172">
        <f t="shared" si="19"/>
        <v>1.9E-2</v>
      </c>
      <c r="J77" s="1172">
        <f t="shared" si="19"/>
        <v>1.9199999999999998E-2</v>
      </c>
      <c r="K77" s="1172">
        <f t="shared" si="19"/>
        <v>2.1100000000000001E-2</v>
      </c>
      <c r="L77" s="1172">
        <f t="shared" si="19"/>
        <v>2.29E-2</v>
      </c>
      <c r="M77" s="81"/>
      <c r="N77" s="1181"/>
      <c r="O77" s="1180">
        <f t="shared" ref="O77:S91" si="20">INDEX($C$55:$I$59,MATCH($A77,$B$55:$B$59,0),MATCH(O$62,$C$54:$I$54))</f>
        <v>4.5181881000000007E-2</v>
      </c>
      <c r="P77" s="1172">
        <f t="shared" si="20"/>
        <v>4.5568104999999998E-2</v>
      </c>
      <c r="Q77" s="1172">
        <f t="shared" si="20"/>
        <v>5.2833943999999994E-2</v>
      </c>
      <c r="R77" s="1172">
        <f t="shared" si="20"/>
        <v>5.5875458000000003E-2</v>
      </c>
      <c r="S77" s="1172">
        <f t="shared" si="20"/>
        <v>5.5175426999999992E-2</v>
      </c>
      <c r="T77" s="81"/>
      <c r="U77" s="1181"/>
    </row>
    <row r="78" spans="1:21">
      <c r="A78" s="12" t="s">
        <v>25</v>
      </c>
      <c r="B78" s="193" t="s">
        <v>82</v>
      </c>
      <c r="C78" s="133">
        <v>0.5</v>
      </c>
      <c r="D78" s="133">
        <v>0.6</v>
      </c>
      <c r="E78" s="49">
        <v>2022</v>
      </c>
      <c r="F78" s="1170" t="str">
        <f t="shared" si="16"/>
        <v>£m 18/19</v>
      </c>
      <c r="G78" s="1188" t="s">
        <v>25</v>
      </c>
      <c r="H78" s="1180">
        <f t="shared" si="19"/>
        <v>2.0500000000000001E-2</v>
      </c>
      <c r="I78" s="1172">
        <f t="shared" si="19"/>
        <v>1.9E-2</v>
      </c>
      <c r="J78" s="1172">
        <f t="shared" si="19"/>
        <v>1.9199999999999998E-2</v>
      </c>
      <c r="K78" s="1172">
        <f t="shared" si="19"/>
        <v>2.1100000000000001E-2</v>
      </c>
      <c r="L78" s="1172">
        <f t="shared" si="19"/>
        <v>2.29E-2</v>
      </c>
      <c r="M78" s="81"/>
      <c r="N78" s="1181"/>
      <c r="O78" s="1180">
        <f t="shared" si="20"/>
        <v>4.5181881000000007E-2</v>
      </c>
      <c r="P78" s="1172">
        <f t="shared" si="20"/>
        <v>4.5568104999999998E-2</v>
      </c>
      <c r="Q78" s="1172">
        <f t="shared" si="20"/>
        <v>5.2833943999999994E-2</v>
      </c>
      <c r="R78" s="1172">
        <f t="shared" si="20"/>
        <v>5.5875458000000003E-2</v>
      </c>
      <c r="S78" s="1172">
        <f t="shared" si="20"/>
        <v>5.5175426999999992E-2</v>
      </c>
      <c r="T78" s="81"/>
      <c r="U78" s="1181"/>
    </row>
    <row r="79" spans="1:21">
      <c r="A79" s="12" t="s">
        <v>25</v>
      </c>
      <c r="B79" s="193" t="s">
        <v>83</v>
      </c>
      <c r="C79" s="133">
        <v>0.5</v>
      </c>
      <c r="D79" s="133">
        <v>0.6</v>
      </c>
      <c r="E79" s="49">
        <v>2022</v>
      </c>
      <c r="F79" s="1170" t="str">
        <f t="shared" si="16"/>
        <v>£m 18/19</v>
      </c>
      <c r="G79" s="1188" t="s">
        <v>25</v>
      </c>
      <c r="H79" s="1180">
        <f t="shared" si="19"/>
        <v>2.0500000000000001E-2</v>
      </c>
      <c r="I79" s="1172">
        <f t="shared" si="19"/>
        <v>1.9E-2</v>
      </c>
      <c r="J79" s="1172">
        <f t="shared" si="19"/>
        <v>1.9199999999999998E-2</v>
      </c>
      <c r="K79" s="1172">
        <f t="shared" si="19"/>
        <v>2.1100000000000001E-2</v>
      </c>
      <c r="L79" s="1172">
        <f t="shared" si="19"/>
        <v>2.29E-2</v>
      </c>
      <c r="M79" s="81"/>
      <c r="N79" s="1181"/>
      <c r="O79" s="1180">
        <f t="shared" si="20"/>
        <v>4.5181881000000007E-2</v>
      </c>
      <c r="P79" s="1172">
        <f t="shared" si="20"/>
        <v>4.5568104999999998E-2</v>
      </c>
      <c r="Q79" s="1172">
        <f t="shared" si="20"/>
        <v>5.2833943999999994E-2</v>
      </c>
      <c r="R79" s="1172">
        <f t="shared" si="20"/>
        <v>5.5875458000000003E-2</v>
      </c>
      <c r="S79" s="1172">
        <f t="shared" si="20"/>
        <v>5.5175426999999992E-2</v>
      </c>
      <c r="T79" s="81"/>
      <c r="U79" s="1181"/>
    </row>
    <row r="80" spans="1:21">
      <c r="A80" s="12" t="s">
        <v>25</v>
      </c>
      <c r="B80" s="193" t="s">
        <v>4</v>
      </c>
      <c r="C80" s="133">
        <v>0.5</v>
      </c>
      <c r="D80" s="133">
        <v>0.6</v>
      </c>
      <c r="E80" s="49">
        <v>2022</v>
      </c>
      <c r="F80" s="1170" t="str">
        <f t="shared" si="16"/>
        <v>£m 18/19</v>
      </c>
      <c r="G80" s="1188" t="s">
        <v>25</v>
      </c>
      <c r="H80" s="1180">
        <f t="shared" si="19"/>
        <v>2.0500000000000001E-2</v>
      </c>
      <c r="I80" s="1172">
        <f t="shared" si="19"/>
        <v>1.9E-2</v>
      </c>
      <c r="J80" s="1172">
        <f t="shared" si="19"/>
        <v>1.9199999999999998E-2</v>
      </c>
      <c r="K80" s="1172">
        <f t="shared" si="19"/>
        <v>2.1100000000000001E-2</v>
      </c>
      <c r="L80" s="1172">
        <f t="shared" si="19"/>
        <v>2.29E-2</v>
      </c>
      <c r="M80" s="81"/>
      <c r="N80" s="1181"/>
      <c r="O80" s="1180">
        <f t="shared" si="20"/>
        <v>4.5181881000000007E-2</v>
      </c>
      <c r="P80" s="1172">
        <f t="shared" si="20"/>
        <v>4.5568104999999998E-2</v>
      </c>
      <c r="Q80" s="1172">
        <f t="shared" si="20"/>
        <v>5.2833943999999994E-2</v>
      </c>
      <c r="R80" s="1172">
        <f t="shared" si="20"/>
        <v>5.5875458000000003E-2</v>
      </c>
      <c r="S80" s="1172">
        <f t="shared" si="20"/>
        <v>5.5175426999999992E-2</v>
      </c>
      <c r="T80" s="81"/>
      <c r="U80" s="1181"/>
    </row>
    <row r="81" spans="1:21">
      <c r="A81" s="12" t="s">
        <v>25</v>
      </c>
      <c r="B81" s="193" t="s">
        <v>84</v>
      </c>
      <c r="C81" s="133">
        <v>0.51</v>
      </c>
      <c r="D81" s="133">
        <v>0.6</v>
      </c>
      <c r="E81" s="49">
        <v>2022</v>
      </c>
      <c r="F81" s="1170" t="str">
        <f t="shared" si="16"/>
        <v>£m 18/19</v>
      </c>
      <c r="G81" s="1188" t="s">
        <v>56</v>
      </c>
      <c r="H81" s="1180">
        <f t="shared" si="19"/>
        <v>2.1100000000000001E-2</v>
      </c>
      <c r="I81" s="1172">
        <f t="shared" si="19"/>
        <v>1.9599999999999999E-2</v>
      </c>
      <c r="J81" s="1172">
        <f t="shared" si="19"/>
        <v>1.9799999999999998E-2</v>
      </c>
      <c r="K81" s="1172">
        <f t="shared" si="19"/>
        <v>2.1700000000000001E-2</v>
      </c>
      <c r="L81" s="1172">
        <f t="shared" si="19"/>
        <v>2.35E-2</v>
      </c>
      <c r="M81" s="81"/>
      <c r="N81" s="1181"/>
      <c r="O81" s="1180">
        <f t="shared" si="20"/>
        <v>4.5181881000000007E-2</v>
      </c>
      <c r="P81" s="1172">
        <f t="shared" si="20"/>
        <v>4.5568104999999998E-2</v>
      </c>
      <c r="Q81" s="1172">
        <f t="shared" si="20"/>
        <v>5.2833943999999994E-2</v>
      </c>
      <c r="R81" s="1172">
        <f t="shared" si="20"/>
        <v>5.5875458000000003E-2</v>
      </c>
      <c r="S81" s="1172">
        <f t="shared" si="20"/>
        <v>5.5175426999999992E-2</v>
      </c>
      <c r="T81" s="81"/>
      <c r="U81" s="1181"/>
    </row>
    <row r="82" spans="1:21">
      <c r="A82" s="12" t="s">
        <v>25</v>
      </c>
      <c r="B82" s="193" t="s">
        <v>85</v>
      </c>
      <c r="C82" s="133">
        <v>0.51</v>
      </c>
      <c r="D82" s="133">
        <v>0.6</v>
      </c>
      <c r="E82" s="49">
        <v>2022</v>
      </c>
      <c r="F82" s="1170" t="str">
        <f t="shared" si="16"/>
        <v>£m 18/19</v>
      </c>
      <c r="G82" s="1188" t="s">
        <v>56</v>
      </c>
      <c r="H82" s="1180">
        <f t="shared" si="19"/>
        <v>2.1100000000000001E-2</v>
      </c>
      <c r="I82" s="1172">
        <f t="shared" si="19"/>
        <v>1.9599999999999999E-2</v>
      </c>
      <c r="J82" s="1172">
        <f t="shared" si="19"/>
        <v>1.9799999999999998E-2</v>
      </c>
      <c r="K82" s="1172">
        <f t="shared" si="19"/>
        <v>2.1700000000000001E-2</v>
      </c>
      <c r="L82" s="1172">
        <f t="shared" si="19"/>
        <v>2.35E-2</v>
      </c>
      <c r="M82" s="81"/>
      <c r="N82" s="1181"/>
      <c r="O82" s="1180">
        <f t="shared" si="20"/>
        <v>4.5181881000000007E-2</v>
      </c>
      <c r="P82" s="1172">
        <f t="shared" si="20"/>
        <v>4.5568104999999998E-2</v>
      </c>
      <c r="Q82" s="1172">
        <f t="shared" si="20"/>
        <v>5.2833943999999994E-2</v>
      </c>
      <c r="R82" s="1172">
        <f t="shared" si="20"/>
        <v>5.5875458000000003E-2</v>
      </c>
      <c r="S82" s="1172">
        <f t="shared" si="20"/>
        <v>5.5175426999999992E-2</v>
      </c>
      <c r="T82" s="81"/>
      <c r="U82" s="1181"/>
    </row>
    <row r="83" spans="1:21">
      <c r="A83" s="12" t="s">
        <v>25</v>
      </c>
      <c r="B83" s="193" t="s">
        <v>86</v>
      </c>
      <c r="C83" s="133">
        <v>0.5</v>
      </c>
      <c r="D83" s="133">
        <v>0.6</v>
      </c>
      <c r="E83" s="49">
        <v>2022</v>
      </c>
      <c r="F83" s="1170" t="str">
        <f t="shared" si="16"/>
        <v>£m 18/19</v>
      </c>
      <c r="G83" s="1188" t="s">
        <v>25</v>
      </c>
      <c r="H83" s="1180">
        <f t="shared" si="19"/>
        <v>2.0500000000000001E-2</v>
      </c>
      <c r="I83" s="1172">
        <f t="shared" si="19"/>
        <v>1.9E-2</v>
      </c>
      <c r="J83" s="1172">
        <f t="shared" si="19"/>
        <v>1.9199999999999998E-2</v>
      </c>
      <c r="K83" s="1172">
        <f t="shared" si="19"/>
        <v>2.1100000000000001E-2</v>
      </c>
      <c r="L83" s="1172">
        <f t="shared" si="19"/>
        <v>2.29E-2</v>
      </c>
      <c r="M83" s="81"/>
      <c r="N83" s="1181"/>
      <c r="O83" s="1180">
        <f t="shared" si="20"/>
        <v>4.5181881000000007E-2</v>
      </c>
      <c r="P83" s="1172">
        <f t="shared" si="20"/>
        <v>4.5568104999999998E-2</v>
      </c>
      <c r="Q83" s="1172">
        <f t="shared" si="20"/>
        <v>5.2833943999999994E-2</v>
      </c>
      <c r="R83" s="1172">
        <f t="shared" si="20"/>
        <v>5.5875458000000003E-2</v>
      </c>
      <c r="S83" s="1172">
        <f t="shared" si="20"/>
        <v>5.5175426999999992E-2</v>
      </c>
      <c r="T83" s="81"/>
      <c r="U83" s="1181"/>
    </row>
    <row r="84" spans="1:21">
      <c r="A84" s="12" t="s">
        <v>25</v>
      </c>
      <c r="B84" s="193" t="s">
        <v>87</v>
      </c>
      <c r="C84" s="133">
        <v>0.5</v>
      </c>
      <c r="D84" s="133">
        <v>0.6</v>
      </c>
      <c r="E84" s="49">
        <v>2022</v>
      </c>
      <c r="F84" s="1170" t="str">
        <f t="shared" si="16"/>
        <v>£m 18/19</v>
      </c>
      <c r="G84" s="1188" t="s">
        <v>56</v>
      </c>
      <c r="H84" s="1180">
        <f t="shared" si="19"/>
        <v>2.1100000000000001E-2</v>
      </c>
      <c r="I84" s="1172">
        <f t="shared" si="19"/>
        <v>1.9599999999999999E-2</v>
      </c>
      <c r="J84" s="1172">
        <f t="shared" si="19"/>
        <v>1.9799999999999998E-2</v>
      </c>
      <c r="K84" s="1172">
        <f t="shared" si="19"/>
        <v>2.1700000000000001E-2</v>
      </c>
      <c r="L84" s="1172">
        <f t="shared" si="19"/>
        <v>2.35E-2</v>
      </c>
      <c r="M84" s="81"/>
      <c r="N84" s="1181"/>
      <c r="O84" s="1180">
        <f t="shared" si="20"/>
        <v>4.5181881000000007E-2</v>
      </c>
      <c r="P84" s="1172">
        <f t="shared" si="20"/>
        <v>4.5568104999999998E-2</v>
      </c>
      <c r="Q84" s="1172">
        <f t="shared" si="20"/>
        <v>5.2833943999999994E-2</v>
      </c>
      <c r="R84" s="1172">
        <f t="shared" si="20"/>
        <v>5.5875458000000003E-2</v>
      </c>
      <c r="S84" s="1172">
        <f t="shared" si="20"/>
        <v>5.5175426999999992E-2</v>
      </c>
      <c r="T84" s="81"/>
      <c r="U84" s="1181"/>
    </row>
    <row r="85" spans="1:21">
      <c r="A85" s="12" t="s">
        <v>27</v>
      </c>
      <c r="B85" s="193" t="s">
        <v>88</v>
      </c>
      <c r="C85" s="133">
        <v>0.61</v>
      </c>
      <c r="D85" s="133">
        <v>0.6</v>
      </c>
      <c r="E85" s="49">
        <v>2022</v>
      </c>
      <c r="F85" s="1170" t="str">
        <f t="shared" si="16"/>
        <v>£m 18/19</v>
      </c>
      <c r="G85" s="1188" t="s">
        <v>27</v>
      </c>
      <c r="H85" s="1180">
        <f t="shared" si="19"/>
        <v>2.0500000000000001E-2</v>
      </c>
      <c r="I85" s="1172">
        <f t="shared" si="19"/>
        <v>1.9E-2</v>
      </c>
      <c r="J85" s="1172">
        <f t="shared" si="19"/>
        <v>1.9199999999999998E-2</v>
      </c>
      <c r="K85" s="1172">
        <f t="shared" si="19"/>
        <v>2.1100000000000001E-2</v>
      </c>
      <c r="L85" s="1172">
        <f t="shared" si="19"/>
        <v>2.29E-2</v>
      </c>
      <c r="M85" s="81"/>
      <c r="N85" s="1181"/>
      <c r="O85" s="1180">
        <f t="shared" si="20"/>
        <v>4.5181881000000007E-2</v>
      </c>
      <c r="P85" s="1172">
        <f t="shared" si="20"/>
        <v>4.5568104999999991E-2</v>
      </c>
      <c r="Q85" s="1172">
        <f t="shared" si="20"/>
        <v>5.2833943999999994E-2</v>
      </c>
      <c r="R85" s="1172">
        <f t="shared" si="20"/>
        <v>5.587545800000001E-2</v>
      </c>
      <c r="S85" s="1172">
        <f t="shared" si="20"/>
        <v>5.5175426999999992E-2</v>
      </c>
      <c r="T85" s="81"/>
      <c r="U85" s="1181"/>
    </row>
    <row r="86" spans="1:21">
      <c r="A86" s="12" t="s">
        <v>27</v>
      </c>
      <c r="B86" s="193" t="s">
        <v>89</v>
      </c>
      <c r="C86" s="133">
        <v>0.61</v>
      </c>
      <c r="D86" s="133">
        <v>0.6</v>
      </c>
      <c r="E86" s="49">
        <v>2022</v>
      </c>
      <c r="F86" s="1170" t="str">
        <f t="shared" si="16"/>
        <v>£m 18/19</v>
      </c>
      <c r="G86" s="1188" t="s">
        <v>27</v>
      </c>
      <c r="H86" s="1180">
        <f t="shared" si="19"/>
        <v>2.0500000000000001E-2</v>
      </c>
      <c r="I86" s="1172">
        <f t="shared" si="19"/>
        <v>1.9E-2</v>
      </c>
      <c r="J86" s="1172">
        <f t="shared" si="19"/>
        <v>1.9199999999999998E-2</v>
      </c>
      <c r="K86" s="1172">
        <f t="shared" si="19"/>
        <v>2.1100000000000001E-2</v>
      </c>
      <c r="L86" s="1172">
        <f t="shared" si="19"/>
        <v>2.29E-2</v>
      </c>
      <c r="M86" s="81"/>
      <c r="N86" s="1181"/>
      <c r="O86" s="1180">
        <f t="shared" si="20"/>
        <v>4.5181881000000007E-2</v>
      </c>
      <c r="P86" s="1172">
        <f t="shared" si="20"/>
        <v>4.5568104999999991E-2</v>
      </c>
      <c r="Q86" s="1172">
        <f t="shared" si="20"/>
        <v>5.2833943999999994E-2</v>
      </c>
      <c r="R86" s="1172">
        <f t="shared" si="20"/>
        <v>5.587545800000001E-2</v>
      </c>
      <c r="S86" s="1172">
        <f t="shared" si="20"/>
        <v>5.5175426999999992E-2</v>
      </c>
      <c r="T86" s="81"/>
      <c r="U86" s="1181"/>
    </row>
    <row r="87" spans="1:21">
      <c r="A87" s="12" t="s">
        <v>27</v>
      </c>
      <c r="B87" s="193" t="s">
        <v>90</v>
      </c>
      <c r="C87" s="133">
        <v>0.61</v>
      </c>
      <c r="D87" s="133">
        <v>0.6</v>
      </c>
      <c r="E87" s="49">
        <v>2022</v>
      </c>
      <c r="F87" s="1170" t="str">
        <f t="shared" si="16"/>
        <v>£m 18/19</v>
      </c>
      <c r="G87" s="1188" t="s">
        <v>27</v>
      </c>
      <c r="H87" s="1180">
        <f t="shared" si="19"/>
        <v>2.0500000000000001E-2</v>
      </c>
      <c r="I87" s="1172">
        <f t="shared" si="19"/>
        <v>1.9E-2</v>
      </c>
      <c r="J87" s="1172">
        <f t="shared" si="19"/>
        <v>1.9199999999999998E-2</v>
      </c>
      <c r="K87" s="1172">
        <f t="shared" si="19"/>
        <v>2.1100000000000001E-2</v>
      </c>
      <c r="L87" s="1172">
        <f t="shared" si="19"/>
        <v>2.29E-2</v>
      </c>
      <c r="M87" s="81"/>
      <c r="N87" s="1181"/>
      <c r="O87" s="1180">
        <f t="shared" si="20"/>
        <v>4.5181881000000007E-2</v>
      </c>
      <c r="P87" s="1172">
        <f t="shared" si="20"/>
        <v>4.5568104999999991E-2</v>
      </c>
      <c r="Q87" s="1172">
        <f t="shared" si="20"/>
        <v>5.2833943999999994E-2</v>
      </c>
      <c r="R87" s="1172">
        <f t="shared" si="20"/>
        <v>5.587545800000001E-2</v>
      </c>
      <c r="S87" s="1172">
        <f t="shared" si="20"/>
        <v>5.5175426999999992E-2</v>
      </c>
      <c r="T87" s="81"/>
      <c r="U87" s="1181"/>
    </row>
    <row r="88" spans="1:21">
      <c r="A88" s="12" t="s">
        <v>22</v>
      </c>
      <c r="B88" s="193" t="s">
        <v>91</v>
      </c>
      <c r="C88" s="133">
        <v>0.67</v>
      </c>
      <c r="D88" s="133">
        <v>0.55000000000000004</v>
      </c>
      <c r="E88" s="49">
        <v>2022</v>
      </c>
      <c r="F88" s="1170" t="str">
        <f t="shared" si="16"/>
        <v>£m 18/19</v>
      </c>
      <c r="G88" s="1188" t="s">
        <v>55</v>
      </c>
      <c r="H88" s="1180">
        <f t="shared" si="19"/>
        <v>2.0500000000000001E-2</v>
      </c>
      <c r="I88" s="1172">
        <f t="shared" si="19"/>
        <v>1.9E-2</v>
      </c>
      <c r="J88" s="1172">
        <f t="shared" si="19"/>
        <v>1.9199999999999998E-2</v>
      </c>
      <c r="K88" s="1172">
        <f t="shared" si="19"/>
        <v>2.1100000000000001E-2</v>
      </c>
      <c r="L88" s="1172">
        <f t="shared" si="19"/>
        <v>2.29E-2</v>
      </c>
      <c r="M88" s="81"/>
      <c r="N88" s="1181"/>
      <c r="O88" s="1180">
        <f t="shared" si="20"/>
        <v>4.2439449777777784E-2</v>
      </c>
      <c r="P88" s="1172">
        <f t="shared" si="20"/>
        <v>4.2616093333333334E-2</v>
      </c>
      <c r="Q88" s="1172">
        <f t="shared" si="20"/>
        <v>4.909683911111111E-2</v>
      </c>
      <c r="R88" s="1172">
        <f t="shared" si="20"/>
        <v>5.2011518222222233E-2</v>
      </c>
      <c r="S88" s="1172">
        <f t="shared" si="20"/>
        <v>5.158926844444444E-2</v>
      </c>
      <c r="T88" s="81"/>
      <c r="U88" s="1181"/>
    </row>
    <row r="89" spans="1:21">
      <c r="A89" s="12" t="s">
        <v>29</v>
      </c>
      <c r="B89" s="193" t="s">
        <v>29</v>
      </c>
      <c r="C89" s="133">
        <v>1</v>
      </c>
      <c r="D89" s="133">
        <v>0.55000000000000004</v>
      </c>
      <c r="E89" s="49">
        <v>2022</v>
      </c>
      <c r="F89" s="1170" t="str">
        <f t="shared" si="16"/>
        <v>£m 18/19</v>
      </c>
      <c r="G89" s="1188" t="s">
        <v>29</v>
      </c>
      <c r="H89" s="1180">
        <f>INDEX($C$42:$I$51,MATCH($G89,$B$42:$B$51,0),MATCH(H$62,$C$41:$I$41))</f>
        <v>-5.9999999999999995E-4</v>
      </c>
      <c r="I89" s="1172">
        <f t="shared" si="19"/>
        <v>2.12E-2</v>
      </c>
      <c r="J89" s="1172">
        <f t="shared" si="19"/>
        <v>5.0099999999999999E-2</v>
      </c>
      <c r="K89" s="1172">
        <f t="shared" si="19"/>
        <v>4.7300000000000002E-2</v>
      </c>
      <c r="L89" s="1172">
        <f t="shared" si="19"/>
        <v>4.19E-2</v>
      </c>
      <c r="M89" s="81"/>
      <c r="N89" s="1181"/>
      <c r="O89" s="1180">
        <f t="shared" si="20"/>
        <v>7.5718976000000007E-2</v>
      </c>
      <c r="P89" s="1172">
        <f t="shared" si="20"/>
        <v>7.5510080000000007E-2</v>
      </c>
      <c r="Q89" s="1172">
        <f t="shared" si="20"/>
        <v>7.1580223999999998E-2</v>
      </c>
      <c r="R89" s="1172">
        <f t="shared" si="20"/>
        <v>6.9935168000000006E-2</v>
      </c>
      <c r="S89" s="1172">
        <f t="shared" si="20"/>
        <v>7.0313792E-2</v>
      </c>
      <c r="T89" s="81"/>
      <c r="U89" s="1181"/>
    </row>
    <row r="90" spans="1:21">
      <c r="A90" s="12" t="s">
        <v>22</v>
      </c>
      <c r="B90" s="193" t="s">
        <v>92</v>
      </c>
      <c r="C90" s="133">
        <v>0.51</v>
      </c>
      <c r="D90" s="133">
        <v>0.55000000000000004</v>
      </c>
      <c r="E90" s="49">
        <v>2022</v>
      </c>
      <c r="F90" s="1170" t="str">
        <f t="shared" si="16"/>
        <v>£m 18/19</v>
      </c>
      <c r="G90" s="1188" t="s">
        <v>55</v>
      </c>
      <c r="H90" s="1180">
        <f t="shared" si="19"/>
        <v>2.0500000000000001E-2</v>
      </c>
      <c r="I90" s="1172">
        <f t="shared" si="19"/>
        <v>1.9E-2</v>
      </c>
      <c r="J90" s="1172">
        <f t="shared" si="19"/>
        <v>1.9199999999999998E-2</v>
      </c>
      <c r="K90" s="1172">
        <f t="shared" si="19"/>
        <v>2.1100000000000001E-2</v>
      </c>
      <c r="L90" s="1172">
        <f t="shared" si="19"/>
        <v>2.29E-2</v>
      </c>
      <c r="M90" s="81"/>
      <c r="N90" s="1181"/>
      <c r="O90" s="1180">
        <f t="shared" si="20"/>
        <v>4.2439449777777784E-2</v>
      </c>
      <c r="P90" s="1172">
        <f t="shared" si="20"/>
        <v>4.2616093333333334E-2</v>
      </c>
      <c r="Q90" s="1172">
        <f t="shared" si="20"/>
        <v>4.909683911111111E-2</v>
      </c>
      <c r="R90" s="1172">
        <f t="shared" si="20"/>
        <v>5.2011518222222233E-2</v>
      </c>
      <c r="S90" s="1172">
        <f t="shared" si="20"/>
        <v>5.158926844444444E-2</v>
      </c>
      <c r="T90" s="81"/>
      <c r="U90" s="1181"/>
    </row>
    <row r="91" spans="1:21" ht="14" thickBot="1">
      <c r="A91" s="12" t="s">
        <v>22</v>
      </c>
      <c r="B91" s="194" t="s">
        <v>54</v>
      </c>
      <c r="C91" s="186">
        <v>0.64</v>
      </c>
      <c r="D91" s="186">
        <v>0.55000000000000004</v>
      </c>
      <c r="E91" s="195">
        <v>2022</v>
      </c>
      <c r="F91" s="1171" t="str">
        <f t="shared" si="16"/>
        <v>£m 18/19</v>
      </c>
      <c r="G91" s="1189" t="s">
        <v>54</v>
      </c>
      <c r="H91" s="1182">
        <f t="shared" si="19"/>
        <v>1.8184707641684131E-2</v>
      </c>
      <c r="I91" s="1183">
        <f t="shared" si="19"/>
        <v>1.5809503423148775E-2</v>
      </c>
      <c r="J91" s="1183">
        <f t="shared" si="19"/>
        <v>1.8000565597912722E-2</v>
      </c>
      <c r="K91" s="1183">
        <f t="shared" si="19"/>
        <v>2.3276186478151731E-2</v>
      </c>
      <c r="L91" s="1183">
        <f t="shared" si="19"/>
        <v>2.7418061040625063E-2</v>
      </c>
      <c r="M91" s="1184"/>
      <c r="N91" s="1185"/>
      <c r="O91" s="1182">
        <f t="shared" si="20"/>
        <v>4.2439449777777784E-2</v>
      </c>
      <c r="P91" s="1183">
        <f t="shared" si="20"/>
        <v>4.2616093333333334E-2</v>
      </c>
      <c r="Q91" s="1183">
        <f t="shared" si="20"/>
        <v>4.909683911111111E-2</v>
      </c>
      <c r="R91" s="1183">
        <f t="shared" si="20"/>
        <v>5.2011518222222233E-2</v>
      </c>
      <c r="S91" s="1183">
        <f t="shared" si="20"/>
        <v>5.158926844444444E-2</v>
      </c>
      <c r="T91" s="1184"/>
      <c r="U91" s="1185"/>
    </row>
    <row r="92" spans="1:21">
      <c r="I92" s="14"/>
    </row>
    <row r="93" spans="1:21">
      <c r="I93" s="14"/>
    </row>
    <row r="94" spans="1:21">
      <c r="I94" s="14"/>
    </row>
    <row r="95" spans="1:21">
      <c r="B95" s="1"/>
      <c r="D95" s="127"/>
      <c r="E95" s="127"/>
      <c r="F95" s="127"/>
      <c r="G95" s="127"/>
      <c r="H95" s="127"/>
      <c r="I95" s="127"/>
      <c r="J95" s="127"/>
    </row>
    <row r="97" spans="2:14" ht="15.5">
      <c r="B97" s="115" t="s">
        <v>93</v>
      </c>
      <c r="C97" s="24">
        <v>2022</v>
      </c>
      <c r="D97" s="25">
        <f t="shared" ref="D97:I97" si="21">C97+1</f>
        <v>2023</v>
      </c>
      <c r="E97" s="25">
        <f t="shared" si="21"/>
        <v>2024</v>
      </c>
      <c r="F97" s="25">
        <f t="shared" si="21"/>
        <v>2025</v>
      </c>
      <c r="G97" s="25">
        <f t="shared" si="21"/>
        <v>2026</v>
      </c>
      <c r="H97" s="25">
        <f t="shared" si="21"/>
        <v>2027</v>
      </c>
      <c r="I97" s="25">
        <f t="shared" si="21"/>
        <v>2028</v>
      </c>
    </row>
    <row r="98" spans="2:14">
      <c r="B98" s="116" t="s">
        <v>70</v>
      </c>
      <c r="C98" s="81"/>
      <c r="D98" s="81"/>
      <c r="E98" s="117">
        <v>0</v>
      </c>
      <c r="F98" s="117">
        <v>0</v>
      </c>
      <c r="G98" s="117">
        <v>0</v>
      </c>
      <c r="H98" s="117">
        <v>0</v>
      </c>
      <c r="I98" s="117">
        <v>0</v>
      </c>
      <c r="J98" s="1209"/>
    </row>
    <row r="99" spans="2:14">
      <c r="B99" s="116" t="s">
        <v>71</v>
      </c>
      <c r="C99" s="81"/>
      <c r="D99" s="81"/>
      <c r="E99" s="117">
        <v>0</v>
      </c>
      <c r="F99" s="117">
        <v>0</v>
      </c>
      <c r="G99" s="117">
        <v>0</v>
      </c>
      <c r="H99" s="117">
        <v>0</v>
      </c>
      <c r="I99" s="117">
        <v>0</v>
      </c>
      <c r="J99" s="1209"/>
    </row>
    <row r="100" spans="2:14">
      <c r="B100" s="116" t="s">
        <v>72</v>
      </c>
      <c r="C100" s="81"/>
      <c r="D100" s="81"/>
      <c r="E100" s="117">
        <v>0</v>
      </c>
      <c r="F100" s="117">
        <v>0</v>
      </c>
      <c r="G100" s="117">
        <v>0</v>
      </c>
      <c r="H100" s="117">
        <v>0</v>
      </c>
      <c r="I100" s="117">
        <v>0</v>
      </c>
      <c r="J100" s="1210"/>
      <c r="K100" s="94"/>
      <c r="L100" s="94"/>
      <c r="M100" s="94"/>
      <c r="N100" s="94"/>
    </row>
    <row r="101" spans="2:14">
      <c r="B101" s="116" t="s">
        <v>52</v>
      </c>
      <c r="C101" s="81"/>
      <c r="D101" s="81"/>
      <c r="E101" s="117">
        <v>0</v>
      </c>
      <c r="F101" s="117">
        <v>0</v>
      </c>
      <c r="G101" s="117">
        <v>0</v>
      </c>
      <c r="H101" s="117">
        <v>0</v>
      </c>
      <c r="I101" s="117">
        <v>0</v>
      </c>
      <c r="J101" s="1209"/>
    </row>
    <row r="102" spans="2:14">
      <c r="B102" s="116" t="s">
        <v>73</v>
      </c>
      <c r="C102" s="81"/>
      <c r="D102" s="81"/>
      <c r="E102" s="117">
        <v>0.95193542636815776</v>
      </c>
      <c r="F102" s="117">
        <v>0.95193542636815776</v>
      </c>
      <c r="G102" s="117">
        <v>0.95193542636815776</v>
      </c>
      <c r="H102" s="117">
        <v>0.95193542636815776</v>
      </c>
      <c r="I102" s="117">
        <v>0.95193542636815776</v>
      </c>
      <c r="J102" s="1209"/>
    </row>
    <row r="103" spans="2:14">
      <c r="B103" s="116" t="s">
        <v>74</v>
      </c>
      <c r="C103" s="81"/>
      <c r="D103" s="81"/>
      <c r="E103" s="117">
        <v>4.1422258913848848</v>
      </c>
      <c r="F103" s="117">
        <v>4.1422258913848848</v>
      </c>
      <c r="G103" s="117">
        <v>4.1422258913848848</v>
      </c>
      <c r="H103" s="117">
        <v>4.1422258913848848</v>
      </c>
      <c r="I103" s="117">
        <v>4.1422258913848848</v>
      </c>
      <c r="J103" s="1209"/>
    </row>
    <row r="104" spans="2:14">
      <c r="B104" s="116" t="s">
        <v>75</v>
      </c>
      <c r="C104" s="81"/>
      <c r="D104" s="81"/>
      <c r="E104" s="117">
        <v>0</v>
      </c>
      <c r="F104" s="117">
        <v>0</v>
      </c>
      <c r="G104" s="117">
        <v>0</v>
      </c>
      <c r="H104" s="117">
        <v>0</v>
      </c>
      <c r="I104" s="117">
        <v>0</v>
      </c>
      <c r="J104" s="1209"/>
    </row>
    <row r="105" spans="2:14">
      <c r="B105" s="116" t="s">
        <v>76</v>
      </c>
      <c r="C105" s="81"/>
      <c r="D105" s="81"/>
      <c r="E105" s="117">
        <v>0</v>
      </c>
      <c r="F105" s="117">
        <v>0</v>
      </c>
      <c r="G105" s="117">
        <v>0</v>
      </c>
      <c r="H105" s="117">
        <v>0</v>
      </c>
      <c r="I105" s="117">
        <v>0</v>
      </c>
      <c r="J105" s="1209"/>
    </row>
    <row r="106" spans="2:14">
      <c r="B106" s="116" t="s">
        <v>77</v>
      </c>
      <c r="C106" s="81"/>
      <c r="D106" s="81"/>
      <c r="E106" s="117">
        <v>1.2350000000000001</v>
      </c>
      <c r="F106" s="117">
        <v>0</v>
      </c>
      <c r="G106" s="117">
        <v>0</v>
      </c>
      <c r="H106" s="117">
        <v>0</v>
      </c>
      <c r="I106" s="117">
        <v>0</v>
      </c>
      <c r="J106" s="1209"/>
    </row>
    <row r="107" spans="2:14">
      <c r="B107" s="116" t="s">
        <v>50</v>
      </c>
      <c r="C107" s="81"/>
      <c r="D107" s="81"/>
      <c r="E107" s="117">
        <v>2.3050000000000002</v>
      </c>
      <c r="F107" s="117">
        <v>0</v>
      </c>
      <c r="G107" s="117">
        <v>0</v>
      </c>
      <c r="H107" s="117">
        <v>0</v>
      </c>
      <c r="I107" s="117">
        <v>0</v>
      </c>
      <c r="J107" s="1209"/>
    </row>
    <row r="108" spans="2:14">
      <c r="B108" s="116" t="s">
        <v>51</v>
      </c>
      <c r="C108" s="81"/>
      <c r="D108" s="81"/>
      <c r="E108" s="117">
        <v>1.38</v>
      </c>
      <c r="F108" s="117">
        <v>0</v>
      </c>
      <c r="G108" s="117">
        <v>0</v>
      </c>
      <c r="H108" s="117">
        <v>0</v>
      </c>
      <c r="I108" s="117">
        <v>0</v>
      </c>
      <c r="J108" s="1209"/>
    </row>
    <row r="109" spans="2:14">
      <c r="B109" s="116" t="s">
        <v>78</v>
      </c>
      <c r="C109" s="81"/>
      <c r="D109" s="81"/>
      <c r="E109" s="117">
        <v>1.38</v>
      </c>
      <c r="F109" s="117">
        <v>0</v>
      </c>
      <c r="G109" s="117">
        <v>0</v>
      </c>
      <c r="H109" s="117">
        <v>0</v>
      </c>
      <c r="I109" s="117">
        <v>0</v>
      </c>
      <c r="J109" s="1209"/>
    </row>
    <row r="110" spans="2:14">
      <c r="B110" s="116" t="s">
        <v>79</v>
      </c>
      <c r="C110" s="81"/>
      <c r="D110" s="81"/>
      <c r="E110" s="117">
        <v>0.69</v>
      </c>
      <c r="F110" s="117">
        <v>0</v>
      </c>
      <c r="G110" s="117">
        <v>0</v>
      </c>
      <c r="H110" s="117">
        <v>0</v>
      </c>
      <c r="I110" s="117">
        <v>0</v>
      </c>
      <c r="J110" s="1209"/>
    </row>
    <row r="111" spans="2:14">
      <c r="B111" s="116" t="s">
        <v>80</v>
      </c>
      <c r="C111" s="81"/>
      <c r="D111" s="81"/>
      <c r="E111" s="117">
        <v>1.1499999999999999</v>
      </c>
      <c r="F111" s="117">
        <v>0</v>
      </c>
      <c r="G111" s="117">
        <v>0</v>
      </c>
      <c r="H111" s="117">
        <v>0</v>
      </c>
      <c r="I111" s="117">
        <v>0</v>
      </c>
      <c r="J111" s="1209"/>
    </row>
    <row r="112" spans="2:14">
      <c r="B112" s="116" t="s">
        <v>81</v>
      </c>
      <c r="C112" s="1202">
        <v>0.23941679646380071</v>
      </c>
      <c r="D112" s="1202">
        <v>0.23941679646380071</v>
      </c>
      <c r="E112" s="1202">
        <v>0.23941679646380071</v>
      </c>
      <c r="F112" s="1202">
        <v>0.23941679646380071</v>
      </c>
      <c r="G112" s="1202">
        <v>0.23941679646380071</v>
      </c>
      <c r="H112" s="81"/>
      <c r="I112" s="81"/>
      <c r="J112" s="1209"/>
    </row>
    <row r="113" spans="2:12">
      <c r="B113" s="116" t="s">
        <v>82</v>
      </c>
      <c r="C113" s="1202">
        <v>-1.1368683772161603E-15</v>
      </c>
      <c r="D113" s="1202">
        <v>-1.1368683772161603E-15</v>
      </c>
      <c r="E113" s="1202">
        <v>-1.1368683772161603E-15</v>
      </c>
      <c r="F113" s="1202">
        <v>-1.1368683772161603E-15</v>
      </c>
      <c r="G113" s="1202">
        <v>-1.1368683772161603E-15</v>
      </c>
      <c r="H113" s="81"/>
      <c r="I113" s="81"/>
      <c r="J113" s="1209"/>
    </row>
    <row r="114" spans="2:12">
      <c r="B114" s="116" t="s">
        <v>83</v>
      </c>
      <c r="C114" s="1202">
        <v>-7.0993072540795777E-3</v>
      </c>
      <c r="D114" s="1202">
        <v>-7.0993072540795777E-3</v>
      </c>
      <c r="E114" s="1202">
        <v>-7.0993072540795777E-3</v>
      </c>
      <c r="F114" s="1202">
        <v>-7.0993072540795777E-3</v>
      </c>
      <c r="G114" s="1202">
        <v>-7.0993072540795777E-3</v>
      </c>
      <c r="H114" s="81"/>
      <c r="I114" s="81"/>
      <c r="J114" s="1209"/>
    </row>
    <row r="115" spans="2:12">
      <c r="B115" s="116" t="s">
        <v>4</v>
      </c>
      <c r="C115" s="1202">
        <v>-7.2862331602607357E-3</v>
      </c>
      <c r="D115" s="1202">
        <v>-7.2862331602607357E-3</v>
      </c>
      <c r="E115" s="1202">
        <v>-7.2862331602607357E-3</v>
      </c>
      <c r="F115" s="1202">
        <v>-7.2862331602607357E-3</v>
      </c>
      <c r="G115" s="1202">
        <v>-7.2862331602607357E-3</v>
      </c>
      <c r="H115" s="81"/>
      <c r="I115" s="81"/>
      <c r="J115" s="1209"/>
    </row>
    <row r="116" spans="2:12">
      <c r="B116" s="116" t="s">
        <v>84</v>
      </c>
      <c r="C116" s="1203">
        <v>1.149006</v>
      </c>
      <c r="D116" s="1203">
        <v>1.149006</v>
      </c>
      <c r="E116" s="1202">
        <v>1.149006</v>
      </c>
      <c r="F116" s="1202">
        <v>1.149006</v>
      </c>
      <c r="G116" s="1203">
        <v>1.149006</v>
      </c>
      <c r="H116" s="81"/>
      <c r="I116" s="81"/>
      <c r="J116" s="1209"/>
    </row>
    <row r="117" spans="2:12">
      <c r="B117" s="116" t="s">
        <v>85</v>
      </c>
      <c r="C117" s="1202">
        <v>0</v>
      </c>
      <c r="D117" s="1202">
        <v>0</v>
      </c>
      <c r="E117" s="1202">
        <v>0</v>
      </c>
      <c r="F117" s="1202">
        <v>0</v>
      </c>
      <c r="G117" s="1202">
        <v>0</v>
      </c>
      <c r="H117" s="81"/>
      <c r="I117" s="81"/>
      <c r="J117" s="1209"/>
    </row>
    <row r="118" spans="2:12">
      <c r="B118" s="116" t="s">
        <v>86</v>
      </c>
      <c r="C118" s="1202">
        <v>0</v>
      </c>
      <c r="D118" s="1202">
        <v>0</v>
      </c>
      <c r="E118" s="1202">
        <v>0</v>
      </c>
      <c r="F118" s="1202">
        <v>0</v>
      </c>
      <c r="G118" s="1202">
        <v>0</v>
      </c>
      <c r="H118" s="81"/>
      <c r="I118" s="81"/>
      <c r="J118" s="1209"/>
    </row>
    <row r="119" spans="2:12">
      <c r="B119" s="116" t="s">
        <v>87</v>
      </c>
      <c r="C119" s="1202">
        <v>0</v>
      </c>
      <c r="D119" s="1202">
        <v>0</v>
      </c>
      <c r="E119" s="1202">
        <v>0</v>
      </c>
      <c r="F119" s="1202">
        <v>0</v>
      </c>
      <c r="G119" s="1202">
        <v>0</v>
      </c>
      <c r="H119" s="81"/>
      <c r="I119" s="81"/>
      <c r="J119" s="1209"/>
    </row>
    <row r="120" spans="2:12">
      <c r="B120" s="116" t="s">
        <v>88</v>
      </c>
      <c r="C120" s="1202">
        <v>-4.3390000000000004</v>
      </c>
      <c r="D120" s="1202">
        <v>-4.3390000000000004</v>
      </c>
      <c r="E120" s="1202">
        <v>-4.3390000000000004</v>
      </c>
      <c r="F120" s="1202">
        <v>-4.3390000000000004</v>
      </c>
      <c r="G120" s="1202">
        <v>-4.3390000000000004</v>
      </c>
      <c r="H120" s="81"/>
      <c r="I120" s="81"/>
      <c r="J120" s="1209"/>
    </row>
    <row r="121" spans="2:12">
      <c r="B121" s="116" t="s">
        <v>89</v>
      </c>
      <c r="C121" s="1202">
        <v>0</v>
      </c>
      <c r="D121" s="1202">
        <v>0</v>
      </c>
      <c r="E121" s="1202">
        <v>0</v>
      </c>
      <c r="F121" s="1202">
        <v>0</v>
      </c>
      <c r="G121" s="1202">
        <v>0</v>
      </c>
      <c r="H121" s="81"/>
      <c r="I121" s="81"/>
      <c r="J121" s="1209"/>
    </row>
    <row r="122" spans="2:12">
      <c r="B122" s="116" t="s">
        <v>90</v>
      </c>
      <c r="C122" s="1202">
        <v>-4.3390000000000004</v>
      </c>
      <c r="D122" s="1202">
        <v>-4.3390000000000004</v>
      </c>
      <c r="E122" s="1202">
        <v>-4.3390000000000004</v>
      </c>
      <c r="F122" s="1202">
        <v>-4.3390000000000004</v>
      </c>
      <c r="G122" s="1202">
        <v>-4.3390000000000004</v>
      </c>
      <c r="H122" s="81"/>
      <c r="I122" s="81"/>
      <c r="J122" s="1209"/>
    </row>
    <row r="123" spans="2:12">
      <c r="B123" s="116" t="s">
        <v>91</v>
      </c>
      <c r="C123" s="1202">
        <v>-13</v>
      </c>
      <c r="D123" s="1202">
        <v>-13</v>
      </c>
      <c r="E123" s="1202">
        <v>-13</v>
      </c>
      <c r="F123" s="1202">
        <v>-13</v>
      </c>
      <c r="G123" s="1202">
        <v>-13</v>
      </c>
      <c r="H123" s="81"/>
      <c r="I123" s="81"/>
      <c r="J123" s="1209"/>
    </row>
    <row r="124" spans="2:12">
      <c r="B124" s="116" t="s">
        <v>29</v>
      </c>
      <c r="C124" s="1202">
        <v>0</v>
      </c>
      <c r="D124" s="1202">
        <v>0</v>
      </c>
      <c r="E124" s="1202">
        <v>0</v>
      </c>
      <c r="F124" s="1202">
        <v>0</v>
      </c>
      <c r="G124" s="1202">
        <v>0</v>
      </c>
      <c r="H124" s="81"/>
      <c r="I124" s="81"/>
      <c r="J124" s="1209"/>
    </row>
    <row r="125" spans="2:12">
      <c r="B125" s="116" t="s">
        <v>92</v>
      </c>
      <c r="C125" s="1202">
        <v>1</v>
      </c>
      <c r="D125" s="1202">
        <v>1</v>
      </c>
      <c r="E125" s="1202">
        <v>1</v>
      </c>
      <c r="F125" s="1202">
        <v>1</v>
      </c>
      <c r="G125" s="1202">
        <v>1</v>
      </c>
      <c r="H125" s="81"/>
      <c r="I125" s="81"/>
      <c r="J125" s="1209"/>
    </row>
    <row r="126" spans="2:12">
      <c r="B126" s="118" t="s">
        <v>54</v>
      </c>
      <c r="C126" s="1202">
        <v>4.3620000000000001</v>
      </c>
      <c r="D126" s="1202">
        <v>4.3620000000000001</v>
      </c>
      <c r="E126" s="1204">
        <v>4.3620000000000001</v>
      </c>
      <c r="F126" s="1204">
        <v>4.3620000000000001</v>
      </c>
      <c r="G126" s="1204">
        <v>4.3620000000000001</v>
      </c>
      <c r="H126" s="81"/>
      <c r="I126" s="81"/>
      <c r="J126" s="1209"/>
    </row>
    <row r="127" spans="2:12">
      <c r="B127" s="34"/>
    </row>
    <row r="128" spans="2:12">
      <c r="B128" s="151" t="str">
        <f>LEFT('RFPR cover'!C8,2)</f>
        <v>GD</v>
      </c>
      <c r="C128" s="235"/>
      <c r="D128" s="235"/>
      <c r="E128" s="235"/>
      <c r="F128" s="235"/>
      <c r="G128" s="235"/>
      <c r="H128" s="235"/>
      <c r="I128" s="235"/>
      <c r="J128" s="235"/>
      <c r="K128" s="235"/>
      <c r="L128" s="152"/>
    </row>
    <row r="129" spans="1:14">
      <c r="A129" s="36"/>
      <c r="B129" s="66" t="s">
        <v>94</v>
      </c>
      <c r="C129" s="67"/>
      <c r="D129" s="67"/>
      <c r="E129" s="67"/>
      <c r="F129" s="65"/>
      <c r="G129" s="65"/>
      <c r="H129" s="65"/>
      <c r="I129" s="65"/>
      <c r="J129" s="65"/>
      <c r="K129" s="65"/>
      <c r="L129" s="65"/>
      <c r="M129" s="65"/>
      <c r="N129" s="65"/>
    </row>
    <row r="130" spans="1:14">
      <c r="A130" s="36"/>
      <c r="B130" s="92"/>
      <c r="C130" s="93"/>
      <c r="D130" s="93"/>
      <c r="E130" s="93"/>
      <c r="F130" s="94"/>
      <c r="G130" s="94"/>
      <c r="H130" s="94"/>
      <c r="I130" s="94"/>
    </row>
    <row r="131" spans="1:14">
      <c r="A131" s="35"/>
      <c r="B131" s="236" t="s">
        <v>95</v>
      </c>
      <c r="C131" s="37"/>
      <c r="D131" s="37"/>
      <c r="E131" s="259" t="b">
        <f>OR((LEFT('RFPR cover'!$C$8,2)=Data!G131),'RFPR cover'!$C$7=Data!G131)</f>
        <v>0</v>
      </c>
      <c r="F131" s="322">
        <f t="shared" ref="F131:F133" si="22">IF(E131,1,0)</f>
        <v>0</v>
      </c>
      <c r="G131" s="260" t="str">
        <f>B141</f>
        <v>ED</v>
      </c>
    </row>
    <row r="132" spans="1:14" ht="16.5" customHeight="1">
      <c r="A132" s="35"/>
      <c r="B132" s="96" t="str">
        <f>IF(SUM($F$131:$F$138)=0,"",CHOOSE(MATCH(TRUE,$E$131:$E$138,0),B142,B153,B164,E164,B175,E175,B185,E185)&amp;"")</f>
        <v>Customer Satisfaction Survey ODI - (SpC 4.2)</v>
      </c>
      <c r="C132" s="37"/>
      <c r="D132" s="37"/>
      <c r="E132" s="316" t="b">
        <f>OR((LEFT('RFPR cover'!$C$8,2)=Data!G132),'RFPR cover'!$C$7=Data!G132)</f>
        <v>1</v>
      </c>
      <c r="F132" s="249">
        <f t="shared" si="22"/>
        <v>1</v>
      </c>
      <c r="G132" s="250" t="str">
        <f>B152</f>
        <v>GD</v>
      </c>
    </row>
    <row r="133" spans="1:14">
      <c r="A133" s="35"/>
      <c r="B133" s="96" t="str">
        <f t="shared" ref="B133:B139" si="23">IF(SUM($F$131:$F$138)=0,"",CHOOSE(MATCH(TRUE,$E$131:$E$138,0),B143,B154,B165,E165,B176,E176,B186,E186)&amp;"")</f>
        <v>Complaints metric ODI - (SpC 4.3)</v>
      </c>
      <c r="C133" s="37"/>
      <c r="D133" s="37"/>
      <c r="E133" s="316" t="b">
        <f>OR((LEFT('RFPR cover'!$C$8,2)=Data!G133),'RFPR cover'!$C$7=Data!G133)</f>
        <v>0</v>
      </c>
      <c r="F133" s="249">
        <f t="shared" si="22"/>
        <v>0</v>
      </c>
      <c r="G133" s="251" t="str">
        <f>B163</f>
        <v>NGGT (TO)</v>
      </c>
    </row>
    <row r="134" spans="1:14" ht="27">
      <c r="A134" s="35"/>
      <c r="B134" s="96" t="str">
        <f t="shared" si="23"/>
        <v>Unplanned Interruption Mean Duration ODI [NGN, SGN and WWU] - (SpC 4.5)</v>
      </c>
      <c r="C134" s="37"/>
      <c r="D134" s="37"/>
      <c r="E134" s="316" t="b">
        <f>OR((LEFT('RFPR cover'!$C$8,2)=Data!G134),'RFPR cover'!$C$7=Data!G134)</f>
        <v>0</v>
      </c>
      <c r="F134" s="249">
        <f>IF(E134,1,0)</f>
        <v>0</v>
      </c>
      <c r="G134" s="251" t="str">
        <f>E163</f>
        <v>NGGT (TO+SO)</v>
      </c>
    </row>
    <row r="135" spans="1:14">
      <c r="A135" s="35"/>
      <c r="B135" s="96" t="str">
        <f t="shared" si="23"/>
        <v>Unplanned Interruption Mean Duration ODI [Cadent only]- (SpC 4.6)</v>
      </c>
      <c r="C135" s="37"/>
      <c r="D135" s="37"/>
      <c r="E135" s="316" t="b">
        <f>OR((LEFT('RFPR cover'!$C$8,2)=Data!G135),'RFPR cover'!$C$7=Data!G135)</f>
        <v>0</v>
      </c>
      <c r="F135" s="249">
        <f>IF(E135,1,0)</f>
        <v>0</v>
      </c>
      <c r="G135" s="251" t="str">
        <f>B174</f>
        <v>NGET (TO)</v>
      </c>
    </row>
    <row r="136" spans="1:14">
      <c r="A136" s="35"/>
      <c r="B136" s="96" t="str">
        <f t="shared" si="23"/>
        <v>Shrinkage Management ODI- (SpC 4.4)</v>
      </c>
      <c r="C136" s="37"/>
      <c r="D136" s="37"/>
      <c r="E136" s="316" t="b">
        <f>OR((LEFT('RFPR cover'!$C$8,2)=Data!G136),'RFPR cover'!$C$7=Data!G136)</f>
        <v>0</v>
      </c>
      <c r="F136" s="249">
        <f t="shared" ref="F136" si="24">IF(E136,1,0)</f>
        <v>0</v>
      </c>
      <c r="G136" s="251" t="str">
        <f>E174</f>
        <v>ESO</v>
      </c>
    </row>
    <row r="137" spans="1:14" ht="27">
      <c r="A137" s="35"/>
      <c r="B137" s="96" t="str">
        <f t="shared" si="23"/>
        <v>Collaborative streetworks ODI [Cadent Lon &amp; EoE, SGN So only]- (SpC 4.7)</v>
      </c>
      <c r="C137" s="37"/>
      <c r="D137" s="37"/>
      <c r="E137" s="316" t="b">
        <f>OR((LEFT('RFPR cover'!$C$8,2)=Data!G137),'RFPR cover'!$C$7=Data!G137)</f>
        <v>0</v>
      </c>
      <c r="F137" s="249">
        <f>IF(E137,1,0)</f>
        <v>0</v>
      </c>
      <c r="G137" s="251" t="str">
        <f>B184</f>
        <v>SPT</v>
      </c>
    </row>
    <row r="138" spans="1:14">
      <c r="A138" s="35"/>
      <c r="B138" s="96" t="str">
        <f t="shared" si="23"/>
        <v/>
      </c>
      <c r="C138" s="37"/>
      <c r="D138" s="37"/>
      <c r="E138" s="252" t="b">
        <f>OR((LEFT('RFPR cover'!$C$8,2)=Data!G138),'RFPR cover'!$C$7=Data!G138)</f>
        <v>0</v>
      </c>
      <c r="F138" s="253">
        <f>IF(E138,1,0)</f>
        <v>0</v>
      </c>
      <c r="G138" s="254" t="s">
        <v>54</v>
      </c>
    </row>
    <row r="139" spans="1:14">
      <c r="A139" s="35"/>
      <c r="B139" s="96" t="str">
        <f t="shared" si="23"/>
        <v/>
      </c>
      <c r="C139" s="37"/>
      <c r="D139" s="37"/>
    </row>
    <row r="140" spans="1:14">
      <c r="A140" s="35"/>
      <c r="B140" s="37"/>
      <c r="C140" s="37"/>
      <c r="D140" s="37"/>
      <c r="E140" s="11"/>
      <c r="F140" s="95"/>
    </row>
    <row r="141" spans="1:14">
      <c r="A141" s="35"/>
      <c r="B141" s="1318" t="s">
        <v>19</v>
      </c>
      <c r="C141" s="1319"/>
      <c r="D141" s="37"/>
      <c r="E141" s="37"/>
    </row>
    <row r="142" spans="1:14">
      <c r="A142" s="35"/>
      <c r="B142" s="1337" t="s">
        <v>96</v>
      </c>
      <c r="C142" s="1338"/>
      <c r="D142" s="37"/>
      <c r="E142" s="37"/>
    </row>
    <row r="143" spans="1:14">
      <c r="A143" s="35"/>
      <c r="B143" s="1316" t="s">
        <v>97</v>
      </c>
      <c r="C143" s="1317"/>
      <c r="D143" s="37"/>
      <c r="E143" s="37"/>
    </row>
    <row r="144" spans="1:14">
      <c r="A144" s="35"/>
      <c r="B144" s="1316" t="s">
        <v>98</v>
      </c>
      <c r="C144" s="1317"/>
      <c r="D144" s="37"/>
      <c r="E144" s="37"/>
    </row>
    <row r="145" spans="1:7">
      <c r="A145" s="35"/>
      <c r="B145" s="1316" t="s">
        <v>99</v>
      </c>
      <c r="C145" s="1317"/>
      <c r="D145" s="37"/>
      <c r="E145" s="37"/>
    </row>
    <row r="146" spans="1:7">
      <c r="A146" s="35"/>
      <c r="B146" s="1316" t="s">
        <v>100</v>
      </c>
      <c r="C146" s="1317"/>
      <c r="D146" s="37"/>
      <c r="E146" s="37"/>
    </row>
    <row r="147" spans="1:7">
      <c r="A147" s="35"/>
      <c r="B147" s="1316" t="s">
        <v>101</v>
      </c>
      <c r="C147" s="1317"/>
      <c r="D147" s="37"/>
      <c r="E147" s="37"/>
    </row>
    <row r="148" spans="1:7">
      <c r="A148" s="35"/>
      <c r="B148" s="1316" t="s">
        <v>102</v>
      </c>
      <c r="C148" s="1317"/>
      <c r="D148" s="37"/>
      <c r="E148" s="37"/>
    </row>
    <row r="149" spans="1:7">
      <c r="A149" s="35"/>
      <c r="B149" s="1333" t="s">
        <v>103</v>
      </c>
      <c r="C149" s="1334"/>
      <c r="D149" s="37"/>
      <c r="E149" s="37"/>
    </row>
    <row r="150" spans="1:7">
      <c r="A150" s="35"/>
      <c r="B150" s="37"/>
      <c r="C150" s="37"/>
      <c r="D150" s="37"/>
      <c r="E150" s="37"/>
    </row>
    <row r="151" spans="1:7">
      <c r="A151" s="35"/>
      <c r="B151" s="37"/>
      <c r="C151" s="37"/>
      <c r="D151" s="37"/>
      <c r="E151" s="37"/>
    </row>
    <row r="152" spans="1:7">
      <c r="A152" s="35"/>
      <c r="B152" s="1318" t="s">
        <v>25</v>
      </c>
      <c r="C152" s="1319"/>
      <c r="D152" s="37"/>
      <c r="E152" s="37"/>
    </row>
    <row r="153" spans="1:7">
      <c r="A153" s="35"/>
      <c r="B153" s="1337" t="s">
        <v>104</v>
      </c>
      <c r="C153" s="1338"/>
      <c r="E153" s="37"/>
    </row>
    <row r="154" spans="1:7">
      <c r="A154" s="35"/>
      <c r="B154" s="1316" t="s">
        <v>105</v>
      </c>
      <c r="C154" s="1317"/>
      <c r="D154" s="37"/>
      <c r="E154" s="37"/>
    </row>
    <row r="155" spans="1:7" ht="25.5" customHeight="1">
      <c r="A155" s="35"/>
      <c r="B155" s="1316" t="s">
        <v>106</v>
      </c>
      <c r="C155" s="1317"/>
      <c r="D155" s="37"/>
      <c r="E155" s="37"/>
      <c r="G155" t="s">
        <v>107</v>
      </c>
    </row>
    <row r="156" spans="1:7" ht="25.5" customHeight="1">
      <c r="A156" s="35"/>
      <c r="B156" s="1316" t="s">
        <v>108</v>
      </c>
      <c r="C156" s="1317"/>
      <c r="D156" s="37"/>
      <c r="E156" s="37"/>
    </row>
    <row r="157" spans="1:7" ht="14.25" customHeight="1">
      <c r="A157" s="35"/>
      <c r="B157" s="1316" t="s">
        <v>109</v>
      </c>
      <c r="C157" s="1317"/>
      <c r="D157" s="37"/>
      <c r="E157" s="37"/>
    </row>
    <row r="158" spans="1:7" ht="25.5" customHeight="1">
      <c r="A158" s="35"/>
      <c r="B158" s="1316" t="s">
        <v>110</v>
      </c>
      <c r="C158" s="1317"/>
      <c r="D158" s="37"/>
      <c r="E158" s="37"/>
    </row>
    <row r="159" spans="1:7" ht="12" customHeight="1">
      <c r="A159" s="35"/>
      <c r="B159" s="1316"/>
      <c r="C159" s="1317"/>
      <c r="D159" s="37"/>
      <c r="E159" s="37"/>
    </row>
    <row r="160" spans="1:7">
      <c r="A160" s="35"/>
      <c r="B160" s="1333"/>
      <c r="C160" s="1334"/>
      <c r="D160" s="37"/>
      <c r="E160" s="37"/>
    </row>
    <row r="161" spans="1:9">
      <c r="A161" s="35"/>
      <c r="B161" s="37"/>
      <c r="C161" s="37"/>
      <c r="D161" s="37"/>
      <c r="E161" s="37"/>
    </row>
    <row r="162" spans="1:9">
      <c r="A162" s="35"/>
      <c r="B162" s="37"/>
      <c r="C162" s="37"/>
      <c r="D162" s="37"/>
      <c r="E162" s="37"/>
    </row>
    <row r="163" spans="1:9" ht="12.75" customHeight="1">
      <c r="A163" s="35"/>
      <c r="B163" s="1301" t="s">
        <v>88</v>
      </c>
      <c r="C163" s="1302"/>
      <c r="D163" s="37"/>
      <c r="E163" s="1340" t="s">
        <v>90</v>
      </c>
      <c r="F163" s="1340"/>
      <c r="G163" s="1340"/>
      <c r="H163" s="1341"/>
      <c r="I163" s="13"/>
    </row>
    <row r="164" spans="1:9" ht="12.75" customHeight="1">
      <c r="A164" s="35"/>
      <c r="B164" s="1337" t="s">
        <v>111</v>
      </c>
      <c r="C164" s="1338"/>
      <c r="E164" s="1323"/>
      <c r="F164" s="1324"/>
      <c r="G164" s="1324"/>
      <c r="H164" s="1324"/>
      <c r="I164" s="91"/>
    </row>
    <row r="165" spans="1:9" ht="12.75" customHeight="1">
      <c r="A165" s="35"/>
      <c r="B165" s="1316" t="s">
        <v>112</v>
      </c>
      <c r="C165" s="1317"/>
      <c r="E165" s="1323"/>
      <c r="F165" s="1324"/>
      <c r="G165" s="1324"/>
      <c r="H165" s="1324"/>
      <c r="I165" s="91"/>
    </row>
    <row r="166" spans="1:9" ht="12.75" customHeight="1">
      <c r="A166" s="35"/>
      <c r="B166" s="1316"/>
      <c r="C166" s="1317"/>
      <c r="D166" s="37"/>
      <c r="E166" s="1342" t="s">
        <v>111</v>
      </c>
      <c r="F166" s="1342"/>
      <c r="G166" s="1342"/>
      <c r="H166" s="1342"/>
      <c r="I166" s="91"/>
    </row>
    <row r="167" spans="1:9" ht="12.75" customHeight="1">
      <c r="A167" s="35"/>
      <c r="B167" s="1316"/>
      <c r="C167" s="1317"/>
      <c r="D167" s="37"/>
      <c r="E167" s="1343" t="s">
        <v>112</v>
      </c>
      <c r="F167" s="1343"/>
      <c r="G167" s="1343"/>
      <c r="H167" s="1343"/>
      <c r="I167" s="91"/>
    </row>
    <row r="168" spans="1:9" ht="12.75" customHeight="1">
      <c r="A168" s="35"/>
      <c r="B168" s="1316"/>
      <c r="C168" s="1317"/>
      <c r="D168" s="37"/>
      <c r="E168" s="1339"/>
      <c r="F168" s="1339"/>
      <c r="G168" s="1339"/>
      <c r="H168" s="1339"/>
      <c r="I168" s="91"/>
    </row>
    <row r="169" spans="1:9" ht="12.75" customHeight="1">
      <c r="A169" s="35"/>
      <c r="B169" s="1316"/>
      <c r="C169" s="1317"/>
      <c r="D169" s="37"/>
      <c r="E169" s="1339"/>
      <c r="F169" s="1339"/>
      <c r="G169" s="1339"/>
      <c r="H169" s="1339"/>
      <c r="I169" s="91"/>
    </row>
    <row r="170" spans="1:9" ht="12.75" customHeight="1">
      <c r="A170" s="35"/>
      <c r="B170" s="1316"/>
      <c r="C170" s="1317"/>
      <c r="D170" s="37"/>
      <c r="E170" s="1302"/>
      <c r="F170" s="1302"/>
      <c r="G170" s="1302"/>
      <c r="H170" s="1302"/>
      <c r="I170" s="91"/>
    </row>
    <row r="171" spans="1:9" ht="12" customHeight="1">
      <c r="A171" s="35"/>
      <c r="B171" s="1333"/>
      <c r="C171" s="1334"/>
      <c r="D171" s="37"/>
      <c r="E171" s="1319"/>
      <c r="F171" s="1319"/>
      <c r="G171" s="1319"/>
      <c r="H171" s="1319"/>
      <c r="I171" s="91"/>
    </row>
    <row r="172" spans="1:9">
      <c r="A172" s="35"/>
      <c r="B172" s="37"/>
      <c r="C172" s="37"/>
      <c r="D172" s="37"/>
      <c r="E172" s="37"/>
    </row>
    <row r="173" spans="1:9">
      <c r="A173" s="35"/>
      <c r="B173" s="37"/>
      <c r="C173" s="37"/>
      <c r="D173" s="37"/>
      <c r="E173" s="37"/>
    </row>
    <row r="174" spans="1:9">
      <c r="A174" s="35"/>
      <c r="B174" s="1335" t="s">
        <v>91</v>
      </c>
      <c r="C174" s="1336"/>
      <c r="D174" s="37"/>
      <c r="E174" s="1301" t="s">
        <v>29</v>
      </c>
      <c r="F174" s="1301"/>
      <c r="G174" s="1301"/>
      <c r="H174" s="1302"/>
      <c r="I174" s="13"/>
    </row>
    <row r="175" spans="1:9" ht="13.5" customHeight="1">
      <c r="A175" s="35"/>
      <c r="B175" s="1337" t="s">
        <v>113</v>
      </c>
      <c r="C175" s="1338"/>
      <c r="E175" s="1318" t="s">
        <v>114</v>
      </c>
      <c r="F175" s="1346"/>
      <c r="G175" s="1346"/>
      <c r="H175" s="1347"/>
      <c r="I175" s="91"/>
    </row>
    <row r="176" spans="1:9" ht="12.75" customHeight="1">
      <c r="A176" s="35"/>
      <c r="B176" s="1316" t="s">
        <v>115</v>
      </c>
      <c r="C176" s="1317"/>
      <c r="E176" s="1348"/>
      <c r="F176" s="1348"/>
      <c r="G176" s="1348"/>
      <c r="H176" s="1349"/>
      <c r="I176" s="91"/>
    </row>
    <row r="177" spans="1:9" ht="13.5" customHeight="1">
      <c r="A177" s="35"/>
      <c r="B177" s="1316" t="s">
        <v>116</v>
      </c>
      <c r="C177" s="1317"/>
      <c r="E177" s="1299"/>
      <c r="F177" s="1299"/>
      <c r="G177" s="1299"/>
      <c r="H177" s="1300"/>
      <c r="I177" s="91"/>
    </row>
    <row r="178" spans="1:9" ht="12.75" customHeight="1">
      <c r="A178" s="35"/>
      <c r="B178" s="1316" t="s">
        <v>117</v>
      </c>
      <c r="C178" s="1317"/>
      <c r="E178" s="1299"/>
      <c r="F178" s="1299"/>
      <c r="G178" s="1299"/>
      <c r="H178" s="1300"/>
      <c r="I178" s="91"/>
    </row>
    <row r="179" spans="1:9" ht="13.5" customHeight="1">
      <c r="A179" s="35"/>
      <c r="B179" s="1316" t="s">
        <v>118</v>
      </c>
      <c r="C179" s="1317"/>
      <c r="E179" s="1299"/>
      <c r="F179" s="1299"/>
      <c r="G179" s="1299"/>
      <c r="H179" s="1300"/>
      <c r="I179" s="91"/>
    </row>
    <row r="180" spans="1:9" ht="13.5" customHeight="1">
      <c r="A180" s="35"/>
      <c r="B180" s="1316" t="s">
        <v>119</v>
      </c>
      <c r="C180" s="1317"/>
      <c r="E180" s="1299"/>
      <c r="F180" s="1299"/>
      <c r="G180" s="1299"/>
      <c r="H180" s="1300"/>
      <c r="I180" s="91"/>
    </row>
    <row r="181" spans="1:9">
      <c r="A181" s="35"/>
      <c r="B181" s="1333"/>
      <c r="C181" s="1334"/>
      <c r="D181" s="37"/>
      <c r="E181" s="1344"/>
      <c r="F181" s="1344"/>
      <c r="G181" s="91"/>
      <c r="H181" s="91"/>
      <c r="I181" s="91"/>
    </row>
    <row r="182" spans="1:9" ht="12.75" customHeight="1">
      <c r="A182" s="35"/>
      <c r="B182" s="35"/>
      <c r="C182" s="35"/>
      <c r="D182" s="37"/>
      <c r="E182" s="91"/>
      <c r="F182" s="91"/>
      <c r="G182" s="91"/>
      <c r="H182" s="91"/>
      <c r="I182" s="91"/>
    </row>
    <row r="183" spans="1:9" ht="12.75" customHeight="1">
      <c r="A183" s="35"/>
      <c r="B183" s="35"/>
      <c r="C183" s="35"/>
      <c r="D183" s="37"/>
      <c r="E183" s="91"/>
      <c r="F183" s="91"/>
      <c r="G183" s="91"/>
      <c r="H183" s="91"/>
      <c r="I183" s="91"/>
    </row>
    <row r="184" spans="1:9" ht="12.75" customHeight="1">
      <c r="A184" s="35"/>
      <c r="B184" s="1301" t="s">
        <v>92</v>
      </c>
      <c r="C184" s="1302"/>
      <c r="D184" s="37"/>
      <c r="E184" s="1301" t="s">
        <v>54</v>
      </c>
      <c r="F184" s="1301"/>
      <c r="G184" s="1301"/>
      <c r="H184" s="1302"/>
      <c r="I184" s="130"/>
    </row>
    <row r="185" spans="1:9" ht="12.75" customHeight="1">
      <c r="A185" s="35"/>
      <c r="B185" s="1337" t="s">
        <v>113</v>
      </c>
      <c r="C185" s="1345"/>
      <c r="E185" s="1320" t="s">
        <v>113</v>
      </c>
      <c r="F185" s="1321"/>
      <c r="G185" s="1321"/>
      <c r="H185" s="1322"/>
      <c r="I185" s="91"/>
    </row>
    <row r="186" spans="1:9" ht="12.75" customHeight="1">
      <c r="A186" s="35"/>
      <c r="B186" s="1316" t="s">
        <v>115</v>
      </c>
      <c r="C186" s="1327"/>
      <c r="E186" s="1320" t="s">
        <v>115</v>
      </c>
      <c r="F186" s="1321"/>
      <c r="G186" s="1321"/>
      <c r="H186" s="1322"/>
      <c r="I186" s="91"/>
    </row>
    <row r="187" spans="1:9" ht="12.75" customHeight="1">
      <c r="A187" s="35"/>
      <c r="B187" s="1316" t="s">
        <v>116</v>
      </c>
      <c r="C187" s="1327"/>
      <c r="E187" s="1320" t="s">
        <v>116</v>
      </c>
      <c r="F187" s="1321"/>
      <c r="G187" s="1321"/>
      <c r="H187" s="1322"/>
      <c r="I187" s="91"/>
    </row>
    <row r="188" spans="1:9" ht="12.75" customHeight="1">
      <c r="A188" s="35"/>
      <c r="B188" s="1316" t="s">
        <v>117</v>
      </c>
      <c r="C188" s="1327"/>
      <c r="E188" s="1320" t="s">
        <v>117</v>
      </c>
      <c r="F188" s="1321"/>
      <c r="G188" s="1321"/>
      <c r="H188" s="1322"/>
      <c r="I188" s="91"/>
    </row>
    <row r="189" spans="1:9" ht="12.75" customHeight="1">
      <c r="A189" s="35"/>
      <c r="B189" s="1316" t="s">
        <v>118</v>
      </c>
      <c r="C189" s="1327"/>
      <c r="E189" s="1320" t="s">
        <v>118</v>
      </c>
      <c r="F189" s="1321"/>
      <c r="G189" s="1321"/>
      <c r="H189" s="1322"/>
      <c r="I189" s="91"/>
    </row>
    <row r="190" spans="1:9" ht="12.75" customHeight="1">
      <c r="A190" s="35"/>
      <c r="B190" s="1316" t="s">
        <v>119</v>
      </c>
      <c r="C190" s="1327"/>
      <c r="E190" s="1320" t="s">
        <v>119</v>
      </c>
      <c r="F190" s="1321"/>
      <c r="G190" s="1321"/>
      <c r="H190" s="1322"/>
      <c r="I190" s="91"/>
    </row>
    <row r="191" spans="1:9">
      <c r="A191" s="35"/>
      <c r="B191" s="1303"/>
      <c r="C191" s="1304"/>
      <c r="D191" s="37"/>
      <c r="E191" s="1303"/>
      <c r="F191" s="1303"/>
      <c r="G191" s="1303"/>
      <c r="H191" s="1304"/>
      <c r="I191" s="91"/>
    </row>
    <row r="192" spans="1:9" ht="12.65" customHeight="1">
      <c r="A192" s="35"/>
      <c r="D192" s="37"/>
      <c r="E192" s="37"/>
    </row>
    <row r="193" spans="1:13" ht="12.65" customHeight="1">
      <c r="A193" s="35"/>
      <c r="B193" s="66" t="s">
        <v>120</v>
      </c>
      <c r="C193" s="67"/>
      <c r="D193" s="67"/>
      <c r="E193" s="67"/>
      <c r="F193" s="65"/>
      <c r="G193" s="65"/>
      <c r="H193" s="65"/>
      <c r="I193" s="65"/>
      <c r="J193" s="65"/>
      <c r="K193" s="65"/>
      <c r="L193" s="65"/>
      <c r="M193" s="65"/>
    </row>
    <row r="194" spans="1:13" ht="12.65" customHeight="1">
      <c r="A194" s="35"/>
      <c r="B194" s="92"/>
      <c r="C194" s="93"/>
      <c r="D194" s="93"/>
      <c r="E194" s="93"/>
      <c r="F194" s="94"/>
      <c r="G194" s="94"/>
      <c r="H194" s="94"/>
      <c r="I194" s="94"/>
    </row>
    <row r="195" spans="1:13" ht="12.65" customHeight="1">
      <c r="A195" s="35"/>
      <c r="B195" s="236" t="s">
        <v>121</v>
      </c>
      <c r="C195" s="37"/>
      <c r="D195" s="37"/>
      <c r="E195" s="259" t="b">
        <f>OR((LEFT('RFPR cover'!$C$8,2)=Data!F195),'RFPR cover'!$C$7=Data!F195)</f>
        <v>0</v>
      </c>
      <c r="F195" s="260" t="str">
        <f>B206</f>
        <v>ED</v>
      </c>
    </row>
    <row r="196" spans="1:13" ht="19.5" customHeight="1">
      <c r="A196" s="35"/>
      <c r="B196" s="96" t="str">
        <f>CHOOSE(MATCH(TRUE,$E$195:$E$203,0),B207,B218,B229,E229,B240,E240,B251,E251,B262)&amp;""</f>
        <v>RIIO-2 network innovation allowance  - (SpC 5.2)</v>
      </c>
      <c r="C196" s="37"/>
      <c r="D196" s="37"/>
      <c r="E196" s="316" t="b">
        <f>OR((LEFT('RFPR cover'!$C$8,2)=Data!F196),'RFPR cover'!$C$7=Data!F196)</f>
        <v>1</v>
      </c>
      <c r="F196" s="250" t="str">
        <f>B217</f>
        <v>GD</v>
      </c>
    </row>
    <row r="197" spans="1:13" ht="22.5" customHeight="1">
      <c r="A197" s="35"/>
      <c r="B197" s="96" t="str">
        <f t="shared" ref="B197:B203" si="25">CHOOSE(MATCH(TRUE,$E$195:$E$203,0),B208,B219,B230,E230,B241,E241,B252,E252,B263)&amp;""</f>
        <v>Carry-over Network Innovation Allowance - (SpC 5.3)</v>
      </c>
      <c r="C197" s="37"/>
      <c r="D197" s="37"/>
      <c r="E197" s="316" t="b">
        <f>OR((LEFT('RFPR cover'!$C$8,2)=Data!F197),'RFPR cover'!$C$7=Data!F197)</f>
        <v>0</v>
      </c>
      <c r="F197" s="251" t="str">
        <f>B228</f>
        <v>NGGT (TO)</v>
      </c>
    </row>
    <row r="198" spans="1:13" ht="19.5" customHeight="1">
      <c r="A198" s="35"/>
      <c r="B198" s="96" t="str">
        <f t="shared" si="25"/>
        <v/>
      </c>
      <c r="C198" s="37"/>
      <c r="D198" s="37"/>
      <c r="E198" s="316" t="b">
        <f>OR((LEFT('RFPR cover'!$C$8,2)=Data!F198),'RFPR cover'!$C$7=Data!F198)</f>
        <v>0</v>
      </c>
      <c r="F198" s="251" t="str">
        <f>E228</f>
        <v>NGGT (SO)</v>
      </c>
    </row>
    <row r="199" spans="1:13" ht="19.5" customHeight="1">
      <c r="A199" s="35"/>
      <c r="B199" s="96" t="str">
        <f t="shared" si="25"/>
        <v/>
      </c>
      <c r="C199" s="37"/>
      <c r="D199" s="37"/>
      <c r="E199" s="316" t="b">
        <f>OR((LEFT('RFPR cover'!$C$8,2)=Data!F199),'RFPR cover'!$C$7=Data!F199)</f>
        <v>0</v>
      </c>
      <c r="F199" s="251" t="str">
        <f>B239</f>
        <v>NGGT (TO+SO)</v>
      </c>
      <c r="G199" s="1209"/>
    </row>
    <row r="200" spans="1:13" ht="19.5" customHeight="1">
      <c r="A200" s="35"/>
      <c r="B200" s="96" t="str">
        <f t="shared" si="25"/>
        <v/>
      </c>
      <c r="C200" s="37"/>
      <c r="D200" s="37"/>
      <c r="E200" s="316" t="b">
        <f>OR((LEFT('RFPR cover'!$C$8,2)=Data!F200),'RFPR cover'!$C$7=Data!F200)</f>
        <v>0</v>
      </c>
      <c r="F200" s="251" t="str">
        <f>E239</f>
        <v>NGET (TO)</v>
      </c>
    </row>
    <row r="201" spans="1:13" ht="19.5" customHeight="1">
      <c r="A201" s="35"/>
      <c r="B201" s="96" t="str">
        <f t="shared" si="25"/>
        <v/>
      </c>
      <c r="C201" s="37"/>
      <c r="D201" s="37"/>
      <c r="E201" s="316" t="b">
        <f>OR((LEFT('RFPR cover'!$C$8,2)=Data!F201),'RFPR cover'!$C$7=Data!F201)</f>
        <v>0</v>
      </c>
      <c r="F201" s="251" t="str">
        <f>B250</f>
        <v>ESO</v>
      </c>
    </row>
    <row r="202" spans="1:13" ht="19.5" customHeight="1">
      <c r="A202" s="35"/>
      <c r="B202" s="96" t="str">
        <f t="shared" si="25"/>
        <v/>
      </c>
      <c r="C202" s="37"/>
      <c r="D202" s="37"/>
      <c r="E202" s="316" t="b">
        <f>OR((LEFT('RFPR cover'!$C$8,2)=Data!F202),'RFPR cover'!$C$7=Data!F202)</f>
        <v>0</v>
      </c>
      <c r="F202" s="251" t="str">
        <f>E250</f>
        <v>SPT</v>
      </c>
    </row>
    <row r="203" spans="1:13" ht="19.5" customHeight="1">
      <c r="A203" s="35"/>
      <c r="B203" s="96" t="str">
        <f t="shared" si="25"/>
        <v/>
      </c>
      <c r="C203" s="37"/>
      <c r="D203" s="37"/>
      <c r="E203" s="252" t="b">
        <f>OR((LEFT('RFPR cover'!$C$8,2)=Data!F203),'RFPR cover'!$C$7=Data!F203)</f>
        <v>0</v>
      </c>
      <c r="F203" s="254" t="str">
        <f>B261</f>
        <v>SHET</v>
      </c>
      <c r="G203" s="37"/>
      <c r="H203" s="37"/>
      <c r="I203" s="37"/>
    </row>
    <row r="204" spans="1:13" ht="12.75" customHeight="1">
      <c r="A204" s="35"/>
      <c r="B204" s="37"/>
      <c r="C204" s="37"/>
      <c r="D204" s="37"/>
      <c r="E204" s="11"/>
      <c r="F204" s="95"/>
    </row>
    <row r="205" spans="1:13" ht="12.75" customHeight="1">
      <c r="A205" s="35"/>
      <c r="B205" s="128"/>
      <c r="C205" s="128"/>
      <c r="D205" s="37"/>
      <c r="E205" s="11"/>
      <c r="F205" s="95"/>
    </row>
    <row r="206" spans="1:13" ht="12.75" customHeight="1">
      <c r="A206" s="35"/>
      <c r="B206" s="1351" t="s">
        <v>19</v>
      </c>
      <c r="C206" s="1352"/>
      <c r="D206" s="37"/>
      <c r="E206" s="37"/>
    </row>
    <row r="207" spans="1:13" ht="12.75" customHeight="1">
      <c r="A207" s="35"/>
      <c r="B207" s="1314" t="s">
        <v>122</v>
      </c>
      <c r="C207" s="1315"/>
      <c r="D207" s="37"/>
      <c r="E207" s="37"/>
    </row>
    <row r="208" spans="1:13" ht="12.75" customHeight="1">
      <c r="A208" s="35"/>
      <c r="B208" s="1299" t="s">
        <v>123</v>
      </c>
      <c r="C208" s="1300"/>
      <c r="D208" s="37"/>
      <c r="E208" s="37"/>
    </row>
    <row r="209" spans="1:5" ht="12.75" customHeight="1">
      <c r="A209" s="35"/>
      <c r="B209" s="1299"/>
      <c r="C209" s="1300"/>
      <c r="D209" s="37"/>
      <c r="E209" s="37"/>
    </row>
    <row r="210" spans="1:5" ht="12.75" customHeight="1">
      <c r="A210" s="35"/>
      <c r="B210" s="1299"/>
      <c r="C210" s="1300"/>
      <c r="D210" s="37"/>
      <c r="E210" s="37"/>
    </row>
    <row r="211" spans="1:5" ht="12.75" customHeight="1">
      <c r="A211" s="35"/>
      <c r="B211" s="1299"/>
      <c r="C211" s="1300"/>
      <c r="D211" s="37"/>
      <c r="E211" s="37"/>
    </row>
    <row r="212" spans="1:5" ht="12.75" customHeight="1">
      <c r="A212" s="35"/>
      <c r="B212" s="1299"/>
      <c r="C212" s="1300"/>
      <c r="D212" s="37"/>
      <c r="E212" s="37"/>
    </row>
    <row r="213" spans="1:5">
      <c r="A213" s="35"/>
      <c r="B213" s="1299"/>
      <c r="C213" s="1300"/>
      <c r="D213" s="37"/>
      <c r="E213" s="37"/>
    </row>
    <row r="214" spans="1:5" ht="12.75" customHeight="1">
      <c r="A214" s="35"/>
      <c r="B214" s="1303"/>
      <c r="C214" s="1304"/>
      <c r="D214" s="37"/>
      <c r="E214" s="37"/>
    </row>
    <row r="215" spans="1:5" ht="12.75" customHeight="1">
      <c r="A215" s="35"/>
      <c r="B215" s="37"/>
      <c r="C215" s="37"/>
      <c r="D215" s="37"/>
      <c r="E215" s="37"/>
    </row>
    <row r="216" spans="1:5" ht="12.75" customHeight="1">
      <c r="A216" s="35"/>
      <c r="B216" s="37"/>
      <c r="C216" s="37"/>
      <c r="D216" s="37"/>
      <c r="E216" s="37"/>
    </row>
    <row r="217" spans="1:5" ht="12.75" customHeight="1">
      <c r="A217" s="35"/>
      <c r="B217" s="1318" t="s">
        <v>25</v>
      </c>
      <c r="C217" s="1319"/>
      <c r="D217" s="37"/>
      <c r="E217" s="37"/>
    </row>
    <row r="218" spans="1:5" ht="12.75" customHeight="1">
      <c r="A218" s="35"/>
      <c r="B218" s="1314" t="s">
        <v>124</v>
      </c>
      <c r="C218" s="1315"/>
      <c r="E218" s="37"/>
    </row>
    <row r="219" spans="1:5" ht="12.75" customHeight="1">
      <c r="A219" s="35"/>
      <c r="B219" s="1299" t="s">
        <v>125</v>
      </c>
      <c r="C219" s="1300"/>
      <c r="D219" s="37"/>
      <c r="E219" s="37"/>
    </row>
    <row r="220" spans="1:5" ht="12.75" customHeight="1">
      <c r="A220" s="35"/>
      <c r="B220" s="1299"/>
      <c r="C220" s="1300"/>
      <c r="D220" s="37"/>
      <c r="E220" s="37"/>
    </row>
    <row r="221" spans="1:5" ht="12.75" customHeight="1">
      <c r="A221" s="35"/>
      <c r="B221" s="1299"/>
      <c r="C221" s="1300"/>
      <c r="D221" s="37"/>
      <c r="E221" s="37"/>
    </row>
    <row r="222" spans="1:5">
      <c r="A222" s="35"/>
      <c r="B222" s="1299"/>
      <c r="C222" s="1300"/>
      <c r="D222" s="37"/>
      <c r="E222" s="37"/>
    </row>
    <row r="223" spans="1:5">
      <c r="A223" s="35"/>
      <c r="B223" s="1299"/>
      <c r="C223" s="1300"/>
      <c r="D223" s="37"/>
      <c r="E223" s="37"/>
    </row>
    <row r="224" spans="1:5" ht="12.75" customHeight="1">
      <c r="A224" s="35"/>
      <c r="B224" s="1299"/>
      <c r="C224" s="1300"/>
      <c r="D224" s="37"/>
      <c r="E224" s="37"/>
    </row>
    <row r="225" spans="1:9">
      <c r="A225" s="35"/>
      <c r="B225" s="1303"/>
      <c r="C225" s="1304"/>
      <c r="D225" s="37"/>
      <c r="E225" s="37"/>
    </row>
    <row r="226" spans="1:9">
      <c r="A226" s="35"/>
      <c r="B226" s="37"/>
      <c r="C226" s="37"/>
      <c r="D226" s="37"/>
      <c r="E226" s="37"/>
    </row>
    <row r="227" spans="1:9">
      <c r="A227" s="35"/>
      <c r="B227" s="37"/>
      <c r="C227" s="37"/>
      <c r="D227" s="37"/>
      <c r="E227" s="37"/>
    </row>
    <row r="228" spans="1:9">
      <c r="A228" s="35"/>
      <c r="B228" s="180" t="str">
        <f>B85</f>
        <v>NGGT (TO)</v>
      </c>
      <c r="C228" s="156"/>
      <c r="D228" s="37"/>
      <c r="E228" s="1301" t="str">
        <f>B86</f>
        <v>NGGT (SO)</v>
      </c>
      <c r="F228" s="1301"/>
      <c r="G228" s="1301"/>
      <c r="H228" s="1301"/>
      <c r="I228" s="1302"/>
    </row>
    <row r="229" spans="1:9">
      <c r="A229" s="35"/>
      <c r="B229" s="1314" t="s">
        <v>126</v>
      </c>
      <c r="C229" s="1315"/>
      <c r="E229" s="1323"/>
      <c r="F229" s="1324"/>
      <c r="G229" s="1324"/>
      <c r="H229" s="1324"/>
      <c r="I229" s="1325"/>
    </row>
    <row r="230" spans="1:9" ht="25.5" customHeight="1">
      <c r="A230" s="35"/>
      <c r="B230" s="1299" t="s">
        <v>127</v>
      </c>
      <c r="C230" s="1300"/>
      <c r="E230" s="1323"/>
      <c r="F230" s="1324"/>
      <c r="G230" s="1324"/>
      <c r="H230" s="1324"/>
      <c r="I230" s="1325"/>
    </row>
    <row r="231" spans="1:9" ht="13.5" customHeight="1">
      <c r="A231" s="35"/>
      <c r="B231" s="1299" t="s">
        <v>128</v>
      </c>
      <c r="C231" s="1300"/>
      <c r="D231" s="37"/>
      <c r="E231" s="1323"/>
      <c r="F231" s="1324"/>
      <c r="G231" s="1324"/>
      <c r="H231" s="1324"/>
      <c r="I231" s="1325"/>
    </row>
    <row r="232" spans="1:9" ht="13.5" customHeight="1">
      <c r="A232" s="35"/>
      <c r="B232" s="1299"/>
      <c r="C232" s="1300"/>
      <c r="D232" s="37"/>
      <c r="E232" s="1305" t="s">
        <v>129</v>
      </c>
      <c r="F232" s="1306"/>
      <c r="G232" s="1306"/>
      <c r="H232" s="1306"/>
      <c r="I232" s="1307"/>
    </row>
    <row r="233" spans="1:9" ht="13.5" customHeight="1">
      <c r="A233" s="35"/>
      <c r="B233" s="181"/>
      <c r="C233" s="157"/>
      <c r="D233" s="37"/>
      <c r="E233" s="1305" t="s">
        <v>130</v>
      </c>
      <c r="F233" s="1306"/>
      <c r="G233" s="1306"/>
      <c r="H233" s="1306"/>
      <c r="I233" s="1307"/>
    </row>
    <row r="234" spans="1:9" ht="13.5" customHeight="1">
      <c r="A234" s="35"/>
      <c r="B234" s="1299"/>
      <c r="C234" s="1300"/>
      <c r="D234" s="37"/>
      <c r="E234" s="1305" t="s">
        <v>131</v>
      </c>
      <c r="F234" s="1306"/>
      <c r="G234" s="1306"/>
      <c r="H234" s="1306"/>
      <c r="I234" s="1307"/>
    </row>
    <row r="235" spans="1:9" ht="13.5" customHeight="1">
      <c r="A235" s="35"/>
      <c r="B235" s="1299"/>
      <c r="C235" s="1300"/>
      <c r="D235" s="37"/>
      <c r="E235" s="1308" t="s">
        <v>132</v>
      </c>
      <c r="F235" s="1309"/>
      <c r="G235" s="1309"/>
      <c r="H235" s="1309"/>
      <c r="I235" s="1310"/>
    </row>
    <row r="236" spans="1:9" ht="12.75" customHeight="1">
      <c r="A236" s="35"/>
      <c r="B236" s="1303"/>
      <c r="C236" s="1304"/>
      <c r="D236" s="37"/>
      <c r="E236" s="1311" t="s">
        <v>133</v>
      </c>
      <c r="F236" s="1312"/>
      <c r="G236" s="1312"/>
      <c r="H236" s="1312"/>
      <c r="I236" s="1313"/>
    </row>
    <row r="237" spans="1:9">
      <c r="A237" s="35"/>
      <c r="B237" s="37"/>
      <c r="C237" s="37"/>
      <c r="D237" s="37"/>
      <c r="E237" s="37"/>
    </row>
    <row r="238" spans="1:9" ht="12.75" customHeight="1">
      <c r="A238" s="35"/>
      <c r="B238" s="37"/>
      <c r="C238" s="37"/>
      <c r="D238" s="37"/>
      <c r="E238" s="37"/>
    </row>
    <row r="239" spans="1:9">
      <c r="A239" s="35"/>
      <c r="B239" s="1301" t="s">
        <v>90</v>
      </c>
      <c r="C239" s="1302"/>
      <c r="D239" s="1229"/>
      <c r="E239" s="1301" t="s">
        <v>91</v>
      </c>
      <c r="F239" s="1301"/>
      <c r="G239" s="1301"/>
      <c r="H239" s="1301"/>
      <c r="I239" s="1302"/>
    </row>
    <row r="240" spans="1:9" ht="12.75" customHeight="1">
      <c r="A240" s="35"/>
      <c r="B240" s="1314" t="s">
        <v>126</v>
      </c>
      <c r="C240" s="1315"/>
      <c r="D240" s="1209"/>
      <c r="E240" s="1314" t="s">
        <v>126</v>
      </c>
      <c r="F240" s="1314"/>
      <c r="G240" s="1314"/>
      <c r="H240" s="1314"/>
      <c r="I240" s="1315"/>
    </row>
    <row r="241" spans="1:9" ht="12.75" customHeight="1">
      <c r="A241" s="35"/>
      <c r="B241" s="1299" t="s">
        <v>127</v>
      </c>
      <c r="C241" s="1300"/>
      <c r="D241" s="1209"/>
      <c r="E241" s="1299" t="s">
        <v>134</v>
      </c>
      <c r="F241" s="1299"/>
      <c r="G241" s="1299"/>
      <c r="H241" s="1299"/>
      <c r="I241" s="1300"/>
    </row>
    <row r="242" spans="1:9" ht="12.75" customHeight="1">
      <c r="A242" s="35"/>
      <c r="B242" s="1299" t="s">
        <v>128</v>
      </c>
      <c r="C242" s="1300"/>
      <c r="D242" s="1209"/>
      <c r="E242" s="1299"/>
      <c r="F242" s="1299"/>
      <c r="G242" s="1299"/>
      <c r="H242" s="1299"/>
      <c r="I242" s="1300"/>
    </row>
    <row r="243" spans="1:9" ht="24" customHeight="1">
      <c r="A243" s="35"/>
      <c r="B243" s="1299" t="s">
        <v>135</v>
      </c>
      <c r="C243" s="1300"/>
      <c r="D243" s="1209"/>
      <c r="E243" s="1299"/>
      <c r="F243" s="1299"/>
      <c r="G243" s="1299"/>
      <c r="H243" s="1299"/>
      <c r="I243" s="1300"/>
    </row>
    <row r="244" spans="1:9">
      <c r="A244" s="35"/>
      <c r="B244" s="1299" t="s">
        <v>130</v>
      </c>
      <c r="C244" s="1300"/>
      <c r="D244" s="1209"/>
      <c r="E244" s="1299"/>
      <c r="F244" s="1299"/>
      <c r="G244" s="1299"/>
      <c r="H244" s="1299"/>
      <c r="I244" s="1300"/>
    </row>
    <row r="245" spans="1:9">
      <c r="A245" s="35"/>
      <c r="B245" s="1299" t="s">
        <v>131</v>
      </c>
      <c r="C245" s="1300"/>
      <c r="D245" s="1209"/>
      <c r="E245" s="1299"/>
      <c r="F245" s="1299"/>
      <c r="G245" s="1299"/>
      <c r="H245" s="1299"/>
      <c r="I245" s="1300"/>
    </row>
    <row r="246" spans="1:9" ht="12.75" customHeight="1">
      <c r="A246" s="35"/>
      <c r="B246" s="1299" t="s">
        <v>136</v>
      </c>
      <c r="C246" s="1300"/>
      <c r="D246" s="1209"/>
      <c r="E246" s="1299"/>
      <c r="F246" s="1299"/>
      <c r="G246" s="1299"/>
      <c r="H246" s="1299"/>
      <c r="I246" s="1300"/>
    </row>
    <row r="247" spans="1:9" ht="12.75" customHeight="1">
      <c r="A247" s="35"/>
      <c r="B247" s="1303" t="s">
        <v>133</v>
      </c>
      <c r="C247" s="1304"/>
      <c r="D247" s="1229"/>
      <c r="E247" s="1303"/>
      <c r="F247" s="1303"/>
      <c r="G247" s="1303"/>
      <c r="H247" s="1303"/>
      <c r="I247" s="1304"/>
    </row>
    <row r="248" spans="1:9" ht="12.75" customHeight="1">
      <c r="A248" s="35"/>
      <c r="B248" s="35"/>
      <c r="C248" s="35"/>
      <c r="D248" s="37"/>
      <c r="E248" s="91"/>
      <c r="F248" s="91"/>
      <c r="G248" s="91"/>
      <c r="H248" s="91"/>
      <c r="I248" s="91"/>
    </row>
    <row r="249" spans="1:9" ht="12.75" customHeight="1">
      <c r="A249" s="35"/>
      <c r="B249" s="35"/>
      <c r="C249" s="35"/>
      <c r="D249" s="37"/>
      <c r="E249" s="91"/>
      <c r="F249" s="91"/>
      <c r="G249" s="91"/>
      <c r="H249" s="91"/>
      <c r="I249" s="91"/>
    </row>
    <row r="250" spans="1:9" ht="12.75" customHeight="1">
      <c r="A250" s="35"/>
      <c r="B250" s="1301" t="s">
        <v>29</v>
      </c>
      <c r="C250" s="1302"/>
      <c r="D250" s="37"/>
      <c r="E250" s="1301" t="s">
        <v>92</v>
      </c>
      <c r="F250" s="1301"/>
      <c r="G250" s="1301"/>
      <c r="H250" s="1301"/>
      <c r="I250" s="1302"/>
    </row>
    <row r="251" spans="1:9" ht="12.75" customHeight="1">
      <c r="A251" s="35"/>
      <c r="B251" s="1314" t="s">
        <v>137</v>
      </c>
      <c r="C251" s="1315"/>
      <c r="E251" s="1314" t="s">
        <v>138</v>
      </c>
      <c r="F251" s="1314"/>
      <c r="G251" s="1314"/>
      <c r="H251" s="1314"/>
      <c r="I251" s="1315"/>
    </row>
    <row r="252" spans="1:9" ht="25.5" customHeight="1">
      <c r="A252" s="35"/>
      <c r="B252" s="1299" t="s">
        <v>139</v>
      </c>
      <c r="C252" s="1300"/>
      <c r="E252" s="1299" t="s">
        <v>125</v>
      </c>
      <c r="F252" s="1299"/>
      <c r="G252" s="1299"/>
      <c r="H252" s="1299"/>
      <c r="I252" s="1300"/>
    </row>
    <row r="253" spans="1:9" ht="25.5" customHeight="1">
      <c r="A253" s="35"/>
      <c r="B253" s="1299"/>
      <c r="C253" s="1300"/>
      <c r="E253" s="1299"/>
      <c r="F253" s="1299"/>
      <c r="G253" s="1299"/>
      <c r="H253" s="1299"/>
      <c r="I253" s="1300"/>
    </row>
    <row r="254" spans="1:9" ht="25.5" customHeight="1">
      <c r="A254" s="35"/>
      <c r="B254" s="1299"/>
      <c r="C254" s="1300"/>
      <c r="E254" s="1299"/>
      <c r="F254" s="1299"/>
      <c r="G254" s="1299"/>
      <c r="H254" s="1299"/>
      <c r="I254" s="1300"/>
    </row>
    <row r="255" spans="1:9" ht="25.5" customHeight="1">
      <c r="A255" s="35"/>
      <c r="B255" s="1299"/>
      <c r="C255" s="1300"/>
      <c r="E255" s="1299"/>
      <c r="F255" s="1299"/>
      <c r="G255" s="1299"/>
      <c r="H255" s="1299"/>
      <c r="I255" s="1300"/>
    </row>
    <row r="256" spans="1:9" ht="25.5" customHeight="1">
      <c r="A256" s="35"/>
      <c r="B256" s="1299"/>
      <c r="C256" s="1300"/>
      <c r="E256" s="1299"/>
      <c r="F256" s="1299"/>
      <c r="G256" s="1299"/>
      <c r="H256" s="1299"/>
      <c r="I256" s="1300"/>
    </row>
    <row r="257" spans="1:9">
      <c r="A257" s="35"/>
      <c r="B257" s="1299"/>
      <c r="C257" s="1300"/>
      <c r="E257" s="1299"/>
      <c r="F257" s="1299"/>
      <c r="G257" s="1299"/>
      <c r="H257" s="1299"/>
      <c r="I257" s="1300"/>
    </row>
    <row r="258" spans="1:9">
      <c r="A258" s="35"/>
      <c r="B258" s="1303"/>
      <c r="C258" s="1304"/>
      <c r="D258" s="37"/>
      <c r="E258" s="1303"/>
      <c r="F258" s="1303"/>
      <c r="G258" s="1303"/>
      <c r="H258" s="1303"/>
      <c r="I258" s="1304"/>
    </row>
    <row r="259" spans="1:9">
      <c r="A259" s="35"/>
      <c r="D259" s="37"/>
      <c r="E259" s="37"/>
    </row>
    <row r="260" spans="1:9">
      <c r="A260" s="35"/>
      <c r="D260" s="37"/>
      <c r="E260" s="37"/>
    </row>
    <row r="261" spans="1:9">
      <c r="A261" s="35"/>
      <c r="B261" s="1301" t="s">
        <v>54</v>
      </c>
      <c r="C261" s="1302"/>
      <c r="D261" s="37"/>
      <c r="E261" s="37"/>
    </row>
    <row r="262" spans="1:9">
      <c r="A262" s="35"/>
      <c r="B262" s="1299" t="s">
        <v>138</v>
      </c>
      <c r="C262" s="1300"/>
      <c r="D262" s="1326"/>
      <c r="E262" s="1326"/>
    </row>
    <row r="263" spans="1:9">
      <c r="A263" s="35"/>
      <c r="B263" s="1299" t="s">
        <v>125</v>
      </c>
      <c r="C263" s="1300"/>
      <c r="D263" s="1326"/>
      <c r="E263" s="1326"/>
    </row>
    <row r="264" spans="1:9">
      <c r="A264" s="35"/>
      <c r="B264" s="1299"/>
      <c r="C264" s="1300"/>
      <c r="D264" s="37"/>
      <c r="E264" s="37"/>
    </row>
    <row r="265" spans="1:9">
      <c r="A265" s="35"/>
      <c r="B265" s="1299"/>
      <c r="C265" s="1300"/>
      <c r="D265" s="37"/>
      <c r="E265" s="37"/>
    </row>
    <row r="266" spans="1:9">
      <c r="A266" s="35"/>
      <c r="B266" s="1299"/>
      <c r="C266" s="1300"/>
      <c r="D266" s="37"/>
      <c r="E266" s="37"/>
    </row>
    <row r="267" spans="1:9">
      <c r="A267" s="35"/>
      <c r="B267" s="1299"/>
      <c r="C267" s="1300"/>
      <c r="D267" s="37"/>
      <c r="E267" s="37"/>
    </row>
    <row r="268" spans="1:9">
      <c r="A268" s="35"/>
      <c r="B268" s="1299"/>
      <c r="C268" s="1300"/>
      <c r="D268" s="37"/>
      <c r="E268" s="37"/>
    </row>
    <row r="269" spans="1:9">
      <c r="A269" s="35"/>
      <c r="B269" s="1303"/>
      <c r="C269" s="1304"/>
      <c r="D269" s="37"/>
      <c r="E269" s="37"/>
    </row>
    <row r="270" spans="1:9">
      <c r="A270" s="35"/>
      <c r="D270" s="37"/>
      <c r="E270" s="37"/>
    </row>
    <row r="271" spans="1:9">
      <c r="A271" s="35"/>
      <c r="D271" s="37"/>
      <c r="E271" s="37"/>
    </row>
    <row r="272" spans="1:9">
      <c r="A272" s="35"/>
      <c r="D272" s="37"/>
      <c r="E272" s="37"/>
    </row>
    <row r="273" spans="2:36">
      <c r="B273" s="66" t="s">
        <v>140</v>
      </c>
      <c r="C273" s="67"/>
      <c r="D273" s="67"/>
      <c r="E273" s="67"/>
      <c r="F273" s="65"/>
      <c r="G273" s="65"/>
      <c r="H273" s="65"/>
      <c r="I273" s="65"/>
      <c r="J273" s="65"/>
      <c r="K273" s="65"/>
      <c r="L273" s="65"/>
      <c r="M273" s="65"/>
      <c r="N273" s="65"/>
    </row>
    <row r="275" spans="2:36" ht="108">
      <c r="B275" s="279" t="s">
        <v>141</v>
      </c>
      <c r="C275" s="279" t="s">
        <v>142</v>
      </c>
      <c r="D275" s="279" t="s">
        <v>143</v>
      </c>
      <c r="E275" s="280" t="s">
        <v>144</v>
      </c>
      <c r="F275" s="280" t="s">
        <v>145</v>
      </c>
      <c r="G275" s="280" t="s">
        <v>146</v>
      </c>
      <c r="H275" s="280" t="s">
        <v>147</v>
      </c>
      <c r="I275" s="279" t="s">
        <v>148</v>
      </c>
      <c r="J275" s="279" t="s">
        <v>149</v>
      </c>
      <c r="K275" s="281" t="s">
        <v>150</v>
      </c>
      <c r="L275" s="281" t="s">
        <v>151</v>
      </c>
      <c r="M275" s="281" t="s">
        <v>152</v>
      </c>
      <c r="N275" s="281" t="s">
        <v>153</v>
      </c>
      <c r="O275" s="281" t="s">
        <v>154</v>
      </c>
      <c r="P275" s="281" t="s">
        <v>155</v>
      </c>
      <c r="Q275" s="281" t="s">
        <v>156</v>
      </c>
      <c r="R275" s="281" t="s">
        <v>157</v>
      </c>
      <c r="S275" s="281" t="s">
        <v>158</v>
      </c>
      <c r="T275" s="279" t="s">
        <v>159</v>
      </c>
      <c r="U275" s="279" t="s">
        <v>160</v>
      </c>
      <c r="V275" s="279" t="s">
        <v>161</v>
      </c>
      <c r="W275" s="279" t="s">
        <v>162</v>
      </c>
      <c r="X275" s="282" t="s">
        <v>163</v>
      </c>
      <c r="Y275" s="279" t="s">
        <v>164</v>
      </c>
      <c r="Z275" s="279" t="s">
        <v>165</v>
      </c>
      <c r="AA275" s="279" t="s">
        <v>166</v>
      </c>
      <c r="AB275" s="279" t="s">
        <v>167</v>
      </c>
      <c r="AC275" s="279" t="s">
        <v>168</v>
      </c>
      <c r="AD275" s="279" t="s">
        <v>169</v>
      </c>
      <c r="AE275" s="279" t="s">
        <v>170</v>
      </c>
      <c r="AF275" s="279" t="s">
        <v>171</v>
      </c>
      <c r="AG275" s="279" t="s">
        <v>172</v>
      </c>
      <c r="AH275" s="279" t="s">
        <v>173</v>
      </c>
      <c r="AI275" s="279" t="s">
        <v>174</v>
      </c>
      <c r="AJ275" s="283" t="s">
        <v>175</v>
      </c>
    </row>
    <row r="276" spans="2:36">
      <c r="B276" s="268" t="s">
        <v>19</v>
      </c>
      <c r="C276" t="s">
        <v>84</v>
      </c>
      <c r="D276" t="s">
        <v>176</v>
      </c>
      <c r="E276" t="s">
        <v>177</v>
      </c>
      <c r="F276" t="s">
        <v>178</v>
      </c>
      <c r="G276" t="s">
        <v>179</v>
      </c>
      <c r="H276" t="s">
        <v>180</v>
      </c>
      <c r="O276" t="s">
        <v>181</v>
      </c>
      <c r="Y276" t="s">
        <v>182</v>
      </c>
      <c r="Z276" t="s">
        <v>183</v>
      </c>
      <c r="AA276">
        <v>1</v>
      </c>
      <c r="AI276" t="s">
        <v>184</v>
      </c>
      <c r="AJ276" s="134" t="s">
        <v>184</v>
      </c>
    </row>
    <row r="277" spans="2:36">
      <c r="B277" s="268" t="s">
        <v>22</v>
      </c>
      <c r="C277" t="s">
        <v>185</v>
      </c>
      <c r="D277" t="s">
        <v>186</v>
      </c>
      <c r="E277" t="s">
        <v>187</v>
      </c>
      <c r="F277" t="s">
        <v>188</v>
      </c>
      <c r="G277" t="s">
        <v>189</v>
      </c>
      <c r="H277" t="s">
        <v>190</v>
      </c>
      <c r="O277" t="s">
        <v>191</v>
      </c>
      <c r="Y277" t="s">
        <v>192</v>
      </c>
      <c r="Z277" t="s">
        <v>193</v>
      </c>
      <c r="AA277">
        <v>2</v>
      </c>
      <c r="AI277" t="s">
        <v>194</v>
      </c>
      <c r="AJ277" s="134" t="s">
        <v>194</v>
      </c>
    </row>
    <row r="278" spans="2:36">
      <c r="B278" s="268" t="s">
        <v>25</v>
      </c>
      <c r="C278" t="s">
        <v>195</v>
      </c>
      <c r="D278" t="s">
        <v>196</v>
      </c>
      <c r="E278" t="s">
        <v>197</v>
      </c>
      <c r="F278" t="s">
        <v>198</v>
      </c>
      <c r="G278" t="s">
        <v>199</v>
      </c>
      <c r="O278" t="s">
        <v>200</v>
      </c>
      <c r="Y278" t="s">
        <v>201</v>
      </c>
      <c r="Z278" t="s">
        <v>202</v>
      </c>
      <c r="AA278">
        <v>3</v>
      </c>
      <c r="AI278" t="s">
        <v>203</v>
      </c>
      <c r="AJ278" s="134" t="s">
        <v>203</v>
      </c>
    </row>
    <row r="279" spans="2:36">
      <c r="B279" s="268" t="s">
        <v>27</v>
      </c>
      <c r="C279" t="s">
        <v>204</v>
      </c>
      <c r="D279" t="s">
        <v>205</v>
      </c>
      <c r="E279" t="s">
        <v>206</v>
      </c>
      <c r="G279" t="s">
        <v>207</v>
      </c>
      <c r="O279" t="s">
        <v>208</v>
      </c>
      <c r="Y279" t="s">
        <v>209</v>
      </c>
      <c r="Z279" t="s">
        <v>203</v>
      </c>
      <c r="AA279">
        <v>4</v>
      </c>
      <c r="AJ279" s="134"/>
    </row>
    <row r="280" spans="2:36">
      <c r="B280" s="268" t="s">
        <v>29</v>
      </c>
      <c r="C280" t="s">
        <v>87</v>
      </c>
      <c r="D280" t="s">
        <v>210</v>
      </c>
      <c r="E280" t="s">
        <v>211</v>
      </c>
      <c r="G280" t="s">
        <v>212</v>
      </c>
      <c r="O280" t="s">
        <v>213</v>
      </c>
      <c r="Y280" t="s">
        <v>214</v>
      </c>
      <c r="AA280">
        <v>5</v>
      </c>
      <c r="AJ280" s="134"/>
    </row>
    <row r="281" spans="2:36">
      <c r="B281" s="268"/>
      <c r="C281" t="s">
        <v>54</v>
      </c>
      <c r="D281" t="s">
        <v>215</v>
      </c>
      <c r="E281" t="s">
        <v>216</v>
      </c>
      <c r="O281" t="s">
        <v>217</v>
      </c>
      <c r="Y281" s="278" t="s">
        <v>218</v>
      </c>
      <c r="AA281">
        <v>6</v>
      </c>
      <c r="AJ281" s="134"/>
    </row>
    <row r="282" spans="2:36">
      <c r="B282" s="268"/>
      <c r="C282" t="s">
        <v>92</v>
      </c>
      <c r="D282" t="s">
        <v>219</v>
      </c>
      <c r="O282" t="s">
        <v>220</v>
      </c>
      <c r="Y282" t="s">
        <v>203</v>
      </c>
      <c r="AA282">
        <v>7</v>
      </c>
      <c r="AJ282" s="134"/>
    </row>
    <row r="283" spans="2:36">
      <c r="B283" s="268"/>
      <c r="C283" t="s">
        <v>221</v>
      </c>
      <c r="D283" t="s">
        <v>222</v>
      </c>
      <c r="O283" t="s">
        <v>223</v>
      </c>
      <c r="AA283">
        <v>8</v>
      </c>
      <c r="AJ283" s="134"/>
    </row>
    <row r="284" spans="2:36">
      <c r="B284" s="268"/>
      <c r="C284" t="s">
        <v>224</v>
      </c>
      <c r="D284" t="s">
        <v>225</v>
      </c>
      <c r="AA284">
        <v>9</v>
      </c>
      <c r="AJ284" s="134"/>
    </row>
    <row r="285" spans="2:36">
      <c r="B285" s="268"/>
      <c r="C285" t="s">
        <v>29</v>
      </c>
      <c r="D285" t="s">
        <v>226</v>
      </c>
      <c r="AA285">
        <v>10</v>
      </c>
      <c r="AJ285" s="134"/>
    </row>
    <row r="286" spans="2:36">
      <c r="B286" s="268"/>
      <c r="C286" t="s">
        <v>70</v>
      </c>
      <c r="D286" t="s">
        <v>216</v>
      </c>
      <c r="AA286">
        <v>11</v>
      </c>
      <c r="AJ286" s="134"/>
    </row>
    <row r="287" spans="2:36">
      <c r="B287" s="268"/>
      <c r="C287" t="s">
        <v>71</v>
      </c>
      <c r="AA287">
        <v>12</v>
      </c>
      <c r="AJ287" s="134"/>
    </row>
    <row r="288" spans="2:36">
      <c r="B288" s="268"/>
      <c r="C288" t="s">
        <v>72</v>
      </c>
      <c r="AA288" t="s">
        <v>203</v>
      </c>
      <c r="AJ288" s="134"/>
    </row>
    <row r="289" spans="2:36">
      <c r="B289" s="268"/>
      <c r="C289" t="s">
        <v>75</v>
      </c>
      <c r="AJ289" s="134"/>
    </row>
    <row r="290" spans="2:36">
      <c r="B290" s="268"/>
      <c r="C290" t="s">
        <v>76</v>
      </c>
      <c r="AJ290" s="134"/>
    </row>
    <row r="291" spans="2:36">
      <c r="B291" s="268"/>
      <c r="C291" t="s">
        <v>77</v>
      </c>
      <c r="AJ291" s="134"/>
    </row>
    <row r="292" spans="2:36">
      <c r="B292" s="268"/>
      <c r="C292" t="s">
        <v>50</v>
      </c>
      <c r="AJ292" s="134"/>
    </row>
    <row r="293" spans="2:36">
      <c r="B293" s="268"/>
      <c r="C293" t="s">
        <v>227</v>
      </c>
      <c r="AJ293" s="134"/>
    </row>
    <row r="294" spans="2:36">
      <c r="B294" s="268"/>
      <c r="C294" t="s">
        <v>228</v>
      </c>
      <c r="AJ294" s="134"/>
    </row>
    <row r="295" spans="2:36">
      <c r="B295" s="268"/>
      <c r="C295" t="s">
        <v>229</v>
      </c>
      <c r="AJ295" s="134"/>
    </row>
    <row r="296" spans="2:36">
      <c r="B296" s="268"/>
      <c r="C296" t="s">
        <v>230</v>
      </c>
      <c r="AJ296" s="134"/>
    </row>
    <row r="297" spans="2:36">
      <c r="B297" s="268"/>
      <c r="C297" t="s">
        <v>231</v>
      </c>
      <c r="AJ297" s="134"/>
    </row>
    <row r="298" spans="2:36">
      <c r="B298" s="268"/>
      <c r="C298" t="s">
        <v>232</v>
      </c>
      <c r="AJ298" s="134"/>
    </row>
    <row r="299" spans="2:36">
      <c r="B299" s="268"/>
      <c r="C299" t="s">
        <v>233</v>
      </c>
      <c r="AJ299" s="134"/>
    </row>
    <row r="300" spans="2:36">
      <c r="B300" s="268"/>
      <c r="C300" t="s">
        <v>234</v>
      </c>
      <c r="AJ300" s="134"/>
    </row>
    <row r="301" spans="2:36">
      <c r="B301" s="268"/>
      <c r="AJ301" s="134"/>
    </row>
    <row r="302" spans="2:36">
      <c r="B302" s="268"/>
      <c r="AJ302" s="134"/>
    </row>
    <row r="303" spans="2:36">
      <c r="B303" s="268"/>
      <c r="AJ303" s="134"/>
    </row>
    <row r="304" spans="2:36">
      <c r="B304" s="268"/>
      <c r="AJ304" s="134"/>
    </row>
    <row r="305" spans="1:36">
      <c r="B305" s="268"/>
      <c r="AJ305" s="134"/>
    </row>
    <row r="306" spans="1:36">
      <c r="B306" s="269"/>
      <c r="C306" s="165"/>
      <c r="D306" s="165"/>
      <c r="E306" s="165"/>
      <c r="F306" s="165"/>
      <c r="G306" s="165"/>
      <c r="H306" s="165"/>
      <c r="I306" s="165"/>
      <c r="J306" s="165"/>
      <c r="K306" s="165"/>
      <c r="L306" s="165"/>
      <c r="M306" s="165"/>
      <c r="N306" s="165"/>
      <c r="O306" s="165"/>
      <c r="P306" s="165"/>
      <c r="Q306" s="165"/>
      <c r="R306" s="165"/>
      <c r="S306" s="165"/>
      <c r="T306" s="165"/>
      <c r="U306" s="165"/>
      <c r="V306" s="165"/>
      <c r="W306" s="165"/>
      <c r="X306" s="165"/>
      <c r="Y306" s="165"/>
      <c r="Z306" s="165"/>
      <c r="AA306" s="165"/>
      <c r="AB306" s="165"/>
      <c r="AC306" s="165"/>
      <c r="AD306" s="165"/>
      <c r="AE306" s="165"/>
      <c r="AF306" s="165"/>
      <c r="AG306" s="165"/>
      <c r="AH306" s="165"/>
      <c r="AI306" s="165"/>
      <c r="AJ306" s="270"/>
    </row>
    <row r="307" spans="1:36">
      <c r="B307" s="271" t="s">
        <v>235</v>
      </c>
      <c r="C307" s="271"/>
      <c r="D307" s="271"/>
      <c r="E307" s="271"/>
      <c r="F307" s="271"/>
      <c r="G307" s="271"/>
      <c r="H307" s="271"/>
      <c r="I307" s="271"/>
      <c r="J307" s="271"/>
      <c r="K307" s="271"/>
      <c r="L307" s="271"/>
      <c r="M307" s="271"/>
      <c r="N307" s="271"/>
      <c r="O307" s="271"/>
      <c r="P307" s="271"/>
      <c r="Q307" s="271"/>
      <c r="R307" s="271"/>
      <c r="S307" s="271"/>
      <c r="T307" s="271"/>
      <c r="U307" s="271"/>
      <c r="V307" s="271"/>
      <c r="W307" s="271"/>
      <c r="X307" s="271"/>
      <c r="Y307" s="271"/>
      <c r="Z307" s="271"/>
      <c r="AA307" s="271"/>
      <c r="AB307" s="271"/>
      <c r="AC307" s="271"/>
      <c r="AD307" s="271"/>
      <c r="AE307" s="271"/>
      <c r="AF307" s="271"/>
      <c r="AG307" s="271"/>
      <c r="AH307" s="271"/>
      <c r="AI307" s="271"/>
      <c r="AJ307" s="271"/>
    </row>
    <row r="310" spans="1:36">
      <c r="A310" s="35"/>
      <c r="B310" s="66" t="s">
        <v>236</v>
      </c>
      <c r="C310" s="67"/>
      <c r="D310" s="67"/>
      <c r="E310" s="67"/>
      <c r="F310" s="65"/>
      <c r="G310" s="65"/>
      <c r="H310" s="65"/>
      <c r="I310" s="65"/>
      <c r="J310" s="65"/>
      <c r="K310" s="65"/>
      <c r="L310" s="65"/>
      <c r="M310" s="65"/>
      <c r="N310" s="65"/>
      <c r="O310" s="65"/>
      <c r="P310" s="65"/>
      <c r="Q310" s="65"/>
      <c r="R310" s="65"/>
      <c r="S310" s="65"/>
    </row>
    <row r="311" spans="1:36">
      <c r="B311" s="92"/>
      <c r="C311" s="93"/>
      <c r="D311" s="93"/>
      <c r="E311" s="93"/>
      <c r="F311" s="94"/>
      <c r="G311" s="94"/>
      <c r="H311" s="94"/>
      <c r="I311" s="94"/>
      <c r="J311" s="94"/>
      <c r="K311" s="94"/>
      <c r="L311" s="307"/>
      <c r="M311" s="94"/>
      <c r="N311" s="94"/>
    </row>
    <row r="312" spans="1:36">
      <c r="A312" s="89" t="s">
        <v>237</v>
      </c>
      <c r="B312" s="89" t="s">
        <v>238</v>
      </c>
      <c r="C312" s="37"/>
      <c r="D312" s="37"/>
      <c r="E312" s="37"/>
      <c r="K312" s="89" t="s">
        <v>239</v>
      </c>
      <c r="L312" s="89" t="s">
        <v>240</v>
      </c>
      <c r="M312" s="94"/>
      <c r="N312" s="94"/>
    </row>
    <row r="313" spans="1:36">
      <c r="B313" s="308"/>
      <c r="C313" s="93"/>
      <c r="D313" s="93"/>
      <c r="E313" s="93"/>
      <c r="F313" s="94"/>
      <c r="G313" s="94"/>
      <c r="H313" s="94"/>
      <c r="I313" s="94"/>
      <c r="J313" s="94"/>
      <c r="K313" s="94"/>
      <c r="L313" s="308"/>
      <c r="M313" s="94"/>
      <c r="N313" s="94"/>
    </row>
    <row r="314" spans="1:36">
      <c r="A314" s="48" t="s">
        <v>6</v>
      </c>
      <c r="B314" s="301" t="s">
        <v>3</v>
      </c>
      <c r="C314" s="149">
        <v>2022</v>
      </c>
      <c r="D314" s="150">
        <f>C314+1</f>
        <v>2023</v>
      </c>
      <c r="E314" s="150">
        <f>D314+1</f>
        <v>2024</v>
      </c>
      <c r="F314" s="150">
        <f t="shared" ref="F314" si="26">E314+1</f>
        <v>2025</v>
      </c>
      <c r="G314" s="150">
        <f t="shared" ref="G314" si="27">F314+1</f>
        <v>2026</v>
      </c>
      <c r="H314" s="150">
        <f t="shared" ref="H314" si="28">G314+1</f>
        <v>2027</v>
      </c>
      <c r="I314" s="150">
        <f t="shared" ref="I314" si="29">H314+1</f>
        <v>2028</v>
      </c>
      <c r="K314" s="48" t="s">
        <v>6</v>
      </c>
      <c r="L314" s="301" t="s">
        <v>3</v>
      </c>
      <c r="M314" s="149">
        <v>2022</v>
      </c>
      <c r="N314" s="150">
        <f t="shared" ref="N314" si="30">M314+1</f>
        <v>2023</v>
      </c>
      <c r="O314" s="150">
        <f t="shared" ref="O314" si="31">N314+1</f>
        <v>2024</v>
      </c>
      <c r="P314" s="150">
        <f t="shared" ref="P314" si="32">O314+1</f>
        <v>2025</v>
      </c>
      <c r="Q314" s="150">
        <f t="shared" ref="Q314" si="33">P314+1</f>
        <v>2026</v>
      </c>
      <c r="R314" s="150">
        <f t="shared" ref="R314" si="34">Q314+1</f>
        <v>2027</v>
      </c>
      <c r="S314" s="150">
        <f t="shared" ref="S314" si="35">R314+1</f>
        <v>2028</v>
      </c>
    </row>
    <row r="315" spans="1:36">
      <c r="A315" s="12" t="s">
        <v>19</v>
      </c>
      <c r="B315" s="300" t="s">
        <v>70</v>
      </c>
      <c r="C315" s="303"/>
      <c r="D315" s="303"/>
      <c r="E315" s="305">
        <v>1.4366690915062783</v>
      </c>
      <c r="F315" s="305">
        <v>1.3797759532786635</v>
      </c>
      <c r="G315" s="305">
        <v>1.2994160329983981</v>
      </c>
      <c r="H315" s="305">
        <v>1.2615281568238033</v>
      </c>
      <c r="I315" s="305">
        <v>1.2611798067947679</v>
      </c>
      <c r="J315" t="b">
        <f>B315=L315</f>
        <v>1</v>
      </c>
      <c r="K315" s="12" t="s">
        <v>19</v>
      </c>
      <c r="L315" s="300" t="s">
        <v>70</v>
      </c>
      <c r="M315" s="303"/>
      <c r="N315" s="303"/>
      <c r="O315" s="443">
        <f t="shared" ref="O315:O328" si="36">((E315*H$34)/H$13)*(1-H$13)</f>
        <v>5.3677487655720171</v>
      </c>
      <c r="P315" s="443">
        <f t="shared" ref="P315:P328" si="37">((F315*I$34)/I$13)*(1-I$13)</f>
        <v>5.2741262756423222</v>
      </c>
      <c r="Q315" s="443">
        <f t="shared" ref="Q315:Q328" si="38">((G315*J$34)/J$13)*(1-J$13)</f>
        <v>5.0433239534325187</v>
      </c>
      <c r="R315" s="443">
        <f t="shared" ref="R315:R328" si="39">((H315*K$34)/K$13)*(1-K$13)</f>
        <v>4.9941980934999313</v>
      </c>
      <c r="S315" s="443">
        <f t="shared" ref="S315:S328" si="40">((I315*L$34)/L$13)*(1-L$13)</f>
        <v>5.0926754092936628</v>
      </c>
    </row>
    <row r="316" spans="1:36">
      <c r="A316" s="12" t="s">
        <v>19</v>
      </c>
      <c r="B316" s="300" t="s">
        <v>71</v>
      </c>
      <c r="C316" s="303"/>
      <c r="D316" s="303"/>
      <c r="E316" s="305">
        <v>1.368578491828039</v>
      </c>
      <c r="F316" s="305">
        <v>1.4008338175049104</v>
      </c>
      <c r="G316" s="305">
        <v>1.2944169556388054</v>
      </c>
      <c r="H316" s="305">
        <v>1.1615288221705597</v>
      </c>
      <c r="I316" s="305">
        <v>1.0171476978779488</v>
      </c>
      <c r="J316" t="b">
        <f t="shared" ref="J316:J343" si="41">B316=L316</f>
        <v>1</v>
      </c>
      <c r="K316" s="12" t="s">
        <v>19</v>
      </c>
      <c r="L316" s="300" t="s">
        <v>71</v>
      </c>
      <c r="M316" s="303"/>
      <c r="N316" s="303"/>
      <c r="O316" s="443">
        <f t="shared" si="36"/>
        <v>5.1133455529388812</v>
      </c>
      <c r="P316" s="443">
        <f t="shared" si="37"/>
        <v>5.3546189344400421</v>
      </c>
      <c r="Q316" s="443">
        <f t="shared" si="38"/>
        <v>5.0239214172528479</v>
      </c>
      <c r="R316" s="443">
        <f t="shared" si="39"/>
        <v>4.5983159375804865</v>
      </c>
      <c r="S316" s="443">
        <f t="shared" si="40"/>
        <v>4.1072676875214453</v>
      </c>
    </row>
    <row r="317" spans="1:36">
      <c r="A317" s="12" t="s">
        <v>19</v>
      </c>
      <c r="B317" s="300" t="s">
        <v>72</v>
      </c>
      <c r="C317" s="303"/>
      <c r="D317" s="303"/>
      <c r="E317" s="305">
        <v>1.8517886877112844</v>
      </c>
      <c r="F317" s="305">
        <v>1.8549995484009258</v>
      </c>
      <c r="G317" s="305">
        <v>1.5955311955633462</v>
      </c>
      <c r="H317" s="305">
        <v>1.4243694121247401</v>
      </c>
      <c r="I317" s="305">
        <v>1.2090605175362352</v>
      </c>
      <c r="J317" t="b">
        <f t="shared" si="41"/>
        <v>1</v>
      </c>
      <c r="K317" s="12" t="s">
        <v>19</v>
      </c>
      <c r="L317" s="300" t="s">
        <v>72</v>
      </c>
      <c r="M317" s="303"/>
      <c r="N317" s="303"/>
      <c r="O317" s="443">
        <f t="shared" si="36"/>
        <v>6.9187375863574321</v>
      </c>
      <c r="P317" s="443">
        <f t="shared" si="37"/>
        <v>7.0906452864888134</v>
      </c>
      <c r="Q317" s="443">
        <f t="shared" si="38"/>
        <v>6.1926130605496139</v>
      </c>
      <c r="R317" s="443">
        <f t="shared" si="39"/>
        <v>5.638861854960993</v>
      </c>
      <c r="S317" s="443">
        <f t="shared" si="40"/>
        <v>4.8822164237257262</v>
      </c>
    </row>
    <row r="318" spans="1:36">
      <c r="A318" s="12" t="s">
        <v>19</v>
      </c>
      <c r="B318" s="300" t="s">
        <v>52</v>
      </c>
      <c r="C318" s="303"/>
      <c r="D318" s="303"/>
      <c r="E318" s="305">
        <v>1.9633660656588319</v>
      </c>
      <c r="F318" s="305">
        <v>2.1083575561921606</v>
      </c>
      <c r="G318" s="305">
        <v>2.5083164621053555</v>
      </c>
      <c r="H318" s="305">
        <v>2.4606563837546958</v>
      </c>
      <c r="I318" s="305">
        <v>2.3736687667861531</v>
      </c>
      <c r="J318" t="b">
        <f t="shared" si="41"/>
        <v>1</v>
      </c>
      <c r="K318" s="12" t="s">
        <v>19</v>
      </c>
      <c r="L318" s="300" t="s">
        <v>52</v>
      </c>
      <c r="M318" s="303"/>
      <c r="N318" s="303"/>
      <c r="O318" s="443">
        <f t="shared" si="36"/>
        <v>7.3356180888228764</v>
      </c>
      <c r="P318" s="443">
        <f t="shared" si="37"/>
        <v>8.059093912413136</v>
      </c>
      <c r="Q318" s="443">
        <f t="shared" si="38"/>
        <v>9.7353366242023629</v>
      </c>
      <c r="R318" s="443">
        <f t="shared" si="39"/>
        <v>9.7413643556293081</v>
      </c>
      <c r="S318" s="443">
        <f t="shared" si="40"/>
        <v>9.5849334831503477</v>
      </c>
    </row>
    <row r="319" spans="1:36">
      <c r="A319" s="12" t="s">
        <v>19</v>
      </c>
      <c r="B319" s="300" t="s">
        <v>73</v>
      </c>
      <c r="C319" s="303"/>
      <c r="D319" s="303"/>
      <c r="E319" s="305">
        <v>1.3074390315981681</v>
      </c>
      <c r="F319" s="305">
        <v>1.3001216768501926</v>
      </c>
      <c r="G319" s="305">
        <v>1.5417405565806881</v>
      </c>
      <c r="H319" s="305">
        <v>1.5753974334268079</v>
      </c>
      <c r="I319" s="305">
        <v>1.5749617313468214</v>
      </c>
      <c r="J319" t="b">
        <f t="shared" si="41"/>
        <v>1</v>
      </c>
      <c r="K319" s="12" t="s">
        <v>19</v>
      </c>
      <c r="L319" s="300" t="s">
        <v>73</v>
      </c>
      <c r="M319" s="303"/>
      <c r="N319" s="303"/>
      <c r="O319" s="443">
        <f t="shared" si="36"/>
        <v>4.8849135054222552</v>
      </c>
      <c r="P319" s="443">
        <f t="shared" si="37"/>
        <v>4.9696516895470904</v>
      </c>
      <c r="Q319" s="443">
        <f t="shared" si="38"/>
        <v>5.9838395721806164</v>
      </c>
      <c r="R319" s="443">
        <f t="shared" si="39"/>
        <v>6.2367588198221595</v>
      </c>
      <c r="S319" s="443">
        <f t="shared" si="40"/>
        <v>6.3597346203892648</v>
      </c>
    </row>
    <row r="320" spans="1:36">
      <c r="A320" s="12" t="s">
        <v>19</v>
      </c>
      <c r="B320" s="300" t="s">
        <v>74</v>
      </c>
      <c r="C320" s="303"/>
      <c r="D320" s="303"/>
      <c r="E320" s="305">
        <v>2.0191738224902593</v>
      </c>
      <c r="F320" s="305">
        <v>1.5784133044437496</v>
      </c>
      <c r="G320" s="305">
        <v>1.7691618048462701</v>
      </c>
      <c r="H320" s="305">
        <v>1.741401016001106</v>
      </c>
      <c r="I320" s="305">
        <v>1.6345343485877493</v>
      </c>
      <c r="J320" t="b">
        <f t="shared" si="41"/>
        <v>1</v>
      </c>
      <c r="K320" s="12" t="s">
        <v>19</v>
      </c>
      <c r="L320" s="300" t="s">
        <v>74</v>
      </c>
      <c r="M320" s="303"/>
      <c r="N320" s="303"/>
      <c r="O320" s="443">
        <f t="shared" si="36"/>
        <v>7.5441295822574297</v>
      </c>
      <c r="P320" s="443">
        <f t="shared" si="37"/>
        <v>6.033407860898496</v>
      </c>
      <c r="Q320" s="443">
        <f t="shared" si="38"/>
        <v>6.8665122495761146</v>
      </c>
      <c r="R320" s="443">
        <f t="shared" si="39"/>
        <v>6.8939417539661427</v>
      </c>
      <c r="S320" s="443">
        <f t="shared" si="40"/>
        <v>6.6002903296193178</v>
      </c>
    </row>
    <row r="321" spans="1:19">
      <c r="A321" s="12" t="s">
        <v>19</v>
      </c>
      <c r="B321" s="300" t="s">
        <v>75</v>
      </c>
      <c r="C321" s="303"/>
      <c r="D321" s="303"/>
      <c r="E321" s="305">
        <v>1.5418188657920666</v>
      </c>
      <c r="F321" s="305">
        <v>1.5421689490890813</v>
      </c>
      <c r="G321" s="305">
        <v>1.1986919632990878</v>
      </c>
      <c r="H321" s="305">
        <v>1.2051150219812068</v>
      </c>
      <c r="I321" s="305">
        <v>1.2030871425295599</v>
      </c>
      <c r="J321" t="b">
        <f t="shared" si="41"/>
        <v>1</v>
      </c>
      <c r="K321" s="12" t="s">
        <v>19</v>
      </c>
      <c r="L321" s="300" t="s">
        <v>75</v>
      </c>
      <c r="M321" s="303"/>
      <c r="N321" s="303"/>
      <c r="O321" s="443">
        <f t="shared" si="36"/>
        <v>5.7606141612707242</v>
      </c>
      <c r="P321" s="443">
        <f t="shared" si="37"/>
        <v>5.8948655805626631</v>
      </c>
      <c r="Q321" s="443">
        <f t="shared" si="38"/>
        <v>4.6523913340853751</v>
      </c>
      <c r="R321" s="443">
        <f t="shared" si="39"/>
        <v>4.7708670731376159</v>
      </c>
      <c r="S321" s="443">
        <f t="shared" si="40"/>
        <v>4.8580957869671213</v>
      </c>
    </row>
    <row r="322" spans="1:19">
      <c r="A322" s="12" t="s">
        <v>19</v>
      </c>
      <c r="B322" s="300" t="s">
        <v>76</v>
      </c>
      <c r="C322" s="303"/>
      <c r="D322" s="303"/>
      <c r="E322" s="305">
        <v>1.3630193716187557</v>
      </c>
      <c r="F322" s="305">
        <v>1.3768904698776971</v>
      </c>
      <c r="G322" s="305">
        <v>1.3602523162213354</v>
      </c>
      <c r="H322" s="305">
        <v>1.3398436564847218</v>
      </c>
      <c r="I322" s="305">
        <v>1.3157905788825448</v>
      </c>
      <c r="J322" t="b">
        <f t="shared" si="41"/>
        <v>1</v>
      </c>
      <c r="K322" s="12" t="s">
        <v>19</v>
      </c>
      <c r="L322" s="300" t="s">
        <v>76</v>
      </c>
      <c r="M322" s="303"/>
      <c r="N322" s="303"/>
      <c r="O322" s="443">
        <f t="shared" si="36"/>
        <v>5.0925753137672691</v>
      </c>
      <c r="P322" s="443">
        <f t="shared" si="37"/>
        <v>5.2630966560966241</v>
      </c>
      <c r="Q322" s="443">
        <f t="shared" si="38"/>
        <v>5.2794431613108959</v>
      </c>
      <c r="R322" s="443">
        <f t="shared" si="39"/>
        <v>5.3042372448120974</v>
      </c>
      <c r="S322" s="443">
        <f t="shared" si="40"/>
        <v>5.3131950644574886</v>
      </c>
    </row>
    <row r="323" spans="1:19">
      <c r="A323" s="12" t="s">
        <v>19</v>
      </c>
      <c r="B323" s="300" t="s">
        <v>77</v>
      </c>
      <c r="C323" s="303"/>
      <c r="D323" s="303"/>
      <c r="E323" s="305">
        <v>0.88691188538891907</v>
      </c>
      <c r="F323" s="305">
        <v>0.97956684032180519</v>
      </c>
      <c r="G323" s="305">
        <v>0.7570821246417444</v>
      </c>
      <c r="H323" s="305">
        <v>0.71183271144208338</v>
      </c>
      <c r="I323" s="305">
        <v>0.66972194319581801</v>
      </c>
      <c r="J323" t="b">
        <f t="shared" si="41"/>
        <v>1</v>
      </c>
      <c r="K323" s="12" t="s">
        <v>19</v>
      </c>
      <c r="L323" s="300" t="s">
        <v>77</v>
      </c>
      <c r="M323" s="303"/>
      <c r="N323" s="303"/>
      <c r="O323" s="443">
        <f t="shared" si="36"/>
        <v>3.3137207489973459</v>
      </c>
      <c r="P323" s="443">
        <f t="shared" si="37"/>
        <v>3.7443464636506443</v>
      </c>
      <c r="Q323" s="443">
        <f t="shared" si="38"/>
        <v>2.938404881083994</v>
      </c>
      <c r="R323" s="443">
        <f t="shared" si="39"/>
        <v>2.8180374343174237</v>
      </c>
      <c r="S323" s="443">
        <f t="shared" si="40"/>
        <v>2.7043538540676382</v>
      </c>
    </row>
    <row r="324" spans="1:19">
      <c r="A324" s="12" t="s">
        <v>19</v>
      </c>
      <c r="B324" s="300" t="s">
        <v>50</v>
      </c>
      <c r="C324" s="303"/>
      <c r="D324" s="303"/>
      <c r="E324" s="305">
        <v>2.5538076548384012</v>
      </c>
      <c r="F324" s="305">
        <v>2.7027627943750261</v>
      </c>
      <c r="G324" s="305">
        <v>2.4755882180772915</v>
      </c>
      <c r="H324" s="305">
        <v>2.1518380701030111</v>
      </c>
      <c r="I324" s="305">
        <v>1.7678169461084547</v>
      </c>
      <c r="J324" t="b">
        <f t="shared" si="41"/>
        <v>1</v>
      </c>
      <c r="K324" s="12" t="s">
        <v>19</v>
      </c>
      <c r="L324" s="300" t="s">
        <v>50</v>
      </c>
      <c r="M324" s="303"/>
      <c r="N324" s="303"/>
      <c r="O324" s="443">
        <f t="shared" si="36"/>
        <v>9.541652958089891</v>
      </c>
      <c r="P324" s="443">
        <f t="shared" si="37"/>
        <v>10.331178940152807</v>
      </c>
      <c r="Q324" s="443">
        <f t="shared" si="38"/>
        <v>9.6083109966366891</v>
      </c>
      <c r="R324" s="443">
        <f t="shared" si="39"/>
        <v>8.5187996233761538</v>
      </c>
      <c r="S324" s="443">
        <f t="shared" si="40"/>
        <v>7.1384887714462071</v>
      </c>
    </row>
    <row r="325" spans="1:19">
      <c r="A325" s="12" t="s">
        <v>19</v>
      </c>
      <c r="B325" s="1211" t="s">
        <v>51</v>
      </c>
      <c r="C325" s="303"/>
      <c r="D325" s="303"/>
      <c r="E325" s="305">
        <v>2.1594507853983487</v>
      </c>
      <c r="F325" s="305">
        <v>2.108783385973247</v>
      </c>
      <c r="G325" s="305">
        <v>1.9571099436141921</v>
      </c>
      <c r="H325" s="305">
        <v>1.6739883971269975</v>
      </c>
      <c r="I325" s="305">
        <v>1.4057277322201749</v>
      </c>
      <c r="J325" t="b">
        <f t="shared" si="41"/>
        <v>1</v>
      </c>
      <c r="K325" s="12" t="s">
        <v>19</v>
      </c>
      <c r="L325" s="1211" t="s">
        <v>51</v>
      </c>
      <c r="M325" s="303"/>
      <c r="N325" s="303"/>
      <c r="O325" s="443">
        <f t="shared" si="36"/>
        <v>8.0682387866244802</v>
      </c>
      <c r="P325" s="443">
        <f t="shared" si="37"/>
        <v>8.0607216259792711</v>
      </c>
      <c r="Q325" s="443">
        <f t="shared" si="38"/>
        <v>7.5959809695087772</v>
      </c>
      <c r="R325" s="443">
        <f t="shared" si="39"/>
        <v>6.6270654493527275</v>
      </c>
      <c r="S325" s="443">
        <f t="shared" si="40"/>
        <v>5.6763635252247608</v>
      </c>
    </row>
    <row r="326" spans="1:19">
      <c r="A326" s="12" t="s">
        <v>19</v>
      </c>
      <c r="B326" s="1211" t="s">
        <v>78</v>
      </c>
      <c r="C326" s="303"/>
      <c r="D326" s="303"/>
      <c r="E326" s="305">
        <v>2.3320557909214585</v>
      </c>
      <c r="F326" s="305">
        <v>2.3253369118631113</v>
      </c>
      <c r="G326" s="305">
        <v>2.1691122806593768</v>
      </c>
      <c r="H326" s="305">
        <v>1.831433598356611</v>
      </c>
      <c r="I326" s="305">
        <v>1.6964022421334342</v>
      </c>
      <c r="J326" t="b">
        <f t="shared" si="41"/>
        <v>1</v>
      </c>
      <c r="K326" s="12" t="s">
        <v>19</v>
      </c>
      <c r="L326" s="1211" t="s">
        <v>78</v>
      </c>
      <c r="M326" s="303"/>
      <c r="N326" s="303"/>
      <c r="O326" s="443">
        <f t="shared" si="36"/>
        <v>8.7131335023288692</v>
      </c>
      <c r="P326" s="443">
        <f t="shared" si="37"/>
        <v>8.8884869151660837</v>
      </c>
      <c r="Q326" s="443">
        <f t="shared" si="38"/>
        <v>8.4188094074005946</v>
      </c>
      <c r="R326" s="443">
        <f t="shared" si="39"/>
        <v>7.2503670534892359</v>
      </c>
      <c r="S326" s="443">
        <f t="shared" si="40"/>
        <v>6.8501144216222274</v>
      </c>
    </row>
    <row r="327" spans="1:19">
      <c r="A327" s="12" t="s">
        <v>19</v>
      </c>
      <c r="B327" s="1211" t="s">
        <v>79</v>
      </c>
      <c r="C327" s="303"/>
      <c r="D327" s="303"/>
      <c r="E327" s="305">
        <v>0.94083766340920505</v>
      </c>
      <c r="F327" s="305">
        <v>0.89327362005723643</v>
      </c>
      <c r="G327" s="305">
        <v>0.85016201774887534</v>
      </c>
      <c r="H327" s="305">
        <v>0.70172058348408528</v>
      </c>
      <c r="I327" s="305">
        <v>0.70273163357435342</v>
      </c>
      <c r="J327" t="b">
        <f t="shared" si="41"/>
        <v>1</v>
      </c>
      <c r="K327" s="12" t="s">
        <v>19</v>
      </c>
      <c r="L327" s="1211" t="s">
        <v>79</v>
      </c>
      <c r="M327" s="303"/>
      <c r="N327" s="303"/>
      <c r="O327" s="443">
        <f t="shared" si="36"/>
        <v>3.5152007071256408</v>
      </c>
      <c r="P327" s="443">
        <f t="shared" si="37"/>
        <v>3.4144948385910245</v>
      </c>
      <c r="Q327" s="443">
        <f t="shared" si="38"/>
        <v>3.2996687431335641</v>
      </c>
      <c r="R327" s="443">
        <f t="shared" si="39"/>
        <v>2.7780050577938491</v>
      </c>
      <c r="S327" s="443">
        <f t="shared" si="40"/>
        <v>2.8376478043461497</v>
      </c>
    </row>
    <row r="328" spans="1:19">
      <c r="A328" s="12" t="s">
        <v>19</v>
      </c>
      <c r="B328" s="1211" t="s">
        <v>80</v>
      </c>
      <c r="C328" s="303"/>
      <c r="D328" s="303"/>
      <c r="E328" s="305">
        <v>1.3538563803454693</v>
      </c>
      <c r="F328" s="305">
        <v>1.399085447927888</v>
      </c>
      <c r="G328" s="305">
        <v>1.3245039630700681</v>
      </c>
      <c r="H328" s="305">
        <v>1.0767587664923539</v>
      </c>
      <c r="I328" s="305">
        <v>1.0135822369351568</v>
      </c>
      <c r="J328" t="b">
        <f t="shared" si="41"/>
        <v>1</v>
      </c>
      <c r="K328" s="12" t="s">
        <v>19</v>
      </c>
      <c r="L328" s="1211" t="s">
        <v>80</v>
      </c>
      <c r="M328" s="303"/>
      <c r="N328" s="303"/>
      <c r="O328" s="443">
        <f t="shared" si="36"/>
        <v>5.0583401267037242</v>
      </c>
      <c r="P328" s="443">
        <f t="shared" si="37"/>
        <v>5.347935877017715</v>
      </c>
      <c r="Q328" s="443">
        <f t="shared" si="38"/>
        <v>5.1406958154531335</v>
      </c>
      <c r="R328" s="443">
        <f t="shared" si="39"/>
        <v>4.2627241807386227</v>
      </c>
      <c r="S328" s="443">
        <f t="shared" si="40"/>
        <v>4.0928702676069122</v>
      </c>
    </row>
    <row r="329" spans="1:19">
      <c r="A329" s="12" t="s">
        <v>25</v>
      </c>
      <c r="B329" s="300" t="s">
        <v>81</v>
      </c>
      <c r="C329" s="305">
        <v>1.8560134718227432</v>
      </c>
      <c r="D329" s="305">
        <v>1.8152215314521964</v>
      </c>
      <c r="E329" s="305">
        <v>1.7979279925217375</v>
      </c>
      <c r="F329" s="305">
        <v>1.7736992270475671</v>
      </c>
      <c r="G329" s="305">
        <v>1.7484964755788579</v>
      </c>
      <c r="H329" s="303"/>
      <c r="I329" s="303"/>
      <c r="J329" t="b">
        <f t="shared" si="41"/>
        <v>1</v>
      </c>
      <c r="K329" s="12" t="s">
        <v>25</v>
      </c>
      <c r="L329" s="300" t="s">
        <v>81</v>
      </c>
      <c r="M329" s="443">
        <f t="shared" ref="M329:M343" si="42">((C329*F$34)/F$13)*(1-F$13)</f>
        <v>8.5833263439657195</v>
      </c>
      <c r="N329" s="443">
        <f t="shared" ref="N329:N343" si="43">((D329*G$34)/G$13)*(1-G$13)</f>
        <v>9.1312396620225407</v>
      </c>
      <c r="O329" s="443">
        <f t="shared" ref="O329:O343" si="44">((E329*H$34)/H$13)*(1-H$13)</f>
        <v>6.7175007936778997</v>
      </c>
      <c r="P329" s="443">
        <f t="shared" ref="P329:P343" si="45">((F329*I$34)/I$13)*(1-I$13)</f>
        <v>6.7798787739626203</v>
      </c>
      <c r="Q329" s="443">
        <f t="shared" ref="Q329:Q343" si="46">((G329*J$34)/J$13)*(1-J$13)</f>
        <v>6.7863054894213874</v>
      </c>
      <c r="R329" s="303"/>
      <c r="S329" s="303"/>
    </row>
    <row r="330" spans="1:19">
      <c r="A330" s="12" t="s">
        <v>25</v>
      </c>
      <c r="B330" s="300" t="s">
        <v>82</v>
      </c>
      <c r="C330" s="305">
        <v>1.338141135548405</v>
      </c>
      <c r="D330" s="305">
        <v>1.3118504623849501</v>
      </c>
      <c r="E330" s="305">
        <v>1.305225167423345</v>
      </c>
      <c r="F330" s="305">
        <v>1.2886796623765773</v>
      </c>
      <c r="G330" s="305">
        <v>1.2709115989265294</v>
      </c>
      <c r="H330" s="303"/>
      <c r="I330" s="303"/>
      <c r="J330" t="b">
        <f t="shared" si="41"/>
        <v>1</v>
      </c>
      <c r="K330" s="12" t="s">
        <v>25</v>
      </c>
      <c r="L330" s="300" t="s">
        <v>82</v>
      </c>
      <c r="M330" s="443">
        <f t="shared" si="42"/>
        <v>6.1883721401100686</v>
      </c>
      <c r="N330" s="443">
        <f t="shared" si="43"/>
        <v>6.5990959038420405</v>
      </c>
      <c r="O330" s="443">
        <f t="shared" si="44"/>
        <v>4.8766419648414718</v>
      </c>
      <c r="P330" s="443">
        <f t="shared" si="45"/>
        <v>4.9259151473656031</v>
      </c>
      <c r="Q330" s="443">
        <f t="shared" si="46"/>
        <v>4.9326918760354328</v>
      </c>
      <c r="R330" s="303"/>
      <c r="S330" s="303"/>
    </row>
    <row r="331" spans="1:19">
      <c r="A331" s="12" t="s">
        <v>25</v>
      </c>
      <c r="B331" s="300" t="s">
        <v>83</v>
      </c>
      <c r="C331" s="305">
        <v>0.99104421987024149</v>
      </c>
      <c r="D331" s="305">
        <v>0.97030415837322381</v>
      </c>
      <c r="E331" s="305">
        <v>0.96243789501775268</v>
      </c>
      <c r="F331" s="305">
        <v>0.94766848511264923</v>
      </c>
      <c r="G331" s="305">
        <v>0.93824870565692475</v>
      </c>
      <c r="H331" s="303"/>
      <c r="I331" s="303"/>
      <c r="J331" t="b">
        <f t="shared" si="41"/>
        <v>1</v>
      </c>
      <c r="K331" s="12" t="s">
        <v>25</v>
      </c>
      <c r="L331" s="300" t="s">
        <v>83</v>
      </c>
      <c r="M331" s="443">
        <f t="shared" si="42"/>
        <v>4.5831865391005095</v>
      </c>
      <c r="N331" s="443">
        <f t="shared" si="43"/>
        <v>4.8809909212980873</v>
      </c>
      <c r="O331" s="443">
        <f t="shared" si="44"/>
        <v>3.5959044803454638</v>
      </c>
      <c r="P331" s="443">
        <f t="shared" si="45"/>
        <v>3.622416556872218</v>
      </c>
      <c r="Q331" s="443">
        <f t="shared" si="46"/>
        <v>3.6415528601704263</v>
      </c>
      <c r="R331" s="303"/>
      <c r="S331" s="303"/>
    </row>
    <row r="332" spans="1:19">
      <c r="A332" s="12" t="s">
        <v>25</v>
      </c>
      <c r="B332" s="300" t="s">
        <v>4</v>
      </c>
      <c r="C332" s="305">
        <v>1.2910496821028619</v>
      </c>
      <c r="D332" s="305">
        <v>1.2750295337136959</v>
      </c>
      <c r="E332" s="305">
        <v>1.2614754781555608</v>
      </c>
      <c r="F332" s="305">
        <v>1.2360763844788194</v>
      </c>
      <c r="G332" s="305">
        <v>1.2156373101435318</v>
      </c>
      <c r="H332" s="303"/>
      <c r="I332" s="303"/>
      <c r="J332" t="b">
        <f t="shared" si="41"/>
        <v>1</v>
      </c>
      <c r="K332" s="12" t="s">
        <v>25</v>
      </c>
      <c r="L332" s="300" t="s">
        <v>4</v>
      </c>
      <c r="M332" s="443">
        <f t="shared" si="42"/>
        <v>5.9705928410526052</v>
      </c>
      <c r="N332" s="443">
        <f t="shared" si="43"/>
        <v>6.4138729332845683</v>
      </c>
      <c r="O332" s="443">
        <f t="shared" si="44"/>
        <v>4.7131823749124564</v>
      </c>
      <c r="P332" s="443">
        <f t="shared" si="45"/>
        <v>4.724841683600542</v>
      </c>
      <c r="Q332" s="443">
        <f t="shared" si="46"/>
        <v>4.7181600112984814</v>
      </c>
      <c r="R332" s="303"/>
      <c r="S332" s="303"/>
    </row>
    <row r="333" spans="1:19">
      <c r="A333" s="12" t="s">
        <v>25</v>
      </c>
      <c r="B333" s="300" t="s">
        <v>84</v>
      </c>
      <c r="C333" s="305">
        <v>1.2693796122665177</v>
      </c>
      <c r="D333" s="305">
        <v>1.2456515312513812</v>
      </c>
      <c r="E333" s="305">
        <v>1.2761225755818488</v>
      </c>
      <c r="F333" s="305">
        <v>1.2778726893812531</v>
      </c>
      <c r="G333" s="305">
        <v>1.2727838897081032</v>
      </c>
      <c r="H333" s="303"/>
      <c r="I333" s="303"/>
      <c r="J333" t="b">
        <f t="shared" si="41"/>
        <v>1</v>
      </c>
      <c r="K333" s="12" t="s">
        <v>25</v>
      </c>
      <c r="L333" s="300" t="s">
        <v>84</v>
      </c>
      <c r="M333" s="443">
        <f t="shared" si="42"/>
        <v>5.8703773608712018</v>
      </c>
      <c r="N333" s="443">
        <f t="shared" si="43"/>
        <v>6.2660906507219138</v>
      </c>
      <c r="O333" s="443">
        <f t="shared" si="44"/>
        <v>4.767907530199774</v>
      </c>
      <c r="P333" s="443">
        <f t="shared" si="45"/>
        <v>4.8846060202574249</v>
      </c>
      <c r="Q333" s="443">
        <f t="shared" si="46"/>
        <v>4.9399586548858627</v>
      </c>
      <c r="R333" s="303"/>
      <c r="S333" s="303"/>
    </row>
    <row r="334" spans="1:19">
      <c r="A334" s="12" t="s">
        <v>25</v>
      </c>
      <c r="B334" s="300" t="s">
        <v>85</v>
      </c>
      <c r="C334" s="305">
        <v>0.9684370522563619</v>
      </c>
      <c r="D334" s="305">
        <v>0.97408615926807074</v>
      </c>
      <c r="E334" s="305">
        <v>0.97438656582868766</v>
      </c>
      <c r="F334" s="305">
        <v>0.96522259273076072</v>
      </c>
      <c r="G334" s="305">
        <v>0.95735847603512469</v>
      </c>
      <c r="H334" s="303"/>
      <c r="I334" s="303"/>
      <c r="J334" t="b">
        <f t="shared" si="41"/>
        <v>1</v>
      </c>
      <c r="K334" s="12" t="s">
        <v>25</v>
      </c>
      <c r="L334" s="300" t="s">
        <v>85</v>
      </c>
      <c r="M334" s="443">
        <f t="shared" si="42"/>
        <v>4.4786373532844728</v>
      </c>
      <c r="N334" s="443">
        <f t="shared" si="43"/>
        <v>4.9000157929043668</v>
      </c>
      <c r="O334" s="443">
        <f t="shared" si="44"/>
        <v>3.6405476507002854</v>
      </c>
      <c r="P334" s="443">
        <f t="shared" si="45"/>
        <v>3.6895162769493344</v>
      </c>
      <c r="Q334" s="443">
        <f t="shared" si="46"/>
        <v>3.7157221487165915</v>
      </c>
      <c r="R334" s="303"/>
      <c r="S334" s="303"/>
    </row>
    <row r="335" spans="1:19">
      <c r="A335" s="12" t="s">
        <v>25</v>
      </c>
      <c r="B335" s="300" t="s">
        <v>86</v>
      </c>
      <c r="C335" s="305">
        <v>2.0413918945479947</v>
      </c>
      <c r="D335" s="305">
        <v>2.002834526545016</v>
      </c>
      <c r="E335" s="305">
        <v>2.0176858680119603</v>
      </c>
      <c r="F335" s="305">
        <v>2.010800066369304</v>
      </c>
      <c r="G335" s="305">
        <v>2.012461933717149</v>
      </c>
      <c r="H335" s="303"/>
      <c r="I335" s="303"/>
      <c r="J335" t="b">
        <f t="shared" si="41"/>
        <v>1</v>
      </c>
      <c r="K335" s="12" t="s">
        <v>25</v>
      </c>
      <c r="L335" s="300" t="s">
        <v>86</v>
      </c>
      <c r="M335" s="443">
        <f t="shared" si="42"/>
        <v>9.4406280411445778</v>
      </c>
      <c r="N335" s="443">
        <f t="shared" si="43"/>
        <v>10.075002829337917</v>
      </c>
      <c r="O335" s="443">
        <f t="shared" si="44"/>
        <v>7.5385702186841916</v>
      </c>
      <c r="P335" s="443">
        <f t="shared" si="45"/>
        <v>7.686185166440433</v>
      </c>
      <c r="Q335" s="443">
        <f t="shared" si="46"/>
        <v>7.810814410429348</v>
      </c>
      <c r="R335" s="303"/>
      <c r="S335" s="303"/>
    </row>
    <row r="336" spans="1:19">
      <c r="A336" s="12" t="s">
        <v>25</v>
      </c>
      <c r="B336" s="300" t="s">
        <v>87</v>
      </c>
      <c r="C336" s="305">
        <v>1.30814382516961</v>
      </c>
      <c r="D336" s="305">
        <v>1.2655629156032961</v>
      </c>
      <c r="E336" s="305">
        <v>1.253112719644278</v>
      </c>
      <c r="F336" s="305">
        <v>1.2591017686030721</v>
      </c>
      <c r="G336" s="305">
        <v>1.2643657265074015</v>
      </c>
      <c r="H336" s="304"/>
      <c r="I336" s="304"/>
      <c r="J336" t="b">
        <f t="shared" si="41"/>
        <v>1</v>
      </c>
      <c r="K336" s="12" t="s">
        <v>25</v>
      </c>
      <c r="L336" s="300" t="s">
        <v>87</v>
      </c>
      <c r="M336" s="443">
        <f t="shared" si="42"/>
        <v>6.0496464744124134</v>
      </c>
      <c r="N336" s="443">
        <f t="shared" si="43"/>
        <v>6.3662523221045397</v>
      </c>
      <c r="O336" s="443">
        <f t="shared" si="44"/>
        <v>4.6819370540928578</v>
      </c>
      <c r="P336" s="443">
        <f t="shared" si="45"/>
        <v>4.8128550912323487</v>
      </c>
      <c r="Q336" s="443">
        <f t="shared" si="46"/>
        <v>4.9072858826282841</v>
      </c>
      <c r="R336" s="304"/>
      <c r="S336" s="304"/>
    </row>
    <row r="337" spans="1:19">
      <c r="A337" s="12" t="s">
        <v>27</v>
      </c>
      <c r="B337" s="300" t="s">
        <v>88</v>
      </c>
      <c r="C337" s="305">
        <v>2.4079045095034153</v>
      </c>
      <c r="D337" s="305">
        <v>2.4996671737090232</v>
      </c>
      <c r="E337" s="305">
        <v>2.5160510965805876</v>
      </c>
      <c r="F337" s="305">
        <v>2.3238778201799244</v>
      </c>
      <c r="G337" s="305">
        <v>2.2881683619967679</v>
      </c>
      <c r="H337" s="303"/>
      <c r="I337" s="303"/>
      <c r="J337" t="b">
        <f t="shared" si="41"/>
        <v>1</v>
      </c>
      <c r="K337" s="12" t="s">
        <v>27</v>
      </c>
      <c r="L337" s="300" t="s">
        <v>88</v>
      </c>
      <c r="M337" s="443">
        <f t="shared" si="42"/>
        <v>11.135603552423126</v>
      </c>
      <c r="N337" s="443">
        <f t="shared" si="43"/>
        <v>12.574255892704915</v>
      </c>
      <c r="O337" s="443">
        <f t="shared" si="44"/>
        <v>9.4005851783354455</v>
      </c>
      <c r="P337" s="443">
        <f t="shared" si="45"/>
        <v>8.8829096083819064</v>
      </c>
      <c r="Q337" s="443">
        <f t="shared" si="46"/>
        <v>8.880892659848362</v>
      </c>
      <c r="R337" s="303"/>
      <c r="S337" s="303"/>
    </row>
    <row r="338" spans="1:19">
      <c r="A338" s="12" t="s">
        <v>27</v>
      </c>
      <c r="B338" s="300" t="s">
        <v>89</v>
      </c>
      <c r="C338" s="305">
        <v>0.35535269898445798</v>
      </c>
      <c r="D338" s="305">
        <v>0.33811521212748413</v>
      </c>
      <c r="E338" s="305">
        <v>0.35287450221706412</v>
      </c>
      <c r="F338" s="305">
        <v>0.33060618568728362</v>
      </c>
      <c r="G338" s="305">
        <v>0.30228187223292602</v>
      </c>
      <c r="H338" s="303"/>
      <c r="I338" s="303"/>
      <c r="J338" t="b">
        <f t="shared" si="41"/>
        <v>1</v>
      </c>
      <c r="K338" s="12" t="s">
        <v>27</v>
      </c>
      <c r="L338" s="300" t="s">
        <v>89</v>
      </c>
      <c r="M338" s="443">
        <f t="shared" si="42"/>
        <v>1.6433653251434568</v>
      </c>
      <c r="N338" s="443">
        <f t="shared" si="43"/>
        <v>1.700845313817805</v>
      </c>
      <c r="O338" s="443">
        <f t="shared" si="44"/>
        <v>1.3184258538558589</v>
      </c>
      <c r="P338" s="443">
        <f t="shared" si="45"/>
        <v>1.2637260177493705</v>
      </c>
      <c r="Q338" s="443">
        <f t="shared" si="46"/>
        <v>1.1732234851704522</v>
      </c>
      <c r="R338" s="303"/>
      <c r="S338" s="303"/>
    </row>
    <row r="339" spans="1:19">
      <c r="A339" s="12" t="s">
        <v>27</v>
      </c>
      <c r="B339" s="300" t="s">
        <v>90</v>
      </c>
      <c r="C339" s="305">
        <f>C337+C338</f>
        <v>2.7632572084878735</v>
      </c>
      <c r="D339" s="305">
        <f t="shared" ref="D339:G339" si="47">D337+D338</f>
        <v>2.8377823858365074</v>
      </c>
      <c r="E339" s="305">
        <f t="shared" si="47"/>
        <v>2.8689255987976519</v>
      </c>
      <c r="F339" s="305">
        <f t="shared" si="47"/>
        <v>2.6544840058672081</v>
      </c>
      <c r="G339" s="305">
        <f t="shared" si="47"/>
        <v>2.590450234229694</v>
      </c>
      <c r="H339" s="303"/>
      <c r="I339" s="303"/>
      <c r="J339" t="b">
        <f t="shared" si="41"/>
        <v>1</v>
      </c>
      <c r="K339" s="12" t="s">
        <v>27</v>
      </c>
      <c r="L339" s="300" t="s">
        <v>90</v>
      </c>
      <c r="M339" s="443">
        <f t="shared" si="42"/>
        <v>12.778968877566582</v>
      </c>
      <c r="N339" s="443">
        <f t="shared" si="43"/>
        <v>14.275101206522718</v>
      </c>
      <c r="O339" s="443">
        <f t="shared" si="44"/>
        <v>10.719011032191304</v>
      </c>
      <c r="P339" s="443">
        <f t="shared" si="45"/>
        <v>10.146635626131278</v>
      </c>
      <c r="Q339" s="443">
        <f t="shared" si="46"/>
        <v>10.054116145018813</v>
      </c>
      <c r="R339" s="303"/>
      <c r="S339" s="303"/>
    </row>
    <row r="340" spans="1:19">
      <c r="A340" s="12" t="s">
        <v>22</v>
      </c>
      <c r="B340" s="300" t="s">
        <v>91</v>
      </c>
      <c r="C340" s="305">
        <v>5.794647515116063</v>
      </c>
      <c r="D340" s="305">
        <v>5.6654995528096048</v>
      </c>
      <c r="E340" s="305">
        <v>5.4459801653220365</v>
      </c>
      <c r="F340" s="305">
        <v>5.2315625946540782</v>
      </c>
      <c r="G340" s="305">
        <v>5.0709512798558656</v>
      </c>
      <c r="H340" s="303"/>
      <c r="I340" s="303"/>
      <c r="J340" t="b">
        <f t="shared" si="41"/>
        <v>1</v>
      </c>
      <c r="K340" s="12" t="s">
        <v>22</v>
      </c>
      <c r="L340" s="300" t="s">
        <v>91</v>
      </c>
      <c r="M340" s="443">
        <f t="shared" si="42"/>
        <v>26.797947011475848</v>
      </c>
      <c r="N340" s="443">
        <f t="shared" si="43"/>
        <v>28.499570617366494</v>
      </c>
      <c r="O340" s="443">
        <f t="shared" si="44"/>
        <v>20.347520164917047</v>
      </c>
      <c r="P340" s="443">
        <f t="shared" si="45"/>
        <v>19.997392821325722</v>
      </c>
      <c r="Q340" s="443">
        <f t="shared" si="46"/>
        <v>19.681494923048948</v>
      </c>
      <c r="R340" s="303"/>
      <c r="S340" s="303"/>
    </row>
    <row r="341" spans="1:19">
      <c r="A341" s="12" t="s">
        <v>29</v>
      </c>
      <c r="B341" s="300" t="s">
        <v>29</v>
      </c>
      <c r="C341" s="305">
        <v>0.79565936041617891</v>
      </c>
      <c r="D341" s="305">
        <v>0.81379329751844121</v>
      </c>
      <c r="E341" s="305">
        <v>0.83527031824680331</v>
      </c>
      <c r="F341" s="305">
        <v>0.86914049425217754</v>
      </c>
      <c r="G341" s="305">
        <v>0.88933875020036712</v>
      </c>
      <c r="H341" s="303"/>
      <c r="I341" s="303"/>
      <c r="J341" t="b">
        <f t="shared" si="41"/>
        <v>1</v>
      </c>
      <c r="K341" s="12" t="s">
        <v>29</v>
      </c>
      <c r="L341" s="300" t="s">
        <v>29</v>
      </c>
      <c r="M341" s="443">
        <f t="shared" si="42"/>
        <v>3.6796090398935095</v>
      </c>
      <c r="N341" s="443">
        <f t="shared" si="43"/>
        <v>4.0936830608458399</v>
      </c>
      <c r="O341" s="443">
        <f t="shared" si="44"/>
        <v>3.1207751640201771</v>
      </c>
      <c r="P341" s="443">
        <f t="shared" si="45"/>
        <v>3.3222471424202125</v>
      </c>
      <c r="Q341" s="443">
        <f t="shared" si="46"/>
        <v>3.4517223950605049</v>
      </c>
      <c r="R341" s="303"/>
      <c r="S341" s="303"/>
    </row>
    <row r="342" spans="1:19">
      <c r="A342" s="12" t="s">
        <v>22</v>
      </c>
      <c r="B342" s="300" t="s">
        <v>92</v>
      </c>
      <c r="C342" s="305">
        <v>1.067077173491312</v>
      </c>
      <c r="D342" s="305">
        <v>1.1377699704587949</v>
      </c>
      <c r="E342" s="305">
        <v>1.1288688837653649</v>
      </c>
      <c r="F342" s="305">
        <v>1.0874595680858687</v>
      </c>
      <c r="G342" s="305">
        <v>1.0132559350168759</v>
      </c>
      <c r="H342" s="303"/>
      <c r="I342" s="303"/>
      <c r="J342" t="b">
        <f t="shared" si="41"/>
        <v>1</v>
      </c>
      <c r="K342" s="12" t="s">
        <v>22</v>
      </c>
      <c r="L342" s="300" t="s">
        <v>92</v>
      </c>
      <c r="M342" s="443">
        <f t="shared" si="42"/>
        <v>4.9348088003249071</v>
      </c>
      <c r="N342" s="443">
        <f t="shared" si="43"/>
        <v>5.7234062622648887</v>
      </c>
      <c r="O342" s="443">
        <f t="shared" si="44"/>
        <v>4.2177315522053318</v>
      </c>
      <c r="P342" s="443">
        <f t="shared" si="45"/>
        <v>4.1567611524984986</v>
      </c>
      <c r="Q342" s="443">
        <f t="shared" si="46"/>
        <v>3.9326726762302266</v>
      </c>
      <c r="R342" s="303"/>
      <c r="S342" s="303"/>
    </row>
    <row r="343" spans="1:19">
      <c r="A343" s="12" t="s">
        <v>22</v>
      </c>
      <c r="B343" s="300" t="s">
        <v>54</v>
      </c>
      <c r="C343" s="305">
        <v>1.4458842789006556</v>
      </c>
      <c r="D343" s="305">
        <v>1.7460048691359407</v>
      </c>
      <c r="E343" s="305">
        <v>1.7400275177290305</v>
      </c>
      <c r="F343" s="305">
        <v>1.7353254561791309</v>
      </c>
      <c r="G343" s="305">
        <v>1.6416771715292762</v>
      </c>
      <c r="H343" s="303"/>
      <c r="I343" s="303"/>
      <c r="J343" t="b">
        <f t="shared" si="41"/>
        <v>1</v>
      </c>
      <c r="K343" s="12" t="s">
        <v>22</v>
      </c>
      <c r="L343" s="300" t="s">
        <v>54</v>
      </c>
      <c r="M343" s="443">
        <f t="shared" si="42"/>
        <v>6.6866414548305206</v>
      </c>
      <c r="N343" s="443">
        <f t="shared" si="43"/>
        <v>8.7830540982972245</v>
      </c>
      <c r="O343" s="443">
        <f t="shared" si="44"/>
        <v>6.5011703916862125</v>
      </c>
      <c r="P343" s="443">
        <f t="shared" si="45"/>
        <v>6.6331969066987533</v>
      </c>
      <c r="Q343" s="443">
        <f t="shared" si="46"/>
        <v>6.3717159036986821</v>
      </c>
      <c r="R343" s="303"/>
      <c r="S343" s="303"/>
    </row>
    <row r="344" spans="1:19">
      <c r="K344" s="94"/>
      <c r="L344" s="94"/>
      <c r="M344" s="94"/>
    </row>
    <row r="345" spans="1:19">
      <c r="K345" s="94"/>
      <c r="L345" s="94"/>
      <c r="M345" s="317"/>
    </row>
    <row r="346" spans="1:19">
      <c r="K346" s="94"/>
      <c r="M346" s="94"/>
    </row>
    <row r="347" spans="1:19">
      <c r="K347" s="89" t="s">
        <v>241</v>
      </c>
      <c r="L347" s="89" t="s">
        <v>242</v>
      </c>
      <c r="M347" s="94"/>
      <c r="N347" s="94"/>
    </row>
    <row r="348" spans="1:19">
      <c r="C348" s="1200"/>
      <c r="D348" s="1200"/>
      <c r="E348" s="1200"/>
      <c r="F348" s="1200"/>
      <c r="G348" s="1200"/>
      <c r="J348" s="306"/>
      <c r="K348" s="94"/>
      <c r="L348" s="308"/>
      <c r="M348" s="94"/>
      <c r="N348" s="94"/>
    </row>
    <row r="349" spans="1:19">
      <c r="C349" s="1208"/>
      <c r="D349" s="1208"/>
      <c r="E349" s="1208"/>
      <c r="F349" s="1208"/>
      <c r="G349" s="1208"/>
      <c r="J349" s="306"/>
      <c r="K349" s="48" t="s">
        <v>6</v>
      </c>
      <c r="L349" s="301" t="s">
        <v>3</v>
      </c>
      <c r="M349" s="149">
        <v>2022</v>
      </c>
      <c r="N349" s="150">
        <f t="shared" ref="N349:S349" si="48">M349+1</f>
        <v>2023</v>
      </c>
      <c r="O349" s="150">
        <f t="shared" si="48"/>
        <v>2024</v>
      </c>
      <c r="P349" s="150">
        <f t="shared" si="48"/>
        <v>2025</v>
      </c>
      <c r="Q349" s="150">
        <f t="shared" si="48"/>
        <v>2026</v>
      </c>
      <c r="R349" s="150">
        <f t="shared" si="48"/>
        <v>2027</v>
      </c>
      <c r="S349" s="150">
        <f t="shared" si="48"/>
        <v>2028</v>
      </c>
    </row>
    <row r="350" spans="1:19">
      <c r="J350" s="306"/>
      <c r="K350" s="12" t="s">
        <v>19</v>
      </c>
      <c r="L350" s="300" t="s">
        <v>70</v>
      </c>
      <c r="M350" s="303"/>
      <c r="N350" s="303"/>
      <c r="O350" s="443">
        <f t="shared" ref="O350:O363" si="49">E315*H$34</f>
        <v>1.7892495885240058</v>
      </c>
      <c r="P350" s="443">
        <f t="shared" ref="P350:P363" si="50">F315*I$34</f>
        <v>1.7580420918807742</v>
      </c>
      <c r="Q350" s="443">
        <f t="shared" ref="Q350:Q363" si="51">G315*J$34</f>
        <v>1.6811079844775063</v>
      </c>
      <c r="R350" s="443">
        <f t="shared" ref="R350:R363" si="52">H315*K$34</f>
        <v>1.6647326978333103</v>
      </c>
      <c r="S350" s="443">
        <f t="shared" ref="S350:S363" si="53">I315*L$34</f>
        <v>1.6975584697645543</v>
      </c>
    </row>
    <row r="351" spans="1:19">
      <c r="J351" s="306"/>
      <c r="K351" s="12" t="s">
        <v>19</v>
      </c>
      <c r="L351" s="300" t="s">
        <v>71</v>
      </c>
      <c r="M351" s="303"/>
      <c r="N351" s="303"/>
      <c r="O351" s="443">
        <f t="shared" si="49"/>
        <v>1.7044485176462936</v>
      </c>
      <c r="P351" s="443">
        <f t="shared" si="50"/>
        <v>1.7848729781466806</v>
      </c>
      <c r="Q351" s="443">
        <f t="shared" si="51"/>
        <v>1.674640472417616</v>
      </c>
      <c r="R351" s="443">
        <f t="shared" si="52"/>
        <v>1.5327719791934955</v>
      </c>
      <c r="S351" s="443">
        <f t="shared" si="53"/>
        <v>1.369089229173815</v>
      </c>
    </row>
    <row r="352" spans="1:19">
      <c r="J352" s="306"/>
      <c r="K352" s="12" t="s">
        <v>19</v>
      </c>
      <c r="L352" s="300" t="s">
        <v>72</v>
      </c>
      <c r="M352" s="303"/>
      <c r="N352" s="303"/>
      <c r="O352" s="443">
        <f t="shared" si="49"/>
        <v>2.3062458621191442</v>
      </c>
      <c r="P352" s="443">
        <f t="shared" si="50"/>
        <v>2.3635484288296045</v>
      </c>
      <c r="Q352" s="443">
        <f t="shared" si="51"/>
        <v>2.064204353516538</v>
      </c>
      <c r="R352" s="443">
        <f t="shared" si="52"/>
        <v>1.879620618320331</v>
      </c>
      <c r="S352" s="443">
        <f t="shared" si="53"/>
        <v>1.6274054745752422</v>
      </c>
    </row>
    <row r="353" spans="10:19">
      <c r="J353" s="306"/>
      <c r="K353" s="12" t="s">
        <v>19</v>
      </c>
      <c r="L353" s="300" t="s">
        <v>52</v>
      </c>
      <c r="M353" s="303"/>
      <c r="N353" s="303"/>
      <c r="O353" s="443">
        <f t="shared" si="49"/>
        <v>2.4452060296076255</v>
      </c>
      <c r="P353" s="443">
        <f t="shared" si="50"/>
        <v>2.6863646374710455</v>
      </c>
      <c r="Q353" s="443">
        <f t="shared" si="51"/>
        <v>3.2451122080674542</v>
      </c>
      <c r="R353" s="443">
        <f t="shared" si="52"/>
        <v>3.2471214518764357</v>
      </c>
      <c r="S353" s="443">
        <f t="shared" si="53"/>
        <v>3.1949778277167824</v>
      </c>
    </row>
    <row r="354" spans="10:19">
      <c r="J354" s="306"/>
      <c r="K354" s="12" t="s">
        <v>19</v>
      </c>
      <c r="L354" s="300" t="s">
        <v>73</v>
      </c>
      <c r="M354" s="303"/>
      <c r="N354" s="303"/>
      <c r="O354" s="443">
        <f t="shared" si="49"/>
        <v>1.6283045018074185</v>
      </c>
      <c r="P354" s="443">
        <f t="shared" si="50"/>
        <v>1.6565505631823636</v>
      </c>
      <c r="Q354" s="443">
        <f t="shared" si="51"/>
        <v>1.994613190726872</v>
      </c>
      <c r="R354" s="443">
        <f t="shared" si="52"/>
        <v>2.0789196066073865</v>
      </c>
      <c r="S354" s="443">
        <f t="shared" si="53"/>
        <v>2.1199115401297548</v>
      </c>
    </row>
    <row r="355" spans="10:19">
      <c r="J355" s="306"/>
      <c r="K355" s="12" t="s">
        <v>19</v>
      </c>
      <c r="L355" s="300" t="s">
        <v>74</v>
      </c>
      <c r="M355" s="303"/>
      <c r="N355" s="303"/>
      <c r="O355" s="443">
        <f t="shared" si="49"/>
        <v>2.5147098607524767</v>
      </c>
      <c r="P355" s="443">
        <f t="shared" si="50"/>
        <v>2.0111359536328322</v>
      </c>
      <c r="Q355" s="443">
        <f t="shared" si="51"/>
        <v>2.2888374165253715</v>
      </c>
      <c r="R355" s="443">
        <f t="shared" si="52"/>
        <v>2.2979805846553809</v>
      </c>
      <c r="S355" s="443">
        <f t="shared" si="53"/>
        <v>2.2000967765397728</v>
      </c>
    </row>
    <row r="356" spans="10:19">
      <c r="J356" s="306"/>
      <c r="K356" s="12" t="s">
        <v>19</v>
      </c>
      <c r="L356" s="300" t="s">
        <v>75</v>
      </c>
      <c r="M356" s="303"/>
      <c r="N356" s="303"/>
      <c r="O356" s="443">
        <f t="shared" si="49"/>
        <v>1.9202047204235748</v>
      </c>
      <c r="P356" s="443">
        <f t="shared" si="50"/>
        <v>1.9649551935208878</v>
      </c>
      <c r="Q356" s="443">
        <f t="shared" si="51"/>
        <v>1.5507971113617918</v>
      </c>
      <c r="R356" s="443">
        <f t="shared" si="52"/>
        <v>1.5902890243792054</v>
      </c>
      <c r="S356" s="443">
        <f t="shared" si="53"/>
        <v>1.6193652623223738</v>
      </c>
    </row>
    <row r="357" spans="10:19">
      <c r="J357" s="306"/>
      <c r="K357" s="12" t="s">
        <v>19</v>
      </c>
      <c r="L357" s="300" t="s">
        <v>76</v>
      </c>
      <c r="M357" s="303"/>
      <c r="N357" s="303"/>
      <c r="O357" s="443">
        <f t="shared" si="49"/>
        <v>1.6975251045890898</v>
      </c>
      <c r="P357" s="443">
        <f t="shared" si="50"/>
        <v>1.7543655520322081</v>
      </c>
      <c r="Q357" s="443">
        <f t="shared" si="51"/>
        <v>1.759814387103632</v>
      </c>
      <c r="R357" s="443">
        <f t="shared" si="52"/>
        <v>1.7680790816040324</v>
      </c>
      <c r="S357" s="443">
        <f t="shared" si="53"/>
        <v>1.7710650214858294</v>
      </c>
    </row>
    <row r="358" spans="10:19">
      <c r="J358" s="306"/>
      <c r="K358" s="12" t="s">
        <v>19</v>
      </c>
      <c r="L358" s="300" t="s">
        <v>77</v>
      </c>
      <c r="M358" s="303"/>
      <c r="N358" s="303"/>
      <c r="O358" s="443">
        <f t="shared" si="49"/>
        <v>1.1045735829991152</v>
      </c>
      <c r="P358" s="443">
        <f t="shared" si="50"/>
        <v>1.2481154878835481</v>
      </c>
      <c r="Q358" s="443">
        <f t="shared" si="51"/>
        <v>0.9794682936946647</v>
      </c>
      <c r="R358" s="443">
        <f t="shared" si="52"/>
        <v>0.9393458114391412</v>
      </c>
      <c r="S358" s="443">
        <f t="shared" si="53"/>
        <v>0.90145128468921265</v>
      </c>
    </row>
    <row r="359" spans="10:19">
      <c r="J359" s="306"/>
      <c r="K359" s="12" t="s">
        <v>19</v>
      </c>
      <c r="L359" s="300" t="s">
        <v>50</v>
      </c>
      <c r="M359" s="303"/>
      <c r="N359" s="303"/>
      <c r="O359" s="443">
        <f t="shared" si="49"/>
        <v>3.1805509860299637</v>
      </c>
      <c r="P359" s="443">
        <f t="shared" si="50"/>
        <v>3.443726313384269</v>
      </c>
      <c r="Q359" s="443">
        <f t="shared" si="51"/>
        <v>3.2027703322122294</v>
      </c>
      <c r="R359" s="443">
        <f t="shared" si="52"/>
        <v>2.8395998744587176</v>
      </c>
      <c r="S359" s="443">
        <f t="shared" si="53"/>
        <v>2.3794962571487357</v>
      </c>
    </row>
    <row r="360" spans="10:19">
      <c r="J360" s="306"/>
      <c r="K360" s="12" t="s">
        <v>19</v>
      </c>
      <c r="L360" s="1211" t="s">
        <v>51</v>
      </c>
      <c r="M360" s="303"/>
      <c r="N360" s="303"/>
      <c r="O360" s="443">
        <f t="shared" si="49"/>
        <v>2.6894129288748267</v>
      </c>
      <c r="P360" s="443">
        <f t="shared" si="50"/>
        <v>2.6869072086597572</v>
      </c>
      <c r="Q360" s="443">
        <f t="shared" si="51"/>
        <v>2.5319936565029257</v>
      </c>
      <c r="R360" s="443">
        <f t="shared" si="52"/>
        <v>2.209021816450909</v>
      </c>
      <c r="S360" s="443">
        <f t="shared" si="53"/>
        <v>1.8921211750749203</v>
      </c>
    </row>
    <row r="361" spans="10:19">
      <c r="J361" s="306"/>
      <c r="K361" s="12" t="s">
        <v>19</v>
      </c>
      <c r="L361" s="1211" t="s">
        <v>78</v>
      </c>
      <c r="M361" s="303"/>
      <c r="N361" s="303"/>
      <c r="O361" s="443">
        <f t="shared" si="49"/>
        <v>2.9043778341096229</v>
      </c>
      <c r="P361" s="443">
        <f t="shared" si="50"/>
        <v>2.9628289717220282</v>
      </c>
      <c r="Q361" s="443">
        <f t="shared" si="51"/>
        <v>2.8062698024668649</v>
      </c>
      <c r="R361" s="443">
        <f t="shared" si="52"/>
        <v>2.4167890178297453</v>
      </c>
      <c r="S361" s="443">
        <f t="shared" si="53"/>
        <v>2.2833714738740758</v>
      </c>
    </row>
    <row r="362" spans="10:19">
      <c r="J362" s="306"/>
      <c r="K362" s="12" t="s">
        <v>19</v>
      </c>
      <c r="L362" s="1211" t="s">
        <v>79</v>
      </c>
      <c r="M362" s="303"/>
      <c r="N362" s="303"/>
      <c r="O362" s="443">
        <f t="shared" si="49"/>
        <v>1.1717335690418802</v>
      </c>
      <c r="P362" s="443">
        <f t="shared" si="50"/>
        <v>1.1381649461970083</v>
      </c>
      <c r="Q362" s="443">
        <f t="shared" si="51"/>
        <v>1.0998895810445213</v>
      </c>
      <c r="R362" s="443">
        <f t="shared" si="52"/>
        <v>0.92600168593128307</v>
      </c>
      <c r="S362" s="443">
        <f t="shared" si="53"/>
        <v>0.94588260144871661</v>
      </c>
    </row>
    <row r="363" spans="10:19">
      <c r="J363" s="306"/>
      <c r="K363" s="12" t="s">
        <v>19</v>
      </c>
      <c r="L363" s="1211" t="s">
        <v>80</v>
      </c>
      <c r="M363" s="303"/>
      <c r="N363" s="303"/>
      <c r="O363" s="443">
        <f t="shared" si="49"/>
        <v>1.6861133755679081</v>
      </c>
      <c r="P363" s="443">
        <f t="shared" si="50"/>
        <v>1.7826452923392382</v>
      </c>
      <c r="Q363" s="443">
        <f t="shared" si="51"/>
        <v>1.713565271817711</v>
      </c>
      <c r="R363" s="443">
        <f t="shared" si="52"/>
        <v>1.4209080602462074</v>
      </c>
      <c r="S363" s="443">
        <f t="shared" si="53"/>
        <v>1.3642900892023042</v>
      </c>
    </row>
    <row r="364" spans="10:19">
      <c r="J364" s="306"/>
      <c r="K364" s="12" t="s">
        <v>25</v>
      </c>
      <c r="L364" s="300" t="s">
        <v>81</v>
      </c>
      <c r="M364" s="443">
        <f t="shared" ref="M364:M378" si="54">C329*F$34</f>
        <v>2.0133728461154154</v>
      </c>
      <c r="N364" s="443">
        <f t="shared" ref="N364:N378" si="55">D329*G$34</f>
        <v>2.1418957231904723</v>
      </c>
      <c r="O364" s="443">
        <f t="shared" ref="O364:O378" si="56">E329*H$34</f>
        <v>2.2391669312259666</v>
      </c>
      <c r="P364" s="443">
        <f t="shared" ref="P364:P378" si="57">F329*I$34</f>
        <v>2.2599595913208734</v>
      </c>
      <c r="Q364" s="443">
        <f t="shared" ref="Q364:Q378" si="58">G329*J$34</f>
        <v>2.2621018298071291</v>
      </c>
      <c r="R364" s="303"/>
      <c r="S364" s="303"/>
    </row>
    <row r="365" spans="10:19">
      <c r="J365" s="306"/>
      <c r="K365" s="12" t="s">
        <v>25</v>
      </c>
      <c r="L365" s="300" t="s">
        <v>82</v>
      </c>
      <c r="M365" s="443">
        <f t="shared" si="54"/>
        <v>1.45159346496409</v>
      </c>
      <c r="N365" s="443">
        <f t="shared" si="55"/>
        <v>1.5479360762098613</v>
      </c>
      <c r="O365" s="443">
        <f t="shared" si="56"/>
        <v>1.6255473216138241</v>
      </c>
      <c r="P365" s="443">
        <f t="shared" si="57"/>
        <v>1.6419717157885343</v>
      </c>
      <c r="Q365" s="443">
        <f t="shared" si="58"/>
        <v>1.6442306253451442</v>
      </c>
      <c r="R365" s="303"/>
      <c r="S365" s="303"/>
    </row>
    <row r="366" spans="10:19">
      <c r="J366" s="306"/>
      <c r="K366" s="12" t="s">
        <v>25</v>
      </c>
      <c r="L366" s="300" t="s">
        <v>83</v>
      </c>
      <c r="M366" s="443">
        <f t="shared" si="54"/>
        <v>1.0750684474433292</v>
      </c>
      <c r="N366" s="443">
        <f t="shared" si="55"/>
        <v>1.1449237963538723</v>
      </c>
      <c r="O366" s="443">
        <f t="shared" si="56"/>
        <v>1.1986348267818212</v>
      </c>
      <c r="P366" s="443">
        <f t="shared" si="57"/>
        <v>1.2074721856240727</v>
      </c>
      <c r="Q366" s="443">
        <f t="shared" si="58"/>
        <v>1.213850953390142</v>
      </c>
      <c r="R366" s="303"/>
      <c r="S366" s="303"/>
    </row>
    <row r="367" spans="10:19">
      <c r="J367" s="306"/>
      <c r="K367" s="12" t="s">
        <v>25</v>
      </c>
      <c r="L367" s="300" t="s">
        <v>4</v>
      </c>
      <c r="M367" s="443">
        <f t="shared" si="54"/>
        <v>1.4005094318518456</v>
      </c>
      <c r="N367" s="443">
        <f t="shared" si="55"/>
        <v>1.5044887127457629</v>
      </c>
      <c r="O367" s="443">
        <f t="shared" si="56"/>
        <v>1.5710607916374855</v>
      </c>
      <c r="P367" s="443">
        <f t="shared" si="57"/>
        <v>1.5749472278668473</v>
      </c>
      <c r="Q367" s="443">
        <f t="shared" si="58"/>
        <v>1.5727200037661606</v>
      </c>
      <c r="R367" s="303"/>
      <c r="S367" s="303"/>
    </row>
    <row r="368" spans="10:19">
      <c r="J368" s="306"/>
      <c r="K368" s="12" t="s">
        <v>25</v>
      </c>
      <c r="L368" s="300" t="s">
        <v>84</v>
      </c>
      <c r="M368" s="443">
        <f t="shared" si="54"/>
        <v>1.3770020969944794</v>
      </c>
      <c r="N368" s="443">
        <f t="shared" si="55"/>
        <v>1.4698237328853871</v>
      </c>
      <c r="O368" s="443">
        <f t="shared" si="56"/>
        <v>1.5893025100665914</v>
      </c>
      <c r="P368" s="443">
        <f t="shared" si="57"/>
        <v>1.628202006752475</v>
      </c>
      <c r="Q368" s="443">
        <f t="shared" si="58"/>
        <v>1.6466528849619542</v>
      </c>
      <c r="R368" s="303"/>
      <c r="S368" s="303"/>
    </row>
    <row r="369" spans="9:19">
      <c r="J369" s="306"/>
      <c r="K369" s="12" t="s">
        <v>25</v>
      </c>
      <c r="L369" s="300" t="s">
        <v>85</v>
      </c>
      <c r="M369" s="443">
        <f t="shared" si="54"/>
        <v>1.0505445643506788</v>
      </c>
      <c r="N369" s="443">
        <f t="shared" si="55"/>
        <v>1.1493864205578144</v>
      </c>
      <c r="O369" s="443">
        <f t="shared" si="56"/>
        <v>1.2135158835667619</v>
      </c>
      <c r="P369" s="443">
        <f t="shared" si="57"/>
        <v>1.2298387589831115</v>
      </c>
      <c r="Q369" s="443">
        <f t="shared" si="58"/>
        <v>1.2385740495721971</v>
      </c>
      <c r="R369" s="303"/>
      <c r="S369" s="303"/>
    </row>
    <row r="370" spans="9:19">
      <c r="J370" s="306"/>
      <c r="K370" s="12" t="s">
        <v>25</v>
      </c>
      <c r="L370" s="300" t="s">
        <v>86</v>
      </c>
      <c r="M370" s="443">
        <f t="shared" si="54"/>
        <v>2.2144683059474937</v>
      </c>
      <c r="N370" s="443">
        <f t="shared" si="55"/>
        <v>2.3632722686101286</v>
      </c>
      <c r="O370" s="443">
        <f t="shared" si="56"/>
        <v>2.5128567395613972</v>
      </c>
      <c r="P370" s="443">
        <f t="shared" si="57"/>
        <v>2.5620617221468112</v>
      </c>
      <c r="Q370" s="443">
        <f t="shared" si="58"/>
        <v>2.6036048034764492</v>
      </c>
      <c r="R370" s="303"/>
      <c r="S370" s="303"/>
    </row>
    <row r="371" spans="9:19">
      <c r="J371" s="306"/>
      <c r="K371" s="12" t="s">
        <v>25</v>
      </c>
      <c r="L371" s="300" t="s">
        <v>87</v>
      </c>
      <c r="M371" s="443">
        <f t="shared" si="54"/>
        <v>1.4190528767140227</v>
      </c>
      <c r="N371" s="443">
        <f t="shared" si="55"/>
        <v>1.493318445925756</v>
      </c>
      <c r="O371" s="443">
        <f t="shared" si="56"/>
        <v>1.5606456846976191</v>
      </c>
      <c r="P371" s="443">
        <f t="shared" si="57"/>
        <v>1.6042850304107827</v>
      </c>
      <c r="Q371" s="443">
        <f t="shared" si="58"/>
        <v>1.6357619608760947</v>
      </c>
      <c r="R371" s="304"/>
      <c r="S371" s="304"/>
    </row>
    <row r="372" spans="9:19">
      <c r="J372" s="306"/>
      <c r="K372" s="12" t="s">
        <v>27</v>
      </c>
      <c r="L372" s="300" t="s">
        <v>88</v>
      </c>
      <c r="M372" s="443">
        <f t="shared" si="54"/>
        <v>2.6120551542720909</v>
      </c>
      <c r="N372" s="443">
        <f t="shared" si="55"/>
        <v>2.9495168143381898</v>
      </c>
      <c r="O372" s="443">
        <f t="shared" si="56"/>
        <v>3.1335283927784818</v>
      </c>
      <c r="P372" s="443">
        <f t="shared" si="57"/>
        <v>2.9609698694606355</v>
      </c>
      <c r="Q372" s="443">
        <f t="shared" si="58"/>
        <v>2.9602975532827873</v>
      </c>
      <c r="R372" s="303"/>
      <c r="S372" s="303"/>
    </row>
    <row r="373" spans="9:19">
      <c r="J373" s="306"/>
      <c r="K373" s="12" t="s">
        <v>27</v>
      </c>
      <c r="L373" s="300" t="s">
        <v>89</v>
      </c>
      <c r="M373" s="443">
        <f t="shared" si="54"/>
        <v>0.38548075528056391</v>
      </c>
      <c r="N373" s="443">
        <f t="shared" si="55"/>
        <v>0.39896371558689253</v>
      </c>
      <c r="O373" s="443">
        <f t="shared" si="56"/>
        <v>0.43947528461861962</v>
      </c>
      <c r="P373" s="443">
        <f t="shared" si="57"/>
        <v>0.42124200591645689</v>
      </c>
      <c r="Q373" s="443">
        <f t="shared" si="58"/>
        <v>0.39107449505681741</v>
      </c>
      <c r="R373" s="303"/>
      <c r="S373" s="303"/>
    </row>
    <row r="374" spans="9:19">
      <c r="J374" s="306"/>
      <c r="K374" s="12" t="s">
        <v>27</v>
      </c>
      <c r="L374" s="300" t="s">
        <v>90</v>
      </c>
      <c r="M374" s="443">
        <f t="shared" si="54"/>
        <v>2.997535909552655</v>
      </c>
      <c r="N374" s="443">
        <f t="shared" si="55"/>
        <v>3.3484805299250824</v>
      </c>
      <c r="O374" s="443">
        <f t="shared" si="56"/>
        <v>3.5730036773971015</v>
      </c>
      <c r="P374" s="443">
        <f t="shared" si="57"/>
        <v>3.3822118753770924</v>
      </c>
      <c r="Q374" s="443">
        <f t="shared" si="58"/>
        <v>3.3513720483396048</v>
      </c>
      <c r="R374" s="303"/>
      <c r="S374" s="303"/>
    </row>
    <row r="375" spans="9:19">
      <c r="K375" s="12" t="s">
        <v>22</v>
      </c>
      <c r="L375" s="300" t="s">
        <v>91</v>
      </c>
      <c r="M375" s="443">
        <f t="shared" si="54"/>
        <v>6.2859381878770506</v>
      </c>
      <c r="N375" s="443">
        <f t="shared" si="55"/>
        <v>6.6850844658020172</v>
      </c>
      <c r="O375" s="443">
        <f t="shared" si="56"/>
        <v>6.7825067216390158</v>
      </c>
      <c r="P375" s="443">
        <f t="shared" si="57"/>
        <v>6.6657976071085736</v>
      </c>
      <c r="Q375" s="443">
        <f t="shared" si="58"/>
        <v>6.560498307682983</v>
      </c>
      <c r="R375" s="303"/>
      <c r="S375" s="303"/>
    </row>
    <row r="376" spans="9:19">
      <c r="I376" s="306"/>
      <c r="K376" s="12" t="s">
        <v>29</v>
      </c>
      <c r="L376" s="300" t="s">
        <v>29</v>
      </c>
      <c r="M376" s="443">
        <f t="shared" si="54"/>
        <v>0.86311816985156387</v>
      </c>
      <c r="N376" s="443">
        <f t="shared" si="55"/>
        <v>0.96024664390211045</v>
      </c>
      <c r="O376" s="443">
        <f t="shared" si="56"/>
        <v>1.0402583880067258</v>
      </c>
      <c r="P376" s="443">
        <f t="shared" si="57"/>
        <v>1.1074157141400709</v>
      </c>
      <c r="Q376" s="443">
        <f t="shared" si="58"/>
        <v>1.150574131686835</v>
      </c>
      <c r="R376" s="303"/>
      <c r="S376" s="303"/>
    </row>
    <row r="377" spans="9:19">
      <c r="I377" s="306"/>
      <c r="K377" s="12" t="s">
        <v>22</v>
      </c>
      <c r="L377" s="300" t="s">
        <v>92</v>
      </c>
      <c r="M377" s="443">
        <f t="shared" si="54"/>
        <v>1.1575477432860892</v>
      </c>
      <c r="N377" s="443">
        <f t="shared" si="55"/>
        <v>1.3425273948522578</v>
      </c>
      <c r="O377" s="443">
        <f t="shared" si="56"/>
        <v>1.4059105174017772</v>
      </c>
      <c r="P377" s="443">
        <f t="shared" si="57"/>
        <v>1.3855870508328327</v>
      </c>
      <c r="Q377" s="443">
        <f t="shared" si="58"/>
        <v>1.3108908920767421</v>
      </c>
      <c r="R377" s="303"/>
      <c r="S377" s="303"/>
    </row>
    <row r="378" spans="9:19">
      <c r="I378" s="306"/>
      <c r="K378" s="12" t="s">
        <v>22</v>
      </c>
      <c r="L378" s="300" t="s">
        <v>54</v>
      </c>
      <c r="M378" s="443">
        <f t="shared" si="54"/>
        <v>1.5684714523676531</v>
      </c>
      <c r="N378" s="443">
        <f t="shared" si="55"/>
        <v>2.06022256626725</v>
      </c>
      <c r="O378" s="443">
        <f t="shared" si="56"/>
        <v>2.1670567972287373</v>
      </c>
      <c r="P378" s="443">
        <f t="shared" si="57"/>
        <v>2.2110656355662512</v>
      </c>
      <c r="Q378" s="443">
        <f t="shared" si="58"/>
        <v>2.1239053012328939</v>
      </c>
      <c r="R378" s="303"/>
      <c r="S378" s="303"/>
    </row>
    <row r="379" spans="9:19">
      <c r="I379" s="306"/>
      <c r="K379" s="94"/>
      <c r="L379" s="94"/>
      <c r="M379" s="94"/>
    </row>
    <row r="380" spans="9:19">
      <c r="I380" s="306"/>
    </row>
    <row r="381" spans="9:19">
      <c r="I381" s="306"/>
    </row>
    <row r="382" spans="9:19">
      <c r="I382" s="306"/>
    </row>
    <row r="383" spans="9:19">
      <c r="I383" s="306"/>
    </row>
  </sheetData>
  <mergeCells count="152">
    <mergeCell ref="B37:P37"/>
    <mergeCell ref="B253:C253"/>
    <mergeCell ref="B254:C254"/>
    <mergeCell ref="B255:C255"/>
    <mergeCell ref="B257:C257"/>
    <mergeCell ref="B258:C258"/>
    <mergeCell ref="E251:I251"/>
    <mergeCell ref="E252:I252"/>
    <mergeCell ref="E250:I250"/>
    <mergeCell ref="B256:C256"/>
    <mergeCell ref="E256:I256"/>
    <mergeCell ref="B209:C209"/>
    <mergeCell ref="B206:C206"/>
    <mergeCell ref="B218:C218"/>
    <mergeCell ref="B141:C141"/>
    <mergeCell ref="B176:C176"/>
    <mergeCell ref="B175:C175"/>
    <mergeCell ref="B153:C153"/>
    <mergeCell ref="B154:C154"/>
    <mergeCell ref="B155:C155"/>
    <mergeCell ref="B156:C156"/>
    <mergeCell ref="B157:C157"/>
    <mergeCell ref="B158:C158"/>
    <mergeCell ref="B142:C142"/>
    <mergeCell ref="B143:C143"/>
    <mergeCell ref="B144:C144"/>
    <mergeCell ref="B145:C145"/>
    <mergeCell ref="B146:C146"/>
    <mergeCell ref="B147:C147"/>
    <mergeCell ref="B163:C163"/>
    <mergeCell ref="B167:C167"/>
    <mergeCell ref="B214:C214"/>
    <mergeCell ref="E163:H163"/>
    <mergeCell ref="E166:H166"/>
    <mergeCell ref="E167:H167"/>
    <mergeCell ref="E168:H168"/>
    <mergeCell ref="E165:H165"/>
    <mergeCell ref="B148:C148"/>
    <mergeCell ref="B159:C159"/>
    <mergeCell ref="B170:C170"/>
    <mergeCell ref="B210:C210"/>
    <mergeCell ref="B188:C188"/>
    <mergeCell ref="B190:C190"/>
    <mergeCell ref="B191:C191"/>
    <mergeCell ref="E181:F181"/>
    <mergeCell ref="B185:C185"/>
    <mergeCell ref="E175:H175"/>
    <mergeCell ref="E176:H176"/>
    <mergeCell ref="O61:U61"/>
    <mergeCell ref="H61:N61"/>
    <mergeCell ref="B189:C189"/>
    <mergeCell ref="B207:C207"/>
    <mergeCell ref="B208:C208"/>
    <mergeCell ref="B169:C169"/>
    <mergeCell ref="B171:C171"/>
    <mergeCell ref="B181:C181"/>
    <mergeCell ref="B160:C160"/>
    <mergeCell ref="B149:C149"/>
    <mergeCell ref="B184:C184"/>
    <mergeCell ref="B174:C174"/>
    <mergeCell ref="B177:C177"/>
    <mergeCell ref="B178:C178"/>
    <mergeCell ref="B179:C179"/>
    <mergeCell ref="B180:C180"/>
    <mergeCell ref="B165:C165"/>
    <mergeCell ref="B152:C152"/>
    <mergeCell ref="B164:C164"/>
    <mergeCell ref="B166:C166"/>
    <mergeCell ref="E169:H169"/>
    <mergeCell ref="E170:H170"/>
    <mergeCell ref="E171:H171"/>
    <mergeCell ref="E164:H164"/>
    <mergeCell ref="B269:C269"/>
    <mergeCell ref="D262:E262"/>
    <mergeCell ref="D263:E263"/>
    <mergeCell ref="E186:H186"/>
    <mergeCell ref="E187:H187"/>
    <mergeCell ref="E188:H188"/>
    <mergeCell ref="E189:H189"/>
    <mergeCell ref="E190:H190"/>
    <mergeCell ref="E191:H191"/>
    <mergeCell ref="B211:C211"/>
    <mergeCell ref="B212:C212"/>
    <mergeCell ref="E253:I253"/>
    <mergeCell ref="E254:I254"/>
    <mergeCell ref="E255:I255"/>
    <mergeCell ref="B242:C242"/>
    <mergeCell ref="B243:C243"/>
    <mergeCell ref="B246:C246"/>
    <mergeCell ref="B247:C247"/>
    <mergeCell ref="B239:C239"/>
    <mergeCell ref="B213:C213"/>
    <mergeCell ref="B186:C186"/>
    <mergeCell ref="B187:C187"/>
    <mergeCell ref="B221:C221"/>
    <mergeCell ref="B224:C224"/>
    <mergeCell ref="B267:C267"/>
    <mergeCell ref="E180:H180"/>
    <mergeCell ref="B223:C223"/>
    <mergeCell ref="B217:C217"/>
    <mergeCell ref="B245:C245"/>
    <mergeCell ref="E245:I245"/>
    <mergeCell ref="B268:C268"/>
    <mergeCell ref="E174:H174"/>
    <mergeCell ref="E185:H185"/>
    <mergeCell ref="E184:H184"/>
    <mergeCell ref="E257:I257"/>
    <mergeCell ref="B232:C232"/>
    <mergeCell ref="B234:C234"/>
    <mergeCell ref="B222:C222"/>
    <mergeCell ref="B219:C219"/>
    <mergeCell ref="B220:C220"/>
    <mergeCell ref="E247:I247"/>
    <mergeCell ref="B241:C241"/>
    <mergeCell ref="E229:I229"/>
    <mergeCell ref="E230:I230"/>
    <mergeCell ref="E231:I231"/>
    <mergeCell ref="E228:I228"/>
    <mergeCell ref="B229:C229"/>
    <mergeCell ref="B230:C230"/>
    <mergeCell ref="B231:C231"/>
    <mergeCell ref="B235:C235"/>
    <mergeCell ref="B250:C250"/>
    <mergeCell ref="E244:I244"/>
    <mergeCell ref="E239:I239"/>
    <mergeCell ref="B251:C251"/>
    <mergeCell ref="B252:C252"/>
    <mergeCell ref="B168:C168"/>
    <mergeCell ref="E177:H177"/>
    <mergeCell ref="E178:H178"/>
    <mergeCell ref="E179:H179"/>
    <mergeCell ref="B225:C225"/>
    <mergeCell ref="B266:C266"/>
    <mergeCell ref="B261:C261"/>
    <mergeCell ref="B262:C262"/>
    <mergeCell ref="B263:C263"/>
    <mergeCell ref="B264:C264"/>
    <mergeCell ref="B265:C265"/>
    <mergeCell ref="B236:C236"/>
    <mergeCell ref="E232:I232"/>
    <mergeCell ref="E234:I234"/>
    <mergeCell ref="E235:I235"/>
    <mergeCell ref="E236:I236"/>
    <mergeCell ref="E246:I246"/>
    <mergeCell ref="E240:I240"/>
    <mergeCell ref="E241:I241"/>
    <mergeCell ref="E242:I242"/>
    <mergeCell ref="E243:I243"/>
    <mergeCell ref="B244:C244"/>
    <mergeCell ref="B240:C240"/>
    <mergeCell ref="E258:I258"/>
    <mergeCell ref="E233:I233"/>
  </mergeCells>
  <conditionalFormatting sqref="C97:I97">
    <cfRule type="expression" dxfId="104" priority="13">
      <formula>AND(#REF!="Actuals",#REF!="Forecast")</formula>
    </cfRule>
  </conditionalFormatting>
  <conditionalFormatting sqref="H61">
    <cfRule type="expression" dxfId="102" priority="18">
      <formula>AND(#REF!="Actuals",#REF!="Forecast")</formula>
    </cfRule>
  </conditionalFormatting>
  <conditionalFormatting sqref="H62:U62">
    <cfRule type="expression" dxfId="100" priority="6">
      <formula>AND(#REF!="Actuals",#REF!="Forecast")</formula>
    </cfRule>
  </conditionalFormatting>
  <conditionalFormatting sqref="O61">
    <cfRule type="expression" dxfId="97" priority="7">
      <formula>AND(#REF!="Actuals",#REF!="Forecast")</formula>
    </cfRule>
  </conditionalFormatting>
  <pageMargins left="0.7" right="0.7" top="0.75" bottom="0.75" header="0.3" footer="0.3"/>
  <pageSetup paperSize="9" orientation="portrait" r:id="rId1"/>
  <headerFooter>
    <oddFooter>&amp;C_x000D_&amp;1#&amp;"Calibri"&amp;10&amp;K000000 OFFICIAL-InternalOnly</oddFooter>
  </headerFooter>
  <customProperties>
    <customPr name="_pios_id" r:id="rId2"/>
  </customProperties>
  <extLst>
    <ext xmlns:x14="http://schemas.microsoft.com/office/spreadsheetml/2009/9/main" uri="{78C0D931-6437-407d-A8EE-F0AAD7539E65}">
      <x14:conditionalFormattings>
        <x14:conditionalFormatting xmlns:xm="http://schemas.microsoft.com/office/excel/2006/main">
          <x14:cfRule type="expression" priority="21" id="{FAB975EA-77B5-47ED-B7AC-B8CAF74E8714}">
            <xm:f>AND('RFPR cover'!B$7="Actuals",'RFPR cover'!C$7="Forecast")</xm:f>
            <x14:dxf>
              <border>
                <right style="thin">
                  <color auto="1"/>
                </right>
                <vertical/>
                <horizontal/>
              </border>
            </x14:dxf>
          </x14:cfRule>
          <xm:sqref>C314:G314</xm:sqref>
        </x14:conditionalFormatting>
        <x14:conditionalFormatting xmlns:xm="http://schemas.microsoft.com/office/excel/2006/main">
          <x14:cfRule type="expression" priority="297" id="{FAB975EA-77B5-47ED-B7AC-B8CAF74E8714}">
            <xm:f>AND('RFPR cover'!A$7="Actuals",'RFPR cover'!B$7="Forecast")</xm:f>
            <x14:dxf>
              <border>
                <right style="thin">
                  <color auto="1"/>
                </right>
                <vertical/>
                <horizontal/>
              </border>
            </x14:dxf>
          </x14:cfRule>
          <xm:sqref>C41:I41 C54:I54</xm:sqref>
        </x14:conditionalFormatting>
        <x14:conditionalFormatting xmlns:xm="http://schemas.microsoft.com/office/excel/2006/main">
          <x14:cfRule type="expression" priority="292" id="{FAB975EA-77B5-47ED-B7AC-B8CAF74E8714}">
            <xm:f>AND('RFPR cover'!B$7="Actuals",'RFPR cover'!C$7="Forecast")</xm:f>
            <x14:dxf>
              <border>
                <right style="thin">
                  <color auto="1"/>
                </right>
                <vertical/>
                <horizontal/>
              </border>
            </x14:dxf>
          </x14:cfRule>
          <xm:sqref>E33:L33</xm:sqref>
        </x14:conditionalFormatting>
        <x14:conditionalFormatting xmlns:xm="http://schemas.microsoft.com/office/excel/2006/main">
          <x14:cfRule type="expression" priority="295" id="{FAB975EA-77B5-47ED-B7AC-B8CAF74E8714}">
            <xm:f>AND('RFPR cover'!G$7="Actuals",'RFPR cover'!#REF!="Forecast")</xm:f>
            <x14:dxf>
              <border>
                <right style="thin">
                  <color auto="1"/>
                </right>
                <vertical/>
                <horizontal/>
              </border>
            </x14:dxf>
          </x14:cfRule>
          <xm:sqref>H314</xm:sqref>
        </x14:conditionalFormatting>
        <x14:conditionalFormatting xmlns:xm="http://schemas.microsoft.com/office/excel/2006/main">
          <x14:cfRule type="expression" priority="294" id="{FAB975EA-77B5-47ED-B7AC-B8CAF74E8714}">
            <xm:f>AND('RFPR cover'!#REF!="Actuals",'RFPR cover'!H$7="Forecast")</xm:f>
            <x14:dxf>
              <border>
                <right style="thin">
                  <color auto="1"/>
                </right>
                <vertical/>
                <horizontal/>
              </border>
            </x14:dxf>
          </x14:cfRule>
          <xm:sqref>I314</xm:sqref>
        </x14:conditionalFormatting>
        <x14:conditionalFormatting xmlns:xm="http://schemas.microsoft.com/office/excel/2006/main">
          <x14:cfRule type="expression" priority="2" id="{C0744898-5A84-42DA-AEC7-EA546F2FA876}">
            <xm:f>AND('RFPR cover'!B$7="Actuals",'RFPR cover'!C$7="Forecast")</xm:f>
            <x14:dxf>
              <border>
                <right style="thin">
                  <color auto="1"/>
                </right>
                <vertical/>
                <horizontal/>
              </border>
            </x14:dxf>
          </x14:cfRule>
          <xm:sqref>M314:S314 M349:S349</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7A7F7-C80F-48F3-8335-7A340EEC67B9}">
  <sheetPr codeName="Sheet19">
    <tabColor rgb="FFFFFFCC"/>
    <pageSetUpPr autoPageBreaks="0"/>
  </sheetPr>
  <dimension ref="A1:U429"/>
  <sheetViews>
    <sheetView workbookViewId="0">
      <selection activeCell="K18" sqref="K18"/>
    </sheetView>
  </sheetViews>
  <sheetFormatPr defaultColWidth="9" defaultRowHeight="13.5" zeroHeight="1"/>
  <cols>
    <col min="1" max="1" width="12" style="1111" customWidth="1"/>
    <col min="2" max="2" width="8.3828125" style="1108" customWidth="1"/>
    <col min="3" max="4" width="9.3828125" style="412" customWidth="1"/>
    <col min="5" max="5" width="9.3828125" style="1109" customWidth="1"/>
    <col min="6" max="6" width="9.3828125" style="412" customWidth="1"/>
    <col min="7" max="8" width="9.3828125" style="1110" customWidth="1"/>
    <col min="9" max="9" width="10" style="412" customWidth="1"/>
    <col min="10" max="19" width="13.4609375" style="412" customWidth="1"/>
    <col min="20" max="20" width="11" style="114" customWidth="1"/>
    <col min="21" max="21" width="8.4609375" style="411" customWidth="1"/>
    <col min="22" max="48" width="9" style="114" customWidth="1"/>
    <col min="49" max="16384" width="9" style="114"/>
  </cols>
  <sheetData>
    <row r="1" spans="1:21" s="1053" customFormat="1" ht="19.5">
      <c r="A1" s="1050" t="str">
        <f ca="1">MID(CELL("filename",A1),FIND("]",CELL("filename",A1))+1,256)</f>
        <v>I2 - Monthly Inflation</v>
      </c>
      <c r="B1" s="1051"/>
      <c r="C1" s="1051"/>
      <c r="D1" s="1051"/>
      <c r="E1" s="1051"/>
      <c r="F1" s="1051"/>
      <c r="G1" s="1051"/>
      <c r="H1" s="1051"/>
      <c r="I1" s="1052"/>
      <c r="J1" s="1095"/>
      <c r="K1" s="1095"/>
      <c r="L1" s="1095"/>
      <c r="M1" s="1095"/>
      <c r="N1" s="1095"/>
      <c r="O1" s="1095"/>
      <c r="P1" s="1095"/>
      <c r="Q1" s="1095"/>
    </row>
    <row r="2" spans="1:21" s="1053" customFormat="1" ht="19.5">
      <c r="A2" s="1050" t="str">
        <f>Licensee</f>
        <v>Cadent-NW</v>
      </c>
      <c r="B2" s="1051"/>
      <c r="C2" s="1051"/>
      <c r="D2" s="1051"/>
      <c r="E2" s="1051"/>
      <c r="F2" s="1051"/>
      <c r="G2" s="1051"/>
      <c r="H2" s="1051"/>
      <c r="I2" s="1052"/>
      <c r="J2" s="1095"/>
      <c r="K2" s="1095"/>
      <c r="L2" s="1095"/>
      <c r="M2" s="1095"/>
      <c r="N2" s="1095"/>
      <c r="O2" s="1095"/>
      <c r="P2" s="1095"/>
      <c r="Q2" s="1095"/>
    </row>
    <row r="3" spans="1:21" s="1053" customFormat="1" ht="19.5">
      <c r="A3" s="1054" t="str">
        <f>Sector</f>
        <v>GD2</v>
      </c>
      <c r="B3" s="1055"/>
      <c r="C3" s="1055"/>
      <c r="D3" s="1055"/>
      <c r="E3" s="1055"/>
      <c r="F3" s="1055"/>
      <c r="G3" s="1055"/>
      <c r="H3" s="1055"/>
      <c r="I3" s="1056"/>
      <c r="J3" s="1095"/>
      <c r="K3" s="1095"/>
      <c r="L3" s="1095"/>
      <c r="M3" s="1095"/>
      <c r="N3" s="1095"/>
      <c r="O3" s="1095"/>
      <c r="P3" s="1095"/>
      <c r="Q3" s="1095"/>
    </row>
    <row r="4" spans="1:21" s="1058" customFormat="1" ht="14.5">
      <c r="A4" s="391" t="s">
        <v>1143</v>
      </c>
      <c r="B4" s="391"/>
      <c r="C4" s="392"/>
      <c r="D4" s="393"/>
      <c r="E4" s="393"/>
      <c r="F4" s="393"/>
      <c r="G4" s="393"/>
      <c r="H4" s="393"/>
      <c r="I4" s="394"/>
      <c r="J4" s="1057"/>
      <c r="K4" s="1057"/>
      <c r="L4" s="1057"/>
      <c r="M4" s="1057"/>
      <c r="N4" s="1057"/>
      <c r="O4" s="1057"/>
      <c r="P4" s="1057"/>
      <c r="R4" s="1053"/>
      <c r="S4" s="1053"/>
    </row>
    <row r="5" spans="1:21" ht="32.25" customHeight="1">
      <c r="A5" s="1096" t="s">
        <v>1144</v>
      </c>
      <c r="B5" s="1096" t="s">
        <v>1145</v>
      </c>
      <c r="C5" s="1097" t="s">
        <v>1146</v>
      </c>
      <c r="D5" s="1097" t="s">
        <v>1147</v>
      </c>
      <c r="E5" s="1098" t="s">
        <v>1148</v>
      </c>
      <c r="F5" s="1099" t="s">
        <v>1149</v>
      </c>
      <c r="G5" s="1100" t="s">
        <v>202</v>
      </c>
      <c r="H5" s="1100" t="s">
        <v>183</v>
      </c>
      <c r="I5" s="1101"/>
      <c r="J5" s="1101"/>
      <c r="K5" s="1101"/>
      <c r="L5" s="1101"/>
      <c r="M5" s="1101"/>
      <c r="N5" s="1101"/>
      <c r="O5" s="1101"/>
      <c r="P5" s="1101"/>
      <c r="Q5" s="1101"/>
      <c r="R5" s="1101"/>
      <c r="S5" s="1101"/>
      <c r="U5" s="114"/>
    </row>
    <row r="6" spans="1:21">
      <c r="A6" s="1112">
        <f>EOMONTH(DATE(1999, 4, 1), 0)</f>
        <v>36280</v>
      </c>
      <c r="B6" s="1113">
        <f t="shared" ref="B6:B69" si="0">IF(MONTH(A6)&gt;=4,YEAR(A6)+1,YEAR(A6))</f>
        <v>2000</v>
      </c>
      <c r="C6" s="1281">
        <v>72.599999999999994</v>
      </c>
      <c r="D6" s="1281">
        <v>165.2</v>
      </c>
      <c r="E6" s="1114" t="str">
        <f>IF($A6&lt;DATE(2018,7,1),"-",INDEX('I1 - Universal Data'!$E$16:$V$16, MATCH(YEAR(EOMONTH($A6,6)), 'I1 - Universal Data'!$E$14:$V$14, 0)))</f>
        <v>-</v>
      </c>
      <c r="F6" s="1114" t="str">
        <f>IF($A6&lt;DATE(2018,7,1),"-",INDEX('I1 - Universal Data'!$E$15:$V$15, MATCH(YEAR(EOMONTH($A6,6)), 'I1 - Universal Data'!$E$14:$V$14, 0)))</f>
        <v>-</v>
      </c>
      <c r="G6" s="1115">
        <f t="shared" ref="G6:H21" si="1">IF(ISBLANK(C6),G5*((1+E6)^(1/12)),C6)</f>
        <v>72.599999999999994</v>
      </c>
      <c r="H6" s="1115">
        <f t="shared" si="1"/>
        <v>165.2</v>
      </c>
      <c r="U6" s="114"/>
    </row>
    <row r="7" spans="1:21">
      <c r="A7" s="1112">
        <f t="shared" ref="A7:A70" si="2">IF(MONTH(A6) = 12, EOMONTH(DATE(YEAR(A6) + 1, 1, 1), 0), EOMONTH(DATE(YEAR(A6), MONTH(A6) + 1, 1), 0))</f>
        <v>36311</v>
      </c>
      <c r="B7" s="1113">
        <f t="shared" si="0"/>
        <v>2000</v>
      </c>
      <c r="C7" s="1281">
        <v>72.8</v>
      </c>
      <c r="D7" s="1281">
        <v>165.6</v>
      </c>
      <c r="E7" s="1114" t="str">
        <f>IF($A7&lt;DATE(2018,7,1),"-",INDEX('I1 - Universal Data'!$E$16:$V$16, MATCH(YEAR(EOMONTH($A7,6)), 'I1 - Universal Data'!$E$14:$V$14, 0)))</f>
        <v>-</v>
      </c>
      <c r="F7" s="1114" t="str">
        <f>IF($A7&lt;DATE(2018,7,1),"-",INDEX('I1 - Universal Data'!$E$15:$V$15, MATCH(YEAR(EOMONTH($A7,6)), 'I1 - Universal Data'!$E$14:$V$14, 0)))</f>
        <v>-</v>
      </c>
      <c r="G7" s="1115">
        <f t="shared" si="1"/>
        <v>72.8</v>
      </c>
      <c r="H7" s="1115">
        <f t="shared" si="1"/>
        <v>165.6</v>
      </c>
      <c r="U7" s="114"/>
    </row>
    <row r="8" spans="1:21">
      <c r="A8" s="1112">
        <f t="shared" si="2"/>
        <v>36341</v>
      </c>
      <c r="B8" s="1113">
        <f t="shared" si="0"/>
        <v>2000</v>
      </c>
      <c r="C8" s="1281">
        <v>72.7</v>
      </c>
      <c r="D8" s="1281">
        <v>165.6</v>
      </c>
      <c r="E8" s="1114" t="str">
        <f>IF($A8&lt;DATE(2018,7,1),"-",INDEX('I1 - Universal Data'!$E$16:$V$16, MATCH(YEAR(EOMONTH($A8,6)), 'I1 - Universal Data'!$E$14:$V$14, 0)))</f>
        <v>-</v>
      </c>
      <c r="F8" s="1114" t="str">
        <f>IF($A8&lt;DATE(2018,7,1),"-",INDEX('I1 - Universal Data'!$E$15:$V$15, MATCH(YEAR(EOMONTH($A8,6)), 'I1 - Universal Data'!$E$14:$V$14, 0)))</f>
        <v>-</v>
      </c>
      <c r="G8" s="1115">
        <f t="shared" si="1"/>
        <v>72.7</v>
      </c>
      <c r="H8" s="1115">
        <f t="shared" si="1"/>
        <v>165.6</v>
      </c>
      <c r="U8" s="114"/>
    </row>
    <row r="9" spans="1:21">
      <c r="A9" s="1112">
        <f t="shared" si="2"/>
        <v>36372</v>
      </c>
      <c r="B9" s="1113">
        <f t="shared" si="0"/>
        <v>2000</v>
      </c>
      <c r="C9" s="1281">
        <v>72.400000000000006</v>
      </c>
      <c r="D9" s="1281">
        <v>165.1</v>
      </c>
      <c r="E9" s="1114" t="str">
        <f>IF($A9&lt;DATE(2018,7,1),"-",INDEX('I1 - Universal Data'!$E$16:$V$16, MATCH(YEAR(EOMONTH($A9,6)), 'I1 - Universal Data'!$E$14:$V$14, 0)))</f>
        <v>-</v>
      </c>
      <c r="F9" s="1114" t="str">
        <f>IF($A9&lt;DATE(2018,7,1),"-",INDEX('I1 - Universal Data'!$E$15:$V$15, MATCH(YEAR(EOMONTH($A9,6)), 'I1 - Universal Data'!$E$14:$V$14, 0)))</f>
        <v>-</v>
      </c>
      <c r="G9" s="1115">
        <f t="shared" si="1"/>
        <v>72.400000000000006</v>
      </c>
      <c r="H9" s="1115">
        <f t="shared" si="1"/>
        <v>165.1</v>
      </c>
      <c r="U9" s="114"/>
    </row>
    <row r="10" spans="1:21">
      <c r="A10" s="1112">
        <f t="shared" si="2"/>
        <v>36403</v>
      </c>
      <c r="B10" s="1113">
        <f t="shared" si="0"/>
        <v>2000</v>
      </c>
      <c r="C10" s="1281">
        <v>72.599999999999994</v>
      </c>
      <c r="D10" s="1281">
        <v>165.5</v>
      </c>
      <c r="E10" s="1114" t="str">
        <f>IF($A10&lt;DATE(2018,7,1),"-",INDEX('I1 - Universal Data'!$E$16:$V$16, MATCH(YEAR(EOMONTH($A10,6)), 'I1 - Universal Data'!$E$14:$V$14, 0)))</f>
        <v>-</v>
      </c>
      <c r="F10" s="1114" t="str">
        <f>IF($A10&lt;DATE(2018,7,1),"-",INDEX('I1 - Universal Data'!$E$15:$V$15, MATCH(YEAR(EOMONTH($A10,6)), 'I1 - Universal Data'!$E$14:$V$14, 0)))</f>
        <v>-</v>
      </c>
      <c r="G10" s="1115">
        <f t="shared" si="1"/>
        <v>72.599999999999994</v>
      </c>
      <c r="H10" s="1115">
        <f t="shared" si="1"/>
        <v>165.5</v>
      </c>
      <c r="U10" s="114"/>
    </row>
    <row r="11" spans="1:21">
      <c r="A11" s="1112">
        <f t="shared" si="2"/>
        <v>36433</v>
      </c>
      <c r="B11" s="1113">
        <f t="shared" si="0"/>
        <v>2000</v>
      </c>
      <c r="C11" s="1281">
        <v>72.8</v>
      </c>
      <c r="D11" s="1281">
        <v>166.2</v>
      </c>
      <c r="E11" s="1114" t="str">
        <f>IF($A11&lt;DATE(2018,7,1),"-",INDEX('I1 - Universal Data'!$E$16:$V$16, MATCH(YEAR(EOMONTH($A11,6)), 'I1 - Universal Data'!$E$14:$V$14, 0)))</f>
        <v>-</v>
      </c>
      <c r="F11" s="1114" t="str">
        <f>IF($A11&lt;DATE(2018,7,1),"-",INDEX('I1 - Universal Data'!$E$15:$V$15, MATCH(YEAR(EOMONTH($A11,6)), 'I1 - Universal Data'!$E$14:$V$14, 0)))</f>
        <v>-</v>
      </c>
      <c r="G11" s="1115">
        <f t="shared" si="1"/>
        <v>72.8</v>
      </c>
      <c r="H11" s="1115">
        <f t="shared" si="1"/>
        <v>166.2</v>
      </c>
      <c r="U11" s="114"/>
    </row>
    <row r="12" spans="1:21">
      <c r="A12" s="1112">
        <f t="shared" si="2"/>
        <v>36464</v>
      </c>
      <c r="B12" s="1113">
        <f t="shared" si="0"/>
        <v>2000</v>
      </c>
      <c r="C12" s="1281">
        <v>72.8</v>
      </c>
      <c r="D12" s="1281">
        <v>166.5</v>
      </c>
      <c r="E12" s="1114" t="str">
        <f>IF($A12&lt;DATE(2018,7,1),"-",INDEX('I1 - Universal Data'!$E$16:$V$16, MATCH(YEAR(EOMONTH($A12,6)), 'I1 - Universal Data'!$E$14:$V$14, 0)))</f>
        <v>-</v>
      </c>
      <c r="F12" s="1114" t="str">
        <f>IF($A12&lt;DATE(2018,7,1),"-",INDEX('I1 - Universal Data'!$E$15:$V$15, MATCH(YEAR(EOMONTH($A12,6)), 'I1 - Universal Data'!$E$14:$V$14, 0)))</f>
        <v>-</v>
      </c>
      <c r="G12" s="1115">
        <f t="shared" si="1"/>
        <v>72.8</v>
      </c>
      <c r="H12" s="1115">
        <f t="shared" si="1"/>
        <v>166.5</v>
      </c>
      <c r="U12" s="114"/>
    </row>
    <row r="13" spans="1:21">
      <c r="A13" s="1112">
        <f t="shared" si="2"/>
        <v>36494</v>
      </c>
      <c r="B13" s="1113">
        <f t="shared" si="0"/>
        <v>2000</v>
      </c>
      <c r="C13" s="1281">
        <v>72.900000000000006</v>
      </c>
      <c r="D13" s="1281">
        <v>166.7</v>
      </c>
      <c r="E13" s="1114" t="str">
        <f>IF($A13&lt;DATE(2018,7,1),"-",INDEX('I1 - Universal Data'!$E$16:$V$16, MATCH(YEAR(EOMONTH($A13,6)), 'I1 - Universal Data'!$E$14:$V$14, 0)))</f>
        <v>-</v>
      </c>
      <c r="F13" s="1114" t="str">
        <f>IF($A13&lt;DATE(2018,7,1),"-",INDEX('I1 - Universal Data'!$E$15:$V$15, MATCH(YEAR(EOMONTH($A13,6)), 'I1 - Universal Data'!$E$14:$V$14, 0)))</f>
        <v>-</v>
      </c>
      <c r="G13" s="1115">
        <f t="shared" si="1"/>
        <v>72.900000000000006</v>
      </c>
      <c r="H13" s="1115">
        <f t="shared" si="1"/>
        <v>166.7</v>
      </c>
      <c r="U13" s="114"/>
    </row>
    <row r="14" spans="1:21">
      <c r="A14" s="1112">
        <f t="shared" si="2"/>
        <v>36525</v>
      </c>
      <c r="B14" s="1113">
        <f t="shared" si="0"/>
        <v>2000</v>
      </c>
      <c r="C14" s="1281">
        <v>73.099999999999994</v>
      </c>
      <c r="D14" s="1281">
        <v>167.3</v>
      </c>
      <c r="E14" s="1114" t="str">
        <f>IF($A14&lt;DATE(2018,7,1),"-",INDEX('I1 - Universal Data'!$E$16:$V$16, MATCH(YEAR(EOMONTH($A14,6)), 'I1 - Universal Data'!$E$14:$V$14, 0)))</f>
        <v>-</v>
      </c>
      <c r="F14" s="1114" t="str">
        <f>IF($A14&lt;DATE(2018,7,1),"-",INDEX('I1 - Universal Data'!$E$15:$V$15, MATCH(YEAR(EOMONTH($A14,6)), 'I1 - Universal Data'!$E$14:$V$14, 0)))</f>
        <v>-</v>
      </c>
      <c r="G14" s="1115">
        <f t="shared" si="1"/>
        <v>73.099999999999994</v>
      </c>
      <c r="H14" s="1115">
        <f t="shared" si="1"/>
        <v>167.3</v>
      </c>
      <c r="U14" s="114"/>
    </row>
    <row r="15" spans="1:21">
      <c r="A15" s="1112">
        <f t="shared" si="2"/>
        <v>36556</v>
      </c>
      <c r="B15" s="1113">
        <f t="shared" si="0"/>
        <v>2000</v>
      </c>
      <c r="C15" s="1281">
        <v>72.599999999999994</v>
      </c>
      <c r="D15" s="1281">
        <v>166.6</v>
      </c>
      <c r="E15" s="1114" t="str">
        <f>IF($A15&lt;DATE(2018,7,1),"-",INDEX('I1 - Universal Data'!$E$16:$V$16, MATCH(YEAR(EOMONTH($A15,6)), 'I1 - Universal Data'!$E$14:$V$14, 0)))</f>
        <v>-</v>
      </c>
      <c r="F15" s="1114" t="str">
        <f>IF($A15&lt;DATE(2018,7,1),"-",INDEX('I1 - Universal Data'!$E$15:$V$15, MATCH(YEAR(EOMONTH($A15,6)), 'I1 - Universal Data'!$E$14:$V$14, 0)))</f>
        <v>-</v>
      </c>
      <c r="G15" s="1115">
        <f t="shared" si="1"/>
        <v>72.599999999999994</v>
      </c>
      <c r="H15" s="1115">
        <f t="shared" si="1"/>
        <v>166.6</v>
      </c>
      <c r="U15" s="114"/>
    </row>
    <row r="16" spans="1:21">
      <c r="A16" s="1112">
        <f t="shared" si="2"/>
        <v>36585</v>
      </c>
      <c r="B16" s="1113">
        <f t="shared" si="0"/>
        <v>2000</v>
      </c>
      <c r="C16" s="1281">
        <v>72.8</v>
      </c>
      <c r="D16" s="1281">
        <v>167.5</v>
      </c>
      <c r="E16" s="1114" t="str">
        <f>IF($A16&lt;DATE(2018,7,1),"-",INDEX('I1 - Universal Data'!$E$16:$V$16, MATCH(YEAR(EOMONTH($A16,6)), 'I1 - Universal Data'!$E$14:$V$14, 0)))</f>
        <v>-</v>
      </c>
      <c r="F16" s="1114" t="str">
        <f>IF($A16&lt;DATE(2018,7,1),"-",INDEX('I1 - Universal Data'!$E$15:$V$15, MATCH(YEAR(EOMONTH($A16,6)), 'I1 - Universal Data'!$E$14:$V$14, 0)))</f>
        <v>-</v>
      </c>
      <c r="G16" s="1115">
        <f t="shared" si="1"/>
        <v>72.8</v>
      </c>
      <c r="H16" s="1115">
        <f t="shared" si="1"/>
        <v>167.5</v>
      </c>
      <c r="U16" s="114"/>
    </row>
    <row r="17" spans="1:21">
      <c r="A17" s="1112">
        <f t="shared" si="2"/>
        <v>36616</v>
      </c>
      <c r="B17" s="1113">
        <f t="shared" si="0"/>
        <v>2000</v>
      </c>
      <c r="C17" s="1281">
        <v>73</v>
      </c>
      <c r="D17" s="1281">
        <v>168.4</v>
      </c>
      <c r="E17" s="1114" t="str">
        <f>IF($A17&lt;DATE(2018,7,1),"-",INDEX('I1 - Universal Data'!$E$16:$V$16, MATCH(YEAR(EOMONTH($A17,6)), 'I1 - Universal Data'!$E$14:$V$14, 0)))</f>
        <v>-</v>
      </c>
      <c r="F17" s="1114" t="str">
        <f>IF($A17&lt;DATE(2018,7,1),"-",INDEX('I1 - Universal Data'!$E$15:$V$15, MATCH(YEAR(EOMONTH($A17,6)), 'I1 - Universal Data'!$E$14:$V$14, 0)))</f>
        <v>-</v>
      </c>
      <c r="G17" s="1115">
        <f t="shared" si="1"/>
        <v>73</v>
      </c>
      <c r="H17" s="1115">
        <f t="shared" si="1"/>
        <v>168.4</v>
      </c>
      <c r="U17" s="114"/>
    </row>
    <row r="18" spans="1:21">
      <c r="A18" s="1112">
        <f t="shared" si="2"/>
        <v>36646</v>
      </c>
      <c r="B18" s="1113">
        <f t="shared" si="0"/>
        <v>2001</v>
      </c>
      <c r="C18" s="1281">
        <v>73.3</v>
      </c>
      <c r="D18" s="1281">
        <v>170.1</v>
      </c>
      <c r="E18" s="1114" t="str">
        <f>IF($A18&lt;DATE(2018,7,1),"-",INDEX('I1 - Universal Data'!$E$16:$V$16, MATCH(YEAR(EOMONTH($A18,6)), 'I1 - Universal Data'!$E$14:$V$14, 0)))</f>
        <v>-</v>
      </c>
      <c r="F18" s="1114" t="str">
        <f>IF($A18&lt;DATE(2018,7,1),"-",INDEX('I1 - Universal Data'!$E$15:$V$15, MATCH(YEAR(EOMONTH($A18,6)), 'I1 - Universal Data'!$E$14:$V$14, 0)))</f>
        <v>-</v>
      </c>
      <c r="G18" s="1115">
        <f t="shared" si="1"/>
        <v>73.3</v>
      </c>
      <c r="H18" s="1115">
        <f t="shared" si="1"/>
        <v>170.1</v>
      </c>
      <c r="U18" s="114"/>
    </row>
    <row r="19" spans="1:21">
      <c r="A19" s="1112">
        <f t="shared" si="2"/>
        <v>36677</v>
      </c>
      <c r="B19" s="1113">
        <f t="shared" si="0"/>
        <v>2001</v>
      </c>
      <c r="C19" s="1281">
        <v>73.5</v>
      </c>
      <c r="D19" s="1281">
        <v>170.7</v>
      </c>
      <c r="E19" s="1114" t="str">
        <f>IF($A19&lt;DATE(2018,7,1),"-",INDEX('I1 - Universal Data'!$E$16:$V$16, MATCH(YEAR(EOMONTH($A19,6)), 'I1 - Universal Data'!$E$14:$V$14, 0)))</f>
        <v>-</v>
      </c>
      <c r="F19" s="1114" t="str">
        <f>IF($A19&lt;DATE(2018,7,1),"-",INDEX('I1 - Universal Data'!$E$15:$V$15, MATCH(YEAR(EOMONTH($A19,6)), 'I1 - Universal Data'!$E$14:$V$14, 0)))</f>
        <v>-</v>
      </c>
      <c r="G19" s="1115">
        <f t="shared" si="1"/>
        <v>73.5</v>
      </c>
      <c r="H19" s="1115">
        <f t="shared" si="1"/>
        <v>170.7</v>
      </c>
      <c r="U19" s="114"/>
    </row>
    <row r="20" spans="1:21">
      <c r="A20" s="1112">
        <f t="shared" si="2"/>
        <v>36707</v>
      </c>
      <c r="B20" s="1113">
        <f t="shared" si="0"/>
        <v>2001</v>
      </c>
      <c r="C20" s="1281">
        <v>73.599999999999994</v>
      </c>
      <c r="D20" s="1281">
        <v>171.1</v>
      </c>
      <c r="E20" s="1114" t="str">
        <f>IF($A20&lt;DATE(2018,7,1),"-",INDEX('I1 - Universal Data'!$E$16:$V$16, MATCH(YEAR(EOMONTH($A20,6)), 'I1 - Universal Data'!$E$14:$V$14, 0)))</f>
        <v>-</v>
      </c>
      <c r="F20" s="1114" t="str">
        <f>IF($A20&lt;DATE(2018,7,1),"-",INDEX('I1 - Universal Data'!$E$15:$V$15, MATCH(YEAR(EOMONTH($A20,6)), 'I1 - Universal Data'!$E$14:$V$14, 0)))</f>
        <v>-</v>
      </c>
      <c r="G20" s="1115">
        <f t="shared" si="1"/>
        <v>73.599999999999994</v>
      </c>
      <c r="H20" s="1115">
        <f t="shared" si="1"/>
        <v>171.1</v>
      </c>
      <c r="U20" s="114"/>
    </row>
    <row r="21" spans="1:21">
      <c r="A21" s="1112">
        <f t="shared" si="2"/>
        <v>36738</v>
      </c>
      <c r="B21" s="1113">
        <f t="shared" si="0"/>
        <v>2001</v>
      </c>
      <c r="C21" s="1281">
        <v>73.3</v>
      </c>
      <c r="D21" s="1281">
        <v>170.5</v>
      </c>
      <c r="E21" s="1114" t="str">
        <f>IF($A21&lt;DATE(2018,7,1),"-",INDEX('I1 - Universal Data'!$E$16:$V$16, MATCH(YEAR(EOMONTH($A21,6)), 'I1 - Universal Data'!$E$14:$V$14, 0)))</f>
        <v>-</v>
      </c>
      <c r="F21" s="1114" t="str">
        <f>IF($A21&lt;DATE(2018,7,1),"-",INDEX('I1 - Universal Data'!$E$15:$V$15, MATCH(YEAR(EOMONTH($A21,6)), 'I1 - Universal Data'!$E$14:$V$14, 0)))</f>
        <v>-</v>
      </c>
      <c r="G21" s="1115">
        <f t="shared" si="1"/>
        <v>73.3</v>
      </c>
      <c r="H21" s="1115">
        <f t="shared" si="1"/>
        <v>170.5</v>
      </c>
      <c r="U21" s="114"/>
    </row>
    <row r="22" spans="1:21">
      <c r="A22" s="1112">
        <f t="shared" si="2"/>
        <v>36769</v>
      </c>
      <c r="B22" s="1113">
        <f t="shared" si="0"/>
        <v>2001</v>
      </c>
      <c r="C22" s="1281">
        <v>73.3</v>
      </c>
      <c r="D22" s="1281">
        <v>170.5</v>
      </c>
      <c r="E22" s="1114" t="str">
        <f>IF($A22&lt;DATE(2018,7,1),"-",INDEX('I1 - Universal Data'!$E$16:$V$16, MATCH(YEAR(EOMONTH($A22,6)), 'I1 - Universal Data'!$E$14:$V$14, 0)))</f>
        <v>-</v>
      </c>
      <c r="F22" s="1114" t="str">
        <f>IF($A22&lt;DATE(2018,7,1),"-",INDEX('I1 - Universal Data'!$E$15:$V$15, MATCH(YEAR(EOMONTH($A22,6)), 'I1 - Universal Data'!$E$14:$V$14, 0)))</f>
        <v>-</v>
      </c>
      <c r="G22" s="1115">
        <f t="shared" ref="G22:H37" si="3">IF(ISBLANK(C22),G21*((1+E22)^(1/12)),C22)</f>
        <v>73.3</v>
      </c>
      <c r="H22" s="1115">
        <f t="shared" si="3"/>
        <v>170.5</v>
      </c>
      <c r="U22" s="114"/>
    </row>
    <row r="23" spans="1:21">
      <c r="A23" s="1112">
        <f t="shared" si="2"/>
        <v>36799</v>
      </c>
      <c r="B23" s="1113">
        <f t="shared" si="0"/>
        <v>2001</v>
      </c>
      <c r="C23" s="1281">
        <v>73.8</v>
      </c>
      <c r="D23" s="1281">
        <v>171.7</v>
      </c>
      <c r="E23" s="1114" t="str">
        <f>IF($A23&lt;DATE(2018,7,1),"-",INDEX('I1 - Universal Data'!$E$16:$V$16, MATCH(YEAR(EOMONTH($A23,6)), 'I1 - Universal Data'!$E$14:$V$14, 0)))</f>
        <v>-</v>
      </c>
      <c r="F23" s="1114" t="str">
        <f>IF($A23&lt;DATE(2018,7,1),"-",INDEX('I1 - Universal Data'!$E$15:$V$15, MATCH(YEAR(EOMONTH($A23,6)), 'I1 - Universal Data'!$E$14:$V$14, 0)))</f>
        <v>-</v>
      </c>
      <c r="G23" s="1115">
        <f t="shared" si="3"/>
        <v>73.8</v>
      </c>
      <c r="H23" s="1115">
        <f t="shared" si="3"/>
        <v>171.7</v>
      </c>
      <c r="U23" s="114"/>
    </row>
    <row r="24" spans="1:21">
      <c r="A24" s="1112">
        <f t="shared" si="2"/>
        <v>36830</v>
      </c>
      <c r="B24" s="1113">
        <f t="shared" si="0"/>
        <v>2001</v>
      </c>
      <c r="C24" s="1281">
        <v>73.8</v>
      </c>
      <c r="D24" s="1281">
        <v>171.6</v>
      </c>
      <c r="E24" s="1114" t="str">
        <f>IF($A24&lt;DATE(2018,7,1),"-",INDEX('I1 - Universal Data'!$E$16:$V$16, MATCH(YEAR(EOMONTH($A24,6)), 'I1 - Universal Data'!$E$14:$V$14, 0)))</f>
        <v>-</v>
      </c>
      <c r="F24" s="1114" t="str">
        <f>IF($A24&lt;DATE(2018,7,1),"-",INDEX('I1 - Universal Data'!$E$15:$V$15, MATCH(YEAR(EOMONTH($A24,6)), 'I1 - Universal Data'!$E$14:$V$14, 0)))</f>
        <v>-</v>
      </c>
      <c r="G24" s="1115">
        <f t="shared" si="3"/>
        <v>73.8</v>
      </c>
      <c r="H24" s="1115">
        <f t="shared" si="3"/>
        <v>171.6</v>
      </c>
      <c r="U24" s="114"/>
    </row>
    <row r="25" spans="1:21">
      <c r="A25" s="1112">
        <f t="shared" si="2"/>
        <v>36860</v>
      </c>
      <c r="B25" s="1113">
        <f t="shared" si="0"/>
        <v>2001</v>
      </c>
      <c r="C25" s="1281">
        <v>74</v>
      </c>
      <c r="D25" s="1281">
        <v>172.1</v>
      </c>
      <c r="E25" s="1114" t="str">
        <f>IF($A25&lt;DATE(2018,7,1),"-",INDEX('I1 - Universal Data'!$E$16:$V$16, MATCH(YEAR(EOMONTH($A25,6)), 'I1 - Universal Data'!$E$14:$V$14, 0)))</f>
        <v>-</v>
      </c>
      <c r="F25" s="1114" t="str">
        <f>IF($A25&lt;DATE(2018,7,1),"-",INDEX('I1 - Universal Data'!$E$15:$V$15, MATCH(YEAR(EOMONTH($A25,6)), 'I1 - Universal Data'!$E$14:$V$14, 0)))</f>
        <v>-</v>
      </c>
      <c r="G25" s="1115">
        <f t="shared" si="3"/>
        <v>74</v>
      </c>
      <c r="H25" s="1115">
        <f t="shared" si="3"/>
        <v>172.1</v>
      </c>
      <c r="U25" s="114"/>
    </row>
    <row r="26" spans="1:21">
      <c r="A26" s="1112">
        <f t="shared" si="2"/>
        <v>36891</v>
      </c>
      <c r="B26" s="1113">
        <f t="shared" si="0"/>
        <v>2001</v>
      </c>
      <c r="C26" s="1281">
        <v>74</v>
      </c>
      <c r="D26" s="1281">
        <v>172.2</v>
      </c>
      <c r="E26" s="1114" t="str">
        <f>IF($A26&lt;DATE(2018,7,1),"-",INDEX('I1 - Universal Data'!$E$16:$V$16, MATCH(YEAR(EOMONTH($A26,6)), 'I1 - Universal Data'!$E$14:$V$14, 0)))</f>
        <v>-</v>
      </c>
      <c r="F26" s="1114" t="str">
        <f>IF($A26&lt;DATE(2018,7,1),"-",INDEX('I1 - Universal Data'!$E$15:$V$15, MATCH(YEAR(EOMONTH($A26,6)), 'I1 - Universal Data'!$E$14:$V$14, 0)))</f>
        <v>-</v>
      </c>
      <c r="G26" s="1115">
        <f t="shared" si="3"/>
        <v>74</v>
      </c>
      <c r="H26" s="1115">
        <f t="shared" si="3"/>
        <v>172.2</v>
      </c>
      <c r="U26" s="114"/>
    </row>
    <row r="27" spans="1:21">
      <c r="A27" s="1112">
        <f t="shared" si="2"/>
        <v>36922</v>
      </c>
      <c r="B27" s="1113">
        <f t="shared" si="0"/>
        <v>2001</v>
      </c>
      <c r="C27" s="1281">
        <v>73.5</v>
      </c>
      <c r="D27" s="1281">
        <v>171.1</v>
      </c>
      <c r="E27" s="1114" t="str">
        <f>IF($A27&lt;DATE(2018,7,1),"-",INDEX('I1 - Universal Data'!$E$16:$V$16, MATCH(YEAR(EOMONTH($A27,6)), 'I1 - Universal Data'!$E$14:$V$14, 0)))</f>
        <v>-</v>
      </c>
      <c r="F27" s="1114" t="str">
        <f>IF($A27&lt;DATE(2018,7,1),"-",INDEX('I1 - Universal Data'!$E$15:$V$15, MATCH(YEAR(EOMONTH($A27,6)), 'I1 - Universal Data'!$E$14:$V$14, 0)))</f>
        <v>-</v>
      </c>
      <c r="G27" s="1115">
        <f t="shared" si="3"/>
        <v>73.5</v>
      </c>
      <c r="H27" s="1115">
        <f t="shared" si="3"/>
        <v>171.1</v>
      </c>
      <c r="U27" s="1103"/>
    </row>
    <row r="28" spans="1:21">
      <c r="A28" s="1112">
        <f t="shared" si="2"/>
        <v>36950</v>
      </c>
      <c r="B28" s="1113">
        <f t="shared" si="0"/>
        <v>2001</v>
      </c>
      <c r="C28" s="1281">
        <v>73.7</v>
      </c>
      <c r="D28" s="1281">
        <v>172</v>
      </c>
      <c r="E28" s="1114" t="str">
        <f>IF($A28&lt;DATE(2018,7,1),"-",INDEX('I1 - Universal Data'!$E$16:$V$16, MATCH(YEAR(EOMONTH($A28,6)), 'I1 - Universal Data'!$E$14:$V$14, 0)))</f>
        <v>-</v>
      </c>
      <c r="F28" s="1114" t="str">
        <f>IF($A28&lt;DATE(2018,7,1),"-",INDEX('I1 - Universal Data'!$E$15:$V$15, MATCH(YEAR(EOMONTH($A28,6)), 'I1 - Universal Data'!$E$14:$V$14, 0)))</f>
        <v>-</v>
      </c>
      <c r="G28" s="1115">
        <f t="shared" si="3"/>
        <v>73.7</v>
      </c>
      <c r="H28" s="1115">
        <f t="shared" si="3"/>
        <v>172</v>
      </c>
      <c r="U28" s="1103"/>
    </row>
    <row r="29" spans="1:21">
      <c r="A29" s="1112">
        <f t="shared" si="2"/>
        <v>36981</v>
      </c>
      <c r="B29" s="1113">
        <f t="shared" si="0"/>
        <v>2001</v>
      </c>
      <c r="C29" s="1281">
        <v>73.900000000000006</v>
      </c>
      <c r="D29" s="1281">
        <v>172.2</v>
      </c>
      <c r="E29" s="1114" t="str">
        <f>IF($A29&lt;DATE(2018,7,1),"-",INDEX('I1 - Universal Data'!$E$16:$V$16, MATCH(YEAR(EOMONTH($A29,6)), 'I1 - Universal Data'!$E$14:$V$14, 0)))</f>
        <v>-</v>
      </c>
      <c r="F29" s="1114" t="str">
        <f>IF($A29&lt;DATE(2018,7,1),"-",INDEX('I1 - Universal Data'!$E$15:$V$15, MATCH(YEAR(EOMONTH($A29,6)), 'I1 - Universal Data'!$E$14:$V$14, 0)))</f>
        <v>-</v>
      </c>
      <c r="G29" s="1115">
        <f t="shared" si="3"/>
        <v>73.900000000000006</v>
      </c>
      <c r="H29" s="1115">
        <f t="shared" si="3"/>
        <v>172.2</v>
      </c>
      <c r="U29" s="1103"/>
    </row>
    <row r="30" spans="1:21">
      <c r="A30" s="1112">
        <f t="shared" si="2"/>
        <v>37011</v>
      </c>
      <c r="B30" s="1113">
        <f t="shared" si="0"/>
        <v>2002</v>
      </c>
      <c r="C30" s="1281">
        <v>74.400000000000006</v>
      </c>
      <c r="D30" s="1281">
        <v>173.1</v>
      </c>
      <c r="E30" s="1114" t="str">
        <f>IF($A30&lt;DATE(2018,7,1),"-",INDEX('I1 - Universal Data'!$E$16:$V$16, MATCH(YEAR(EOMONTH($A30,6)), 'I1 - Universal Data'!$E$14:$V$14, 0)))</f>
        <v>-</v>
      </c>
      <c r="F30" s="1114" t="str">
        <f>IF($A30&lt;DATE(2018,7,1),"-",INDEX('I1 - Universal Data'!$E$15:$V$15, MATCH(YEAR(EOMONTH($A30,6)), 'I1 - Universal Data'!$E$14:$V$14, 0)))</f>
        <v>-</v>
      </c>
      <c r="G30" s="1115">
        <f t="shared" si="3"/>
        <v>74.400000000000006</v>
      </c>
      <c r="H30" s="1115">
        <f t="shared" si="3"/>
        <v>173.1</v>
      </c>
      <c r="U30" s="1103"/>
    </row>
    <row r="31" spans="1:21">
      <c r="A31" s="1112">
        <f t="shared" si="2"/>
        <v>37042</v>
      </c>
      <c r="B31" s="1113">
        <f t="shared" si="0"/>
        <v>2002</v>
      </c>
      <c r="C31" s="1281">
        <v>74.900000000000006</v>
      </c>
      <c r="D31" s="1281">
        <v>174.2</v>
      </c>
      <c r="E31" s="1114" t="str">
        <f>IF($A31&lt;DATE(2018,7,1),"-",INDEX('I1 - Universal Data'!$E$16:$V$16, MATCH(YEAR(EOMONTH($A31,6)), 'I1 - Universal Data'!$E$14:$V$14, 0)))</f>
        <v>-</v>
      </c>
      <c r="F31" s="1114" t="str">
        <f>IF($A31&lt;DATE(2018,7,1),"-",INDEX('I1 - Universal Data'!$E$15:$V$15, MATCH(YEAR(EOMONTH($A31,6)), 'I1 - Universal Data'!$E$14:$V$14, 0)))</f>
        <v>-</v>
      </c>
      <c r="G31" s="1115">
        <f t="shared" si="3"/>
        <v>74.900000000000006</v>
      </c>
      <c r="H31" s="1115">
        <f t="shared" si="3"/>
        <v>174.2</v>
      </c>
      <c r="U31" s="1103"/>
    </row>
    <row r="32" spans="1:21">
      <c r="A32" s="1112">
        <f t="shared" si="2"/>
        <v>37072</v>
      </c>
      <c r="B32" s="1113">
        <f t="shared" si="0"/>
        <v>2002</v>
      </c>
      <c r="C32" s="1281">
        <v>75</v>
      </c>
      <c r="D32" s="1281">
        <v>174.4</v>
      </c>
      <c r="E32" s="1114" t="str">
        <f>IF($A32&lt;DATE(2018,7,1),"-",INDEX('I1 - Universal Data'!$E$16:$V$16, MATCH(YEAR(EOMONTH($A32,6)), 'I1 - Universal Data'!$E$14:$V$14, 0)))</f>
        <v>-</v>
      </c>
      <c r="F32" s="1114" t="str">
        <f>IF($A32&lt;DATE(2018,7,1),"-",INDEX('I1 - Universal Data'!$E$15:$V$15, MATCH(YEAR(EOMONTH($A32,6)), 'I1 - Universal Data'!$E$14:$V$14, 0)))</f>
        <v>-</v>
      </c>
      <c r="G32" s="1115">
        <f t="shared" si="3"/>
        <v>75</v>
      </c>
      <c r="H32" s="1115">
        <f t="shared" si="3"/>
        <v>174.4</v>
      </c>
      <c r="U32" s="1103"/>
    </row>
    <row r="33" spans="1:21">
      <c r="A33" s="1112">
        <f t="shared" si="2"/>
        <v>37103</v>
      </c>
      <c r="B33" s="1113">
        <f t="shared" si="0"/>
        <v>2002</v>
      </c>
      <c r="C33" s="1281">
        <v>74.5</v>
      </c>
      <c r="D33" s="1281">
        <v>173.3</v>
      </c>
      <c r="E33" s="1114" t="str">
        <f>IF($A33&lt;DATE(2018,7,1),"-",INDEX('I1 - Universal Data'!$E$16:$V$16, MATCH(YEAR(EOMONTH($A33,6)), 'I1 - Universal Data'!$E$14:$V$14, 0)))</f>
        <v>-</v>
      </c>
      <c r="F33" s="1114" t="str">
        <f>IF($A33&lt;DATE(2018,7,1),"-",INDEX('I1 - Universal Data'!$E$15:$V$15, MATCH(YEAR(EOMONTH($A33,6)), 'I1 - Universal Data'!$E$14:$V$14, 0)))</f>
        <v>-</v>
      </c>
      <c r="G33" s="1115">
        <f t="shared" si="3"/>
        <v>74.5</v>
      </c>
      <c r="H33" s="1115">
        <f t="shared" si="3"/>
        <v>173.3</v>
      </c>
      <c r="U33" s="1103"/>
    </row>
    <row r="34" spans="1:21">
      <c r="A34" s="1112">
        <f t="shared" si="2"/>
        <v>37134</v>
      </c>
      <c r="B34" s="1113">
        <f t="shared" si="0"/>
        <v>2002</v>
      </c>
      <c r="C34" s="1281">
        <v>74.8</v>
      </c>
      <c r="D34" s="1281">
        <v>174</v>
      </c>
      <c r="E34" s="1114" t="str">
        <f>IF($A34&lt;DATE(2018,7,1),"-",INDEX('I1 - Universal Data'!$E$16:$V$16, MATCH(YEAR(EOMONTH($A34,6)), 'I1 - Universal Data'!$E$14:$V$14, 0)))</f>
        <v>-</v>
      </c>
      <c r="F34" s="1114" t="str">
        <f>IF($A34&lt;DATE(2018,7,1),"-",INDEX('I1 - Universal Data'!$E$15:$V$15, MATCH(YEAR(EOMONTH($A34,6)), 'I1 - Universal Data'!$E$14:$V$14, 0)))</f>
        <v>-</v>
      </c>
      <c r="G34" s="1115">
        <f t="shared" si="3"/>
        <v>74.8</v>
      </c>
      <c r="H34" s="1115">
        <f t="shared" si="3"/>
        <v>174</v>
      </c>
      <c r="U34" s="1103"/>
    </row>
    <row r="35" spans="1:21">
      <c r="A35" s="1112">
        <f t="shared" si="2"/>
        <v>37164</v>
      </c>
      <c r="B35" s="1113">
        <f t="shared" si="0"/>
        <v>2002</v>
      </c>
      <c r="C35" s="1281">
        <v>75</v>
      </c>
      <c r="D35" s="1281">
        <v>174.6</v>
      </c>
      <c r="E35" s="1114" t="str">
        <f>IF($A35&lt;DATE(2018,7,1),"-",INDEX('I1 - Universal Data'!$E$16:$V$16, MATCH(YEAR(EOMONTH($A35,6)), 'I1 - Universal Data'!$E$14:$V$14, 0)))</f>
        <v>-</v>
      </c>
      <c r="F35" s="1114" t="str">
        <f>IF($A35&lt;DATE(2018,7,1),"-",INDEX('I1 - Universal Data'!$E$15:$V$15, MATCH(YEAR(EOMONTH($A35,6)), 'I1 - Universal Data'!$E$14:$V$14, 0)))</f>
        <v>-</v>
      </c>
      <c r="G35" s="1115">
        <f t="shared" si="3"/>
        <v>75</v>
      </c>
      <c r="H35" s="1115">
        <f t="shared" si="3"/>
        <v>174.6</v>
      </c>
      <c r="U35" s="1103"/>
    </row>
    <row r="36" spans="1:21">
      <c r="A36" s="1112">
        <f t="shared" si="2"/>
        <v>37195</v>
      </c>
      <c r="B36" s="1113">
        <f t="shared" si="0"/>
        <v>2002</v>
      </c>
      <c r="C36" s="1281">
        <v>74.900000000000006</v>
      </c>
      <c r="D36" s="1281">
        <v>174.3</v>
      </c>
      <c r="E36" s="1114" t="str">
        <f>IF($A36&lt;DATE(2018,7,1),"-",INDEX('I1 - Universal Data'!$E$16:$V$16, MATCH(YEAR(EOMONTH($A36,6)), 'I1 - Universal Data'!$E$14:$V$14, 0)))</f>
        <v>-</v>
      </c>
      <c r="F36" s="1114" t="str">
        <f>IF($A36&lt;DATE(2018,7,1),"-",INDEX('I1 - Universal Data'!$E$15:$V$15, MATCH(YEAR(EOMONTH($A36,6)), 'I1 - Universal Data'!$E$14:$V$14, 0)))</f>
        <v>-</v>
      </c>
      <c r="G36" s="1115">
        <f t="shared" si="3"/>
        <v>74.900000000000006</v>
      </c>
      <c r="H36" s="1115">
        <f t="shared" si="3"/>
        <v>174.3</v>
      </c>
      <c r="U36" s="1103"/>
    </row>
    <row r="37" spans="1:21">
      <c r="A37" s="1112">
        <f t="shared" si="2"/>
        <v>37225</v>
      </c>
      <c r="B37" s="1113">
        <f t="shared" si="0"/>
        <v>2002</v>
      </c>
      <c r="C37" s="1281">
        <v>74.900000000000006</v>
      </c>
      <c r="D37" s="1281">
        <v>173.6</v>
      </c>
      <c r="E37" s="1114" t="str">
        <f>IF($A37&lt;DATE(2018,7,1),"-",INDEX('I1 - Universal Data'!$E$16:$V$16, MATCH(YEAR(EOMONTH($A37,6)), 'I1 - Universal Data'!$E$14:$V$14, 0)))</f>
        <v>-</v>
      </c>
      <c r="F37" s="1114" t="str">
        <f>IF($A37&lt;DATE(2018,7,1),"-",INDEX('I1 - Universal Data'!$E$15:$V$15, MATCH(YEAR(EOMONTH($A37,6)), 'I1 - Universal Data'!$E$14:$V$14, 0)))</f>
        <v>-</v>
      </c>
      <c r="G37" s="1115">
        <f t="shared" si="3"/>
        <v>74.900000000000006</v>
      </c>
      <c r="H37" s="1115">
        <f t="shared" si="3"/>
        <v>173.6</v>
      </c>
      <c r="U37" s="1103"/>
    </row>
    <row r="38" spans="1:21">
      <c r="A38" s="1112">
        <f t="shared" si="2"/>
        <v>37256</v>
      </c>
      <c r="B38" s="1113">
        <f t="shared" si="0"/>
        <v>2002</v>
      </c>
      <c r="C38" s="1281">
        <v>75</v>
      </c>
      <c r="D38" s="1281">
        <v>173.4</v>
      </c>
      <c r="E38" s="1114" t="str">
        <f>IF($A38&lt;DATE(2018,7,1),"-",INDEX('I1 - Universal Data'!$E$16:$V$16, MATCH(YEAR(EOMONTH($A38,6)), 'I1 - Universal Data'!$E$14:$V$14, 0)))</f>
        <v>-</v>
      </c>
      <c r="F38" s="1114" t="str">
        <f>IF($A38&lt;DATE(2018,7,1),"-",INDEX('I1 - Universal Data'!$E$15:$V$15, MATCH(YEAR(EOMONTH($A38,6)), 'I1 - Universal Data'!$E$14:$V$14, 0)))</f>
        <v>-</v>
      </c>
      <c r="G38" s="1115">
        <f t="shared" ref="G38:H53" si="4">IF(ISBLANK(C38),G37*((1+E38)^(1/12)),C38)</f>
        <v>75</v>
      </c>
      <c r="H38" s="1115">
        <f t="shared" si="4"/>
        <v>173.4</v>
      </c>
      <c r="U38" s="1103"/>
    </row>
    <row r="39" spans="1:21">
      <c r="A39" s="1112">
        <f t="shared" si="2"/>
        <v>37287</v>
      </c>
      <c r="B39" s="1113">
        <f t="shared" si="0"/>
        <v>2002</v>
      </c>
      <c r="C39" s="1281">
        <v>74.8</v>
      </c>
      <c r="D39" s="1281">
        <v>173.3</v>
      </c>
      <c r="E39" s="1114" t="str">
        <f>IF($A39&lt;DATE(2018,7,1),"-",INDEX('I1 - Universal Data'!$E$16:$V$16, MATCH(YEAR(EOMONTH($A39,6)), 'I1 - Universal Data'!$E$14:$V$14, 0)))</f>
        <v>-</v>
      </c>
      <c r="F39" s="1114" t="str">
        <f>IF($A39&lt;DATE(2018,7,1),"-",INDEX('I1 - Universal Data'!$E$15:$V$15, MATCH(YEAR(EOMONTH($A39,6)), 'I1 - Universal Data'!$E$14:$V$14, 0)))</f>
        <v>-</v>
      </c>
      <c r="G39" s="1115">
        <f t="shared" si="4"/>
        <v>74.8</v>
      </c>
      <c r="H39" s="1115">
        <f t="shared" si="4"/>
        <v>173.3</v>
      </c>
      <c r="U39" s="1103"/>
    </row>
    <row r="40" spans="1:21">
      <c r="A40" s="1112">
        <f t="shared" si="2"/>
        <v>37315</v>
      </c>
      <c r="B40" s="1113">
        <f t="shared" si="0"/>
        <v>2002</v>
      </c>
      <c r="C40" s="1281">
        <v>75</v>
      </c>
      <c r="D40" s="1281">
        <v>173.8</v>
      </c>
      <c r="E40" s="1114" t="str">
        <f>IF($A40&lt;DATE(2018,7,1),"-",INDEX('I1 - Universal Data'!$E$16:$V$16, MATCH(YEAR(EOMONTH($A40,6)), 'I1 - Universal Data'!$E$14:$V$14, 0)))</f>
        <v>-</v>
      </c>
      <c r="F40" s="1114" t="str">
        <f>IF($A40&lt;DATE(2018,7,1),"-",INDEX('I1 - Universal Data'!$E$15:$V$15, MATCH(YEAR(EOMONTH($A40,6)), 'I1 - Universal Data'!$E$14:$V$14, 0)))</f>
        <v>-</v>
      </c>
      <c r="G40" s="1115">
        <f t="shared" si="4"/>
        <v>75</v>
      </c>
      <c r="H40" s="1115">
        <f t="shared" si="4"/>
        <v>173.8</v>
      </c>
      <c r="U40" s="1103"/>
    </row>
    <row r="41" spans="1:21">
      <c r="A41" s="1112">
        <f t="shared" si="2"/>
        <v>37346</v>
      </c>
      <c r="B41" s="1113">
        <f t="shared" si="0"/>
        <v>2002</v>
      </c>
      <c r="C41" s="1281">
        <v>75.2</v>
      </c>
      <c r="D41" s="1281">
        <v>174.5</v>
      </c>
      <c r="E41" s="1114" t="str">
        <f>IF($A41&lt;DATE(2018,7,1),"-",INDEX('I1 - Universal Data'!$E$16:$V$16, MATCH(YEAR(EOMONTH($A41,6)), 'I1 - Universal Data'!$E$14:$V$14, 0)))</f>
        <v>-</v>
      </c>
      <c r="F41" s="1114" t="str">
        <f>IF($A41&lt;DATE(2018,7,1),"-",INDEX('I1 - Universal Data'!$E$15:$V$15, MATCH(YEAR(EOMONTH($A41,6)), 'I1 - Universal Data'!$E$14:$V$14, 0)))</f>
        <v>-</v>
      </c>
      <c r="G41" s="1115">
        <f t="shared" si="4"/>
        <v>75.2</v>
      </c>
      <c r="H41" s="1115">
        <f t="shared" si="4"/>
        <v>174.5</v>
      </c>
      <c r="U41" s="1103"/>
    </row>
    <row r="42" spans="1:21">
      <c r="A42" s="1112">
        <f t="shared" si="2"/>
        <v>37376</v>
      </c>
      <c r="B42" s="1113">
        <f t="shared" si="0"/>
        <v>2003</v>
      </c>
      <c r="C42" s="1281">
        <v>75.599999999999994</v>
      </c>
      <c r="D42" s="1281">
        <v>175.7</v>
      </c>
      <c r="E42" s="1114" t="str">
        <f>IF($A42&lt;DATE(2018,7,1),"-",INDEX('I1 - Universal Data'!$E$16:$V$16, MATCH(YEAR(EOMONTH($A42,6)), 'I1 - Universal Data'!$E$14:$V$14, 0)))</f>
        <v>-</v>
      </c>
      <c r="F42" s="1114" t="str">
        <f>IF($A42&lt;DATE(2018,7,1),"-",INDEX('I1 - Universal Data'!$E$15:$V$15, MATCH(YEAR(EOMONTH($A42,6)), 'I1 - Universal Data'!$E$14:$V$14, 0)))</f>
        <v>-</v>
      </c>
      <c r="G42" s="1115">
        <f t="shared" si="4"/>
        <v>75.599999999999994</v>
      </c>
      <c r="H42" s="1115">
        <f t="shared" si="4"/>
        <v>175.7</v>
      </c>
      <c r="U42" s="1103"/>
    </row>
    <row r="43" spans="1:21">
      <c r="A43" s="1112">
        <f t="shared" si="2"/>
        <v>37407</v>
      </c>
      <c r="B43" s="1113">
        <f t="shared" si="0"/>
        <v>2003</v>
      </c>
      <c r="C43" s="1281">
        <v>75.8</v>
      </c>
      <c r="D43" s="1281">
        <v>176.2</v>
      </c>
      <c r="E43" s="1114" t="str">
        <f>IF($A43&lt;DATE(2018,7,1),"-",INDEX('I1 - Universal Data'!$E$16:$V$16, MATCH(YEAR(EOMONTH($A43,6)), 'I1 - Universal Data'!$E$14:$V$14, 0)))</f>
        <v>-</v>
      </c>
      <c r="F43" s="1114" t="str">
        <f>IF($A43&lt;DATE(2018,7,1),"-",INDEX('I1 - Universal Data'!$E$15:$V$15, MATCH(YEAR(EOMONTH($A43,6)), 'I1 - Universal Data'!$E$14:$V$14, 0)))</f>
        <v>-</v>
      </c>
      <c r="G43" s="1115">
        <f t="shared" si="4"/>
        <v>75.8</v>
      </c>
      <c r="H43" s="1115">
        <f t="shared" si="4"/>
        <v>176.2</v>
      </c>
      <c r="U43" s="1103"/>
    </row>
    <row r="44" spans="1:21">
      <c r="A44" s="1112">
        <f t="shared" si="2"/>
        <v>37437</v>
      </c>
      <c r="B44" s="1113">
        <f t="shared" si="0"/>
        <v>2003</v>
      </c>
      <c r="C44" s="1281">
        <v>75.8</v>
      </c>
      <c r="D44" s="1281">
        <v>176.2</v>
      </c>
      <c r="E44" s="1114" t="str">
        <f>IF($A44&lt;DATE(2018,7,1),"-",INDEX('I1 - Universal Data'!$E$16:$V$16, MATCH(YEAR(EOMONTH($A44,6)), 'I1 - Universal Data'!$E$14:$V$14, 0)))</f>
        <v>-</v>
      </c>
      <c r="F44" s="1114" t="str">
        <f>IF($A44&lt;DATE(2018,7,1),"-",INDEX('I1 - Universal Data'!$E$15:$V$15, MATCH(YEAR(EOMONTH($A44,6)), 'I1 - Universal Data'!$E$14:$V$14, 0)))</f>
        <v>-</v>
      </c>
      <c r="G44" s="1115">
        <f t="shared" si="4"/>
        <v>75.8</v>
      </c>
      <c r="H44" s="1115">
        <f t="shared" si="4"/>
        <v>176.2</v>
      </c>
      <c r="U44" s="1103"/>
    </row>
    <row r="45" spans="1:21">
      <c r="A45" s="1112">
        <f t="shared" si="2"/>
        <v>37468</v>
      </c>
      <c r="B45" s="1113">
        <f t="shared" si="0"/>
        <v>2003</v>
      </c>
      <c r="C45" s="1281">
        <v>75.599999999999994</v>
      </c>
      <c r="D45" s="1281">
        <v>175.9</v>
      </c>
      <c r="E45" s="1114" t="str">
        <f>IF($A45&lt;DATE(2018,7,1),"-",INDEX('I1 - Universal Data'!$E$16:$V$16, MATCH(YEAR(EOMONTH($A45,6)), 'I1 - Universal Data'!$E$14:$V$14, 0)))</f>
        <v>-</v>
      </c>
      <c r="F45" s="1114" t="str">
        <f>IF($A45&lt;DATE(2018,7,1),"-",INDEX('I1 - Universal Data'!$E$15:$V$15, MATCH(YEAR(EOMONTH($A45,6)), 'I1 - Universal Data'!$E$14:$V$14, 0)))</f>
        <v>-</v>
      </c>
      <c r="G45" s="1115">
        <f t="shared" si="4"/>
        <v>75.599999999999994</v>
      </c>
      <c r="H45" s="1115">
        <f t="shared" si="4"/>
        <v>175.9</v>
      </c>
      <c r="U45" s="1103"/>
    </row>
    <row r="46" spans="1:21">
      <c r="A46" s="1112">
        <f t="shared" si="2"/>
        <v>37499</v>
      </c>
      <c r="B46" s="1113">
        <f t="shared" si="0"/>
        <v>2003</v>
      </c>
      <c r="C46" s="1281">
        <v>75.8</v>
      </c>
      <c r="D46" s="1281">
        <v>176.4</v>
      </c>
      <c r="E46" s="1114" t="str">
        <f>IF($A46&lt;DATE(2018,7,1),"-",INDEX('I1 - Universal Data'!$E$16:$V$16, MATCH(YEAR(EOMONTH($A46,6)), 'I1 - Universal Data'!$E$14:$V$14, 0)))</f>
        <v>-</v>
      </c>
      <c r="F46" s="1114" t="str">
        <f>IF($A46&lt;DATE(2018,7,1),"-",INDEX('I1 - Universal Data'!$E$15:$V$15, MATCH(YEAR(EOMONTH($A46,6)), 'I1 - Universal Data'!$E$14:$V$14, 0)))</f>
        <v>-</v>
      </c>
      <c r="G46" s="1115">
        <f t="shared" si="4"/>
        <v>75.8</v>
      </c>
      <c r="H46" s="1115">
        <f t="shared" si="4"/>
        <v>176.4</v>
      </c>
      <c r="U46" s="1103"/>
    </row>
    <row r="47" spans="1:21">
      <c r="A47" s="1112">
        <f t="shared" si="2"/>
        <v>37529</v>
      </c>
      <c r="B47" s="1113">
        <f t="shared" si="0"/>
        <v>2003</v>
      </c>
      <c r="C47" s="1281">
        <v>76</v>
      </c>
      <c r="D47" s="1281">
        <v>177.6</v>
      </c>
      <c r="E47" s="1114" t="str">
        <f>IF($A47&lt;DATE(2018,7,1),"-",INDEX('I1 - Universal Data'!$E$16:$V$16, MATCH(YEAR(EOMONTH($A47,6)), 'I1 - Universal Data'!$E$14:$V$14, 0)))</f>
        <v>-</v>
      </c>
      <c r="F47" s="1114" t="str">
        <f>IF($A47&lt;DATE(2018,7,1),"-",INDEX('I1 - Universal Data'!$E$15:$V$15, MATCH(YEAR(EOMONTH($A47,6)), 'I1 - Universal Data'!$E$14:$V$14, 0)))</f>
        <v>-</v>
      </c>
      <c r="G47" s="1115">
        <f t="shared" si="4"/>
        <v>76</v>
      </c>
      <c r="H47" s="1115">
        <f t="shared" si="4"/>
        <v>177.6</v>
      </c>
      <c r="U47" s="1103"/>
    </row>
    <row r="48" spans="1:21">
      <c r="A48" s="1112">
        <f t="shared" si="2"/>
        <v>37560</v>
      </c>
      <c r="B48" s="1113">
        <f t="shared" si="0"/>
        <v>2003</v>
      </c>
      <c r="C48" s="1281">
        <v>76.099999999999994</v>
      </c>
      <c r="D48" s="1281">
        <v>177.9</v>
      </c>
      <c r="E48" s="1114" t="str">
        <f>IF($A48&lt;DATE(2018,7,1),"-",INDEX('I1 - Universal Data'!$E$16:$V$16, MATCH(YEAR(EOMONTH($A48,6)), 'I1 - Universal Data'!$E$14:$V$14, 0)))</f>
        <v>-</v>
      </c>
      <c r="F48" s="1114" t="str">
        <f>IF($A48&lt;DATE(2018,7,1),"-",INDEX('I1 - Universal Data'!$E$15:$V$15, MATCH(YEAR(EOMONTH($A48,6)), 'I1 - Universal Data'!$E$14:$V$14, 0)))</f>
        <v>-</v>
      </c>
      <c r="G48" s="1115">
        <f t="shared" si="4"/>
        <v>76.099999999999994</v>
      </c>
      <c r="H48" s="1115">
        <f t="shared" si="4"/>
        <v>177.9</v>
      </c>
      <c r="U48" s="1103"/>
    </row>
    <row r="49" spans="1:21">
      <c r="A49" s="1112">
        <f t="shared" si="2"/>
        <v>37590</v>
      </c>
      <c r="B49" s="1113">
        <f t="shared" si="0"/>
        <v>2003</v>
      </c>
      <c r="C49" s="1281">
        <v>76.099999999999994</v>
      </c>
      <c r="D49" s="1281">
        <v>178.2</v>
      </c>
      <c r="E49" s="1114" t="str">
        <f>IF($A49&lt;DATE(2018,7,1),"-",INDEX('I1 - Universal Data'!$E$16:$V$16, MATCH(YEAR(EOMONTH($A49,6)), 'I1 - Universal Data'!$E$14:$V$14, 0)))</f>
        <v>-</v>
      </c>
      <c r="F49" s="1114" t="str">
        <f>IF($A49&lt;DATE(2018,7,1),"-",INDEX('I1 - Universal Data'!$E$15:$V$15, MATCH(YEAR(EOMONTH($A49,6)), 'I1 - Universal Data'!$E$14:$V$14, 0)))</f>
        <v>-</v>
      </c>
      <c r="G49" s="1115">
        <f t="shared" si="4"/>
        <v>76.099999999999994</v>
      </c>
      <c r="H49" s="1115">
        <f t="shared" si="4"/>
        <v>178.2</v>
      </c>
      <c r="U49" s="1103"/>
    </row>
    <row r="50" spans="1:21">
      <c r="A50" s="1112">
        <f t="shared" si="2"/>
        <v>37621</v>
      </c>
      <c r="B50" s="1113">
        <f t="shared" si="0"/>
        <v>2003</v>
      </c>
      <c r="C50" s="1281">
        <v>76.3</v>
      </c>
      <c r="D50" s="1281">
        <v>178.5</v>
      </c>
      <c r="E50" s="1114" t="str">
        <f>IF($A50&lt;DATE(2018,7,1),"-",INDEX('I1 - Universal Data'!$E$16:$V$16, MATCH(YEAR(EOMONTH($A50,6)), 'I1 - Universal Data'!$E$14:$V$14, 0)))</f>
        <v>-</v>
      </c>
      <c r="F50" s="1114" t="str">
        <f>IF($A50&lt;DATE(2018,7,1),"-",INDEX('I1 - Universal Data'!$E$15:$V$15, MATCH(YEAR(EOMONTH($A50,6)), 'I1 - Universal Data'!$E$14:$V$14, 0)))</f>
        <v>-</v>
      </c>
      <c r="G50" s="1115">
        <f t="shared" si="4"/>
        <v>76.3</v>
      </c>
      <c r="H50" s="1115">
        <f t="shared" si="4"/>
        <v>178.5</v>
      </c>
      <c r="U50" s="1103"/>
    </row>
    <row r="51" spans="1:21">
      <c r="A51" s="1112">
        <f t="shared" si="2"/>
        <v>37652</v>
      </c>
      <c r="B51" s="1113">
        <f t="shared" si="0"/>
        <v>2003</v>
      </c>
      <c r="C51" s="1281">
        <v>75.900000000000006</v>
      </c>
      <c r="D51" s="1281">
        <v>178.4</v>
      </c>
      <c r="E51" s="1114" t="str">
        <f>IF($A51&lt;DATE(2018,7,1),"-",INDEX('I1 - Universal Data'!$E$16:$V$16, MATCH(YEAR(EOMONTH($A51,6)), 'I1 - Universal Data'!$E$14:$V$14, 0)))</f>
        <v>-</v>
      </c>
      <c r="F51" s="1114" t="str">
        <f>IF($A51&lt;DATE(2018,7,1),"-",INDEX('I1 - Universal Data'!$E$15:$V$15, MATCH(YEAR(EOMONTH($A51,6)), 'I1 - Universal Data'!$E$14:$V$14, 0)))</f>
        <v>-</v>
      </c>
      <c r="G51" s="1115">
        <f t="shared" si="4"/>
        <v>75.900000000000006</v>
      </c>
      <c r="H51" s="1115">
        <f t="shared" si="4"/>
        <v>178.4</v>
      </c>
      <c r="U51" s="1103"/>
    </row>
    <row r="52" spans="1:21">
      <c r="A52" s="1112">
        <f t="shared" si="2"/>
        <v>37680</v>
      </c>
      <c r="B52" s="1113">
        <f t="shared" si="0"/>
        <v>2003</v>
      </c>
      <c r="C52" s="1281">
        <v>76.099999999999994</v>
      </c>
      <c r="D52" s="1281">
        <v>179.3</v>
      </c>
      <c r="E52" s="1114" t="str">
        <f>IF($A52&lt;DATE(2018,7,1),"-",INDEX('I1 - Universal Data'!$E$16:$V$16, MATCH(YEAR(EOMONTH($A52,6)), 'I1 - Universal Data'!$E$14:$V$14, 0)))</f>
        <v>-</v>
      </c>
      <c r="F52" s="1114" t="str">
        <f>IF($A52&lt;DATE(2018,7,1),"-",INDEX('I1 - Universal Data'!$E$15:$V$15, MATCH(YEAR(EOMONTH($A52,6)), 'I1 - Universal Data'!$E$14:$V$14, 0)))</f>
        <v>-</v>
      </c>
      <c r="G52" s="1115">
        <f t="shared" si="4"/>
        <v>76.099999999999994</v>
      </c>
      <c r="H52" s="1115">
        <f t="shared" si="4"/>
        <v>179.3</v>
      </c>
      <c r="U52" s="1103"/>
    </row>
    <row r="53" spans="1:21">
      <c r="A53" s="1112">
        <f t="shared" si="2"/>
        <v>37711</v>
      </c>
      <c r="B53" s="1113">
        <f t="shared" si="0"/>
        <v>2003</v>
      </c>
      <c r="C53" s="1281">
        <v>76.400000000000006</v>
      </c>
      <c r="D53" s="1281">
        <v>179.9</v>
      </c>
      <c r="E53" s="1114" t="str">
        <f>IF($A53&lt;DATE(2018,7,1),"-",INDEX('I1 - Universal Data'!$E$16:$V$16, MATCH(YEAR(EOMONTH($A53,6)), 'I1 - Universal Data'!$E$14:$V$14, 0)))</f>
        <v>-</v>
      </c>
      <c r="F53" s="1114" t="str">
        <f>IF($A53&lt;DATE(2018,7,1),"-",INDEX('I1 - Universal Data'!$E$15:$V$15, MATCH(YEAR(EOMONTH($A53,6)), 'I1 - Universal Data'!$E$14:$V$14, 0)))</f>
        <v>-</v>
      </c>
      <c r="G53" s="1115">
        <f t="shared" si="4"/>
        <v>76.400000000000006</v>
      </c>
      <c r="H53" s="1115">
        <f t="shared" si="4"/>
        <v>179.9</v>
      </c>
      <c r="U53" s="1103"/>
    </row>
    <row r="54" spans="1:21">
      <c r="A54" s="1112">
        <f t="shared" si="2"/>
        <v>37741</v>
      </c>
      <c r="B54" s="1113">
        <f t="shared" si="0"/>
        <v>2004</v>
      </c>
      <c r="C54" s="1281">
        <v>76.8</v>
      </c>
      <c r="D54" s="1281">
        <v>181.2</v>
      </c>
      <c r="E54" s="1114" t="str">
        <f>IF($A54&lt;DATE(2018,7,1),"-",INDEX('I1 - Universal Data'!$E$16:$V$16, MATCH(YEAR(EOMONTH($A54,6)), 'I1 - Universal Data'!$E$14:$V$14, 0)))</f>
        <v>-</v>
      </c>
      <c r="F54" s="1114" t="str">
        <f>IF($A54&lt;DATE(2018,7,1),"-",INDEX('I1 - Universal Data'!$E$15:$V$15, MATCH(YEAR(EOMONTH($A54,6)), 'I1 - Universal Data'!$E$14:$V$14, 0)))</f>
        <v>-</v>
      </c>
      <c r="G54" s="1115">
        <f t="shared" ref="G54:H69" si="5">IF(ISBLANK(C54),G53*((1+E54)^(1/12)),C54)</f>
        <v>76.8</v>
      </c>
      <c r="H54" s="1115">
        <f t="shared" si="5"/>
        <v>181.2</v>
      </c>
      <c r="U54" s="1103"/>
    </row>
    <row r="55" spans="1:21">
      <c r="A55" s="1112">
        <f t="shared" si="2"/>
        <v>37772</v>
      </c>
      <c r="B55" s="1113">
        <f t="shared" si="0"/>
        <v>2004</v>
      </c>
      <c r="C55" s="1281">
        <v>76.8</v>
      </c>
      <c r="D55" s="1281">
        <v>181.5</v>
      </c>
      <c r="E55" s="1114" t="str">
        <f>IF($A55&lt;DATE(2018,7,1),"-",INDEX('I1 - Universal Data'!$E$16:$V$16, MATCH(YEAR(EOMONTH($A55,6)), 'I1 - Universal Data'!$E$14:$V$14, 0)))</f>
        <v>-</v>
      </c>
      <c r="F55" s="1114" t="str">
        <f>IF($A55&lt;DATE(2018,7,1),"-",INDEX('I1 - Universal Data'!$E$15:$V$15, MATCH(YEAR(EOMONTH($A55,6)), 'I1 - Universal Data'!$E$14:$V$14, 0)))</f>
        <v>-</v>
      </c>
      <c r="G55" s="1115">
        <f t="shared" si="5"/>
        <v>76.8</v>
      </c>
      <c r="H55" s="1115">
        <f t="shared" si="5"/>
        <v>181.5</v>
      </c>
      <c r="U55" s="1103"/>
    </row>
    <row r="56" spans="1:21">
      <c r="A56" s="1112">
        <f t="shared" si="2"/>
        <v>37802</v>
      </c>
      <c r="B56" s="1113">
        <f t="shared" si="0"/>
        <v>2004</v>
      </c>
      <c r="C56" s="1281">
        <v>76.7</v>
      </c>
      <c r="D56" s="1281">
        <v>181.3</v>
      </c>
      <c r="E56" s="1114" t="str">
        <f>IF($A56&lt;DATE(2018,7,1),"-",INDEX('I1 - Universal Data'!$E$16:$V$16, MATCH(YEAR(EOMONTH($A56,6)), 'I1 - Universal Data'!$E$14:$V$14, 0)))</f>
        <v>-</v>
      </c>
      <c r="F56" s="1114" t="str">
        <f>IF($A56&lt;DATE(2018,7,1),"-",INDEX('I1 - Universal Data'!$E$15:$V$15, MATCH(YEAR(EOMONTH($A56,6)), 'I1 - Universal Data'!$E$14:$V$14, 0)))</f>
        <v>-</v>
      </c>
      <c r="G56" s="1115">
        <f t="shared" si="5"/>
        <v>76.7</v>
      </c>
      <c r="H56" s="1115">
        <f t="shared" si="5"/>
        <v>181.3</v>
      </c>
      <c r="U56" s="1103"/>
    </row>
    <row r="57" spans="1:21">
      <c r="A57" s="1112">
        <f t="shared" si="2"/>
        <v>37833</v>
      </c>
      <c r="B57" s="1113">
        <f t="shared" si="0"/>
        <v>2004</v>
      </c>
      <c r="C57" s="1281">
        <v>76.599999999999994</v>
      </c>
      <c r="D57" s="1281">
        <v>181.3</v>
      </c>
      <c r="E57" s="1114" t="str">
        <f>IF($A57&lt;DATE(2018,7,1),"-",INDEX('I1 - Universal Data'!$E$16:$V$16, MATCH(YEAR(EOMONTH($A57,6)), 'I1 - Universal Data'!$E$14:$V$14, 0)))</f>
        <v>-</v>
      </c>
      <c r="F57" s="1114" t="str">
        <f>IF($A57&lt;DATE(2018,7,1),"-",INDEX('I1 - Universal Data'!$E$15:$V$15, MATCH(YEAR(EOMONTH($A57,6)), 'I1 - Universal Data'!$E$14:$V$14, 0)))</f>
        <v>-</v>
      </c>
      <c r="G57" s="1115">
        <f t="shared" si="5"/>
        <v>76.599999999999994</v>
      </c>
      <c r="H57" s="1115">
        <f t="shared" si="5"/>
        <v>181.3</v>
      </c>
      <c r="U57" s="1103"/>
    </row>
    <row r="58" spans="1:21">
      <c r="A58" s="1112">
        <f t="shared" si="2"/>
        <v>37864</v>
      </c>
      <c r="B58" s="1113">
        <f t="shared" si="0"/>
        <v>2004</v>
      </c>
      <c r="C58" s="1281">
        <v>76.8</v>
      </c>
      <c r="D58" s="1281">
        <v>181.6</v>
      </c>
      <c r="E58" s="1114" t="str">
        <f>IF($A58&lt;DATE(2018,7,1),"-",INDEX('I1 - Universal Data'!$E$16:$V$16, MATCH(YEAR(EOMONTH($A58,6)), 'I1 - Universal Data'!$E$14:$V$14, 0)))</f>
        <v>-</v>
      </c>
      <c r="F58" s="1114" t="str">
        <f>IF($A58&lt;DATE(2018,7,1),"-",INDEX('I1 - Universal Data'!$E$15:$V$15, MATCH(YEAR(EOMONTH($A58,6)), 'I1 - Universal Data'!$E$14:$V$14, 0)))</f>
        <v>-</v>
      </c>
      <c r="G58" s="1115">
        <f t="shared" si="5"/>
        <v>76.8</v>
      </c>
      <c r="H58" s="1115">
        <f t="shared" si="5"/>
        <v>181.6</v>
      </c>
      <c r="U58" s="1103"/>
    </row>
    <row r="59" spans="1:21">
      <c r="A59" s="1112">
        <f t="shared" si="2"/>
        <v>37894</v>
      </c>
      <c r="B59" s="1113">
        <f t="shared" si="0"/>
        <v>2004</v>
      </c>
      <c r="C59" s="1281">
        <v>77</v>
      </c>
      <c r="D59" s="1281">
        <v>182.5</v>
      </c>
      <c r="E59" s="1114" t="str">
        <f>IF($A59&lt;DATE(2018,7,1),"-",INDEX('I1 - Universal Data'!$E$16:$V$16, MATCH(YEAR(EOMONTH($A59,6)), 'I1 - Universal Data'!$E$14:$V$14, 0)))</f>
        <v>-</v>
      </c>
      <c r="F59" s="1114" t="str">
        <f>IF($A59&lt;DATE(2018,7,1),"-",INDEX('I1 - Universal Data'!$E$15:$V$15, MATCH(YEAR(EOMONTH($A59,6)), 'I1 - Universal Data'!$E$14:$V$14, 0)))</f>
        <v>-</v>
      </c>
      <c r="G59" s="1115">
        <f t="shared" si="5"/>
        <v>77</v>
      </c>
      <c r="H59" s="1115">
        <f t="shared" si="5"/>
        <v>182.5</v>
      </c>
      <c r="U59" s="1103"/>
    </row>
    <row r="60" spans="1:21">
      <c r="A60" s="1112">
        <f t="shared" si="2"/>
        <v>37925</v>
      </c>
      <c r="B60" s="1113">
        <f t="shared" si="0"/>
        <v>2004</v>
      </c>
      <c r="C60" s="1281">
        <v>77.099999999999994</v>
      </c>
      <c r="D60" s="1281">
        <v>182.6</v>
      </c>
      <c r="E60" s="1114" t="str">
        <f>IF($A60&lt;DATE(2018,7,1),"-",INDEX('I1 - Universal Data'!$E$16:$V$16, MATCH(YEAR(EOMONTH($A60,6)), 'I1 - Universal Data'!$E$14:$V$14, 0)))</f>
        <v>-</v>
      </c>
      <c r="F60" s="1114" t="str">
        <f>IF($A60&lt;DATE(2018,7,1),"-",INDEX('I1 - Universal Data'!$E$15:$V$15, MATCH(YEAR(EOMONTH($A60,6)), 'I1 - Universal Data'!$E$14:$V$14, 0)))</f>
        <v>-</v>
      </c>
      <c r="G60" s="1115">
        <f t="shared" si="5"/>
        <v>77.099999999999994</v>
      </c>
      <c r="H60" s="1115">
        <f t="shared" si="5"/>
        <v>182.6</v>
      </c>
      <c r="U60" s="1103"/>
    </row>
    <row r="61" spans="1:21">
      <c r="A61" s="1112">
        <f t="shared" si="2"/>
        <v>37955</v>
      </c>
      <c r="B61" s="1113">
        <f t="shared" si="0"/>
        <v>2004</v>
      </c>
      <c r="C61" s="1281">
        <v>77.099999999999994</v>
      </c>
      <c r="D61" s="1281">
        <v>182.7</v>
      </c>
      <c r="E61" s="1114" t="str">
        <f>IF($A61&lt;DATE(2018,7,1),"-",INDEX('I1 - Universal Data'!$E$16:$V$16, MATCH(YEAR(EOMONTH($A61,6)), 'I1 - Universal Data'!$E$14:$V$14, 0)))</f>
        <v>-</v>
      </c>
      <c r="F61" s="1114" t="str">
        <f>IF($A61&lt;DATE(2018,7,1),"-",INDEX('I1 - Universal Data'!$E$15:$V$15, MATCH(YEAR(EOMONTH($A61,6)), 'I1 - Universal Data'!$E$14:$V$14, 0)))</f>
        <v>-</v>
      </c>
      <c r="G61" s="1115">
        <f t="shared" si="5"/>
        <v>77.099999999999994</v>
      </c>
      <c r="H61" s="1115">
        <f t="shared" si="5"/>
        <v>182.7</v>
      </c>
      <c r="U61" s="1103"/>
    </row>
    <row r="62" spans="1:21">
      <c r="A62" s="1112">
        <f t="shared" si="2"/>
        <v>37986</v>
      </c>
      <c r="B62" s="1113">
        <f t="shared" si="0"/>
        <v>2004</v>
      </c>
      <c r="C62" s="1281">
        <v>77.3</v>
      </c>
      <c r="D62" s="1281">
        <v>183.5</v>
      </c>
      <c r="E62" s="1114" t="str">
        <f>IF($A62&lt;DATE(2018,7,1),"-",INDEX('I1 - Universal Data'!$E$16:$V$16, MATCH(YEAR(EOMONTH($A62,6)), 'I1 - Universal Data'!$E$14:$V$14, 0)))</f>
        <v>-</v>
      </c>
      <c r="F62" s="1114" t="str">
        <f>IF($A62&lt;DATE(2018,7,1),"-",INDEX('I1 - Universal Data'!$E$15:$V$15, MATCH(YEAR(EOMONTH($A62,6)), 'I1 - Universal Data'!$E$14:$V$14, 0)))</f>
        <v>-</v>
      </c>
      <c r="G62" s="1115">
        <f t="shared" si="5"/>
        <v>77.3</v>
      </c>
      <c r="H62" s="1115">
        <f t="shared" si="5"/>
        <v>183.5</v>
      </c>
      <c r="U62" s="1103"/>
    </row>
    <row r="63" spans="1:21">
      <c r="A63" s="1112">
        <f t="shared" si="2"/>
        <v>38017</v>
      </c>
      <c r="B63" s="1113">
        <f t="shared" si="0"/>
        <v>2004</v>
      </c>
      <c r="C63" s="1281">
        <v>77</v>
      </c>
      <c r="D63" s="1281">
        <v>183.1</v>
      </c>
      <c r="E63" s="1114" t="str">
        <f>IF($A63&lt;DATE(2018,7,1),"-",INDEX('I1 - Universal Data'!$E$16:$V$16, MATCH(YEAR(EOMONTH($A63,6)), 'I1 - Universal Data'!$E$14:$V$14, 0)))</f>
        <v>-</v>
      </c>
      <c r="F63" s="1114" t="str">
        <f>IF($A63&lt;DATE(2018,7,1),"-",INDEX('I1 - Universal Data'!$E$15:$V$15, MATCH(YEAR(EOMONTH($A63,6)), 'I1 - Universal Data'!$E$14:$V$14, 0)))</f>
        <v>-</v>
      </c>
      <c r="G63" s="1115">
        <f t="shared" si="5"/>
        <v>77</v>
      </c>
      <c r="H63" s="1115">
        <f t="shared" si="5"/>
        <v>183.1</v>
      </c>
      <c r="U63" s="1103"/>
    </row>
    <row r="64" spans="1:21">
      <c r="A64" s="1112">
        <f t="shared" si="2"/>
        <v>38046</v>
      </c>
      <c r="B64" s="1113">
        <f t="shared" si="0"/>
        <v>2004</v>
      </c>
      <c r="C64" s="1281">
        <v>77.2</v>
      </c>
      <c r="D64" s="1281">
        <v>183.8</v>
      </c>
      <c r="E64" s="1114" t="str">
        <f>IF($A64&lt;DATE(2018,7,1),"-",INDEX('I1 - Universal Data'!$E$16:$V$16, MATCH(YEAR(EOMONTH($A64,6)), 'I1 - Universal Data'!$E$14:$V$14, 0)))</f>
        <v>-</v>
      </c>
      <c r="F64" s="1114" t="str">
        <f>IF($A64&lt;DATE(2018,7,1),"-",INDEX('I1 - Universal Data'!$E$15:$V$15, MATCH(YEAR(EOMONTH($A64,6)), 'I1 - Universal Data'!$E$14:$V$14, 0)))</f>
        <v>-</v>
      </c>
      <c r="G64" s="1115">
        <f t="shared" si="5"/>
        <v>77.2</v>
      </c>
      <c r="H64" s="1115">
        <f t="shared" si="5"/>
        <v>183.8</v>
      </c>
      <c r="U64" s="1103"/>
    </row>
    <row r="65" spans="1:21">
      <c r="A65" s="1112">
        <f t="shared" si="2"/>
        <v>38077</v>
      </c>
      <c r="B65" s="1113">
        <f t="shared" si="0"/>
        <v>2004</v>
      </c>
      <c r="C65" s="1281">
        <v>77.3</v>
      </c>
      <c r="D65" s="1281">
        <v>184.6</v>
      </c>
      <c r="E65" s="1114" t="str">
        <f>IF($A65&lt;DATE(2018,7,1),"-",INDEX('I1 - Universal Data'!$E$16:$V$16, MATCH(YEAR(EOMONTH($A65,6)), 'I1 - Universal Data'!$E$14:$V$14, 0)))</f>
        <v>-</v>
      </c>
      <c r="F65" s="1114" t="str">
        <f>IF($A65&lt;DATE(2018,7,1),"-",INDEX('I1 - Universal Data'!$E$15:$V$15, MATCH(YEAR(EOMONTH($A65,6)), 'I1 - Universal Data'!$E$14:$V$14, 0)))</f>
        <v>-</v>
      </c>
      <c r="G65" s="1115">
        <f t="shared" si="5"/>
        <v>77.3</v>
      </c>
      <c r="H65" s="1115">
        <f t="shared" si="5"/>
        <v>184.6</v>
      </c>
      <c r="U65" s="1103"/>
    </row>
    <row r="66" spans="1:21">
      <c r="A66" s="1112">
        <f t="shared" si="2"/>
        <v>38107</v>
      </c>
      <c r="B66" s="1113">
        <f t="shared" si="0"/>
        <v>2005</v>
      </c>
      <c r="C66" s="1281">
        <v>77.599999999999994</v>
      </c>
      <c r="D66" s="1281">
        <v>185.7</v>
      </c>
      <c r="E66" s="1114" t="str">
        <f>IF($A66&lt;DATE(2018,7,1),"-",INDEX('I1 - Universal Data'!$E$16:$V$16, MATCH(YEAR(EOMONTH($A66,6)), 'I1 - Universal Data'!$E$14:$V$14, 0)))</f>
        <v>-</v>
      </c>
      <c r="F66" s="1114" t="str">
        <f>IF($A66&lt;DATE(2018,7,1),"-",INDEX('I1 - Universal Data'!$E$15:$V$15, MATCH(YEAR(EOMONTH($A66,6)), 'I1 - Universal Data'!$E$14:$V$14, 0)))</f>
        <v>-</v>
      </c>
      <c r="G66" s="1115">
        <f t="shared" si="5"/>
        <v>77.599999999999994</v>
      </c>
      <c r="H66" s="1115">
        <f t="shared" si="5"/>
        <v>185.7</v>
      </c>
      <c r="U66" s="1103"/>
    </row>
    <row r="67" spans="1:21">
      <c r="A67" s="1112">
        <f t="shared" si="2"/>
        <v>38138</v>
      </c>
      <c r="B67" s="1113">
        <f t="shared" si="0"/>
        <v>2005</v>
      </c>
      <c r="C67" s="1281">
        <v>77.900000000000006</v>
      </c>
      <c r="D67" s="1281">
        <v>186.5</v>
      </c>
      <c r="E67" s="1114" t="str">
        <f>IF($A67&lt;DATE(2018,7,1),"-",INDEX('I1 - Universal Data'!$E$16:$V$16, MATCH(YEAR(EOMONTH($A67,6)), 'I1 - Universal Data'!$E$14:$V$14, 0)))</f>
        <v>-</v>
      </c>
      <c r="F67" s="1114" t="str">
        <f>IF($A67&lt;DATE(2018,7,1),"-",INDEX('I1 - Universal Data'!$E$15:$V$15, MATCH(YEAR(EOMONTH($A67,6)), 'I1 - Universal Data'!$E$14:$V$14, 0)))</f>
        <v>-</v>
      </c>
      <c r="G67" s="1115">
        <f t="shared" si="5"/>
        <v>77.900000000000006</v>
      </c>
      <c r="H67" s="1115">
        <f t="shared" si="5"/>
        <v>186.5</v>
      </c>
      <c r="U67" s="1103"/>
    </row>
    <row r="68" spans="1:21">
      <c r="A68" s="1112">
        <f t="shared" si="2"/>
        <v>38168</v>
      </c>
      <c r="B68" s="1113">
        <f t="shared" si="0"/>
        <v>2005</v>
      </c>
      <c r="C68" s="1281">
        <v>77.900000000000006</v>
      </c>
      <c r="D68" s="1281">
        <v>186.8</v>
      </c>
      <c r="E68" s="1114" t="str">
        <f>IF($A68&lt;DATE(2018,7,1),"-",INDEX('I1 - Universal Data'!$E$16:$V$16, MATCH(YEAR(EOMONTH($A68,6)), 'I1 - Universal Data'!$E$14:$V$14, 0)))</f>
        <v>-</v>
      </c>
      <c r="F68" s="1114" t="str">
        <f>IF($A68&lt;DATE(2018,7,1),"-",INDEX('I1 - Universal Data'!$E$15:$V$15, MATCH(YEAR(EOMONTH($A68,6)), 'I1 - Universal Data'!$E$14:$V$14, 0)))</f>
        <v>-</v>
      </c>
      <c r="G68" s="1115">
        <f t="shared" si="5"/>
        <v>77.900000000000006</v>
      </c>
      <c r="H68" s="1115">
        <f t="shared" si="5"/>
        <v>186.8</v>
      </c>
      <c r="U68" s="1103"/>
    </row>
    <row r="69" spans="1:21">
      <c r="A69" s="1112">
        <f t="shared" si="2"/>
        <v>38199</v>
      </c>
      <c r="B69" s="1113">
        <f t="shared" si="0"/>
        <v>2005</v>
      </c>
      <c r="C69" s="1281">
        <v>77.7</v>
      </c>
      <c r="D69" s="1281">
        <v>186.8</v>
      </c>
      <c r="E69" s="1114" t="str">
        <f>IF($A69&lt;DATE(2018,7,1),"-",INDEX('I1 - Universal Data'!$E$16:$V$16, MATCH(YEAR(EOMONTH($A69,6)), 'I1 - Universal Data'!$E$14:$V$14, 0)))</f>
        <v>-</v>
      </c>
      <c r="F69" s="1114" t="str">
        <f>IF($A69&lt;DATE(2018,7,1),"-",INDEX('I1 - Universal Data'!$E$15:$V$15, MATCH(YEAR(EOMONTH($A69,6)), 'I1 - Universal Data'!$E$14:$V$14, 0)))</f>
        <v>-</v>
      </c>
      <c r="G69" s="1115">
        <f t="shared" si="5"/>
        <v>77.7</v>
      </c>
      <c r="H69" s="1115">
        <f t="shared" si="5"/>
        <v>186.8</v>
      </c>
      <c r="U69" s="1103"/>
    </row>
    <row r="70" spans="1:21">
      <c r="A70" s="1112">
        <f t="shared" si="2"/>
        <v>38230</v>
      </c>
      <c r="B70" s="1113">
        <f t="shared" ref="B70:B133" si="6">IF(MONTH(A70)&gt;=4,YEAR(A70)+1,YEAR(A70))</f>
        <v>2005</v>
      </c>
      <c r="C70" s="1281">
        <v>77.900000000000006</v>
      </c>
      <c r="D70" s="1281">
        <v>187.4</v>
      </c>
      <c r="E70" s="1114" t="str">
        <f>IF($A70&lt;DATE(2018,7,1),"-",INDEX('I1 - Universal Data'!$E$16:$V$16, MATCH(YEAR(EOMONTH($A70,6)), 'I1 - Universal Data'!$E$14:$V$14, 0)))</f>
        <v>-</v>
      </c>
      <c r="F70" s="1114" t="str">
        <f>IF($A70&lt;DATE(2018,7,1),"-",INDEX('I1 - Universal Data'!$E$15:$V$15, MATCH(YEAR(EOMONTH($A70,6)), 'I1 - Universal Data'!$E$14:$V$14, 0)))</f>
        <v>-</v>
      </c>
      <c r="G70" s="1115">
        <f t="shared" ref="G70:H85" si="7">IF(ISBLANK(C70),G69*((1+E70)^(1/12)),C70)</f>
        <v>77.900000000000006</v>
      </c>
      <c r="H70" s="1115">
        <f t="shared" si="7"/>
        <v>187.4</v>
      </c>
      <c r="U70" s="1103"/>
    </row>
    <row r="71" spans="1:21">
      <c r="A71" s="1112">
        <f t="shared" ref="A71:A134" si="8">IF(MONTH(A70) = 12, EOMONTH(DATE(YEAR(A70) + 1, 1, 1), 0), EOMONTH(DATE(YEAR(A70), MONTH(A70) + 1, 1), 0))</f>
        <v>38260</v>
      </c>
      <c r="B71" s="1113">
        <f t="shared" si="6"/>
        <v>2005</v>
      </c>
      <c r="C71" s="1281">
        <v>77.900000000000006</v>
      </c>
      <c r="D71" s="1281">
        <v>188.1</v>
      </c>
      <c r="E71" s="1114" t="str">
        <f>IF($A71&lt;DATE(2018,7,1),"-",INDEX('I1 - Universal Data'!$E$16:$V$16, MATCH(YEAR(EOMONTH($A71,6)), 'I1 - Universal Data'!$E$14:$V$14, 0)))</f>
        <v>-</v>
      </c>
      <c r="F71" s="1114" t="str">
        <f>IF($A71&lt;DATE(2018,7,1),"-",INDEX('I1 - Universal Data'!$E$15:$V$15, MATCH(YEAR(EOMONTH($A71,6)), 'I1 - Universal Data'!$E$14:$V$14, 0)))</f>
        <v>-</v>
      </c>
      <c r="G71" s="1115">
        <f t="shared" si="7"/>
        <v>77.900000000000006</v>
      </c>
      <c r="H71" s="1115">
        <f t="shared" si="7"/>
        <v>188.1</v>
      </c>
      <c r="U71" s="1103"/>
    </row>
    <row r="72" spans="1:21">
      <c r="A72" s="1112">
        <f t="shared" si="8"/>
        <v>38291</v>
      </c>
      <c r="B72" s="1113">
        <f t="shared" si="6"/>
        <v>2005</v>
      </c>
      <c r="C72" s="1281">
        <v>78.099999999999994</v>
      </c>
      <c r="D72" s="1281">
        <v>188.6</v>
      </c>
      <c r="E72" s="1114" t="str">
        <f>IF($A72&lt;DATE(2018,7,1),"-",INDEX('I1 - Universal Data'!$E$16:$V$16, MATCH(YEAR(EOMONTH($A72,6)), 'I1 - Universal Data'!$E$14:$V$14, 0)))</f>
        <v>-</v>
      </c>
      <c r="F72" s="1114" t="str">
        <f>IF($A72&lt;DATE(2018,7,1),"-",INDEX('I1 - Universal Data'!$E$15:$V$15, MATCH(YEAR(EOMONTH($A72,6)), 'I1 - Universal Data'!$E$14:$V$14, 0)))</f>
        <v>-</v>
      </c>
      <c r="G72" s="1115">
        <f t="shared" si="7"/>
        <v>78.099999999999994</v>
      </c>
      <c r="H72" s="1115">
        <f t="shared" si="7"/>
        <v>188.6</v>
      </c>
      <c r="U72" s="1103"/>
    </row>
    <row r="73" spans="1:21">
      <c r="A73" s="1112">
        <f t="shared" si="8"/>
        <v>38321</v>
      </c>
      <c r="B73" s="1113">
        <f t="shared" si="6"/>
        <v>2005</v>
      </c>
      <c r="C73" s="1281">
        <v>78.3</v>
      </c>
      <c r="D73" s="1281">
        <v>189</v>
      </c>
      <c r="E73" s="1114" t="str">
        <f>IF($A73&lt;DATE(2018,7,1),"-",INDEX('I1 - Universal Data'!$E$16:$V$16, MATCH(YEAR(EOMONTH($A73,6)), 'I1 - Universal Data'!$E$14:$V$14, 0)))</f>
        <v>-</v>
      </c>
      <c r="F73" s="1114" t="str">
        <f>IF($A73&lt;DATE(2018,7,1),"-",INDEX('I1 - Universal Data'!$E$15:$V$15, MATCH(YEAR(EOMONTH($A73,6)), 'I1 - Universal Data'!$E$14:$V$14, 0)))</f>
        <v>-</v>
      </c>
      <c r="G73" s="1115">
        <f t="shared" si="7"/>
        <v>78.3</v>
      </c>
      <c r="H73" s="1115">
        <f t="shared" si="7"/>
        <v>189</v>
      </c>
      <c r="U73" s="1103"/>
    </row>
    <row r="74" spans="1:21">
      <c r="A74" s="1112">
        <f t="shared" si="8"/>
        <v>38352</v>
      </c>
      <c r="B74" s="1113">
        <f t="shared" si="6"/>
        <v>2005</v>
      </c>
      <c r="C74" s="1281">
        <v>78.599999999999994</v>
      </c>
      <c r="D74" s="1281">
        <v>189.9</v>
      </c>
      <c r="E74" s="1114" t="str">
        <f>IF($A74&lt;DATE(2018,7,1),"-",INDEX('I1 - Universal Data'!$E$16:$V$16, MATCH(YEAR(EOMONTH($A74,6)), 'I1 - Universal Data'!$E$14:$V$14, 0)))</f>
        <v>-</v>
      </c>
      <c r="F74" s="1114" t="str">
        <f>IF($A74&lt;DATE(2018,7,1),"-",INDEX('I1 - Universal Data'!$E$15:$V$15, MATCH(YEAR(EOMONTH($A74,6)), 'I1 - Universal Data'!$E$14:$V$14, 0)))</f>
        <v>-</v>
      </c>
      <c r="G74" s="1115">
        <f t="shared" si="7"/>
        <v>78.599999999999994</v>
      </c>
      <c r="H74" s="1115">
        <f t="shared" si="7"/>
        <v>189.9</v>
      </c>
      <c r="U74" s="1103"/>
    </row>
    <row r="75" spans="1:21">
      <c r="A75" s="1112">
        <f t="shared" si="8"/>
        <v>38383</v>
      </c>
      <c r="B75" s="1113">
        <f t="shared" si="6"/>
        <v>2005</v>
      </c>
      <c r="C75" s="1281">
        <v>78.3</v>
      </c>
      <c r="D75" s="1281">
        <v>188.9</v>
      </c>
      <c r="E75" s="1114" t="str">
        <f>IF($A75&lt;DATE(2018,7,1),"-",INDEX('I1 - Universal Data'!$E$16:$V$16, MATCH(YEAR(EOMONTH($A75,6)), 'I1 - Universal Data'!$E$14:$V$14, 0)))</f>
        <v>-</v>
      </c>
      <c r="F75" s="1114" t="str">
        <f>IF($A75&lt;DATE(2018,7,1),"-",INDEX('I1 - Universal Data'!$E$15:$V$15, MATCH(YEAR(EOMONTH($A75,6)), 'I1 - Universal Data'!$E$14:$V$14, 0)))</f>
        <v>-</v>
      </c>
      <c r="G75" s="1115">
        <f t="shared" si="7"/>
        <v>78.3</v>
      </c>
      <c r="H75" s="1115">
        <f t="shared" si="7"/>
        <v>188.9</v>
      </c>
      <c r="U75" s="1103"/>
    </row>
    <row r="76" spans="1:21">
      <c r="A76" s="1112">
        <f t="shared" si="8"/>
        <v>38411</v>
      </c>
      <c r="B76" s="1113">
        <f t="shared" si="6"/>
        <v>2005</v>
      </c>
      <c r="C76" s="1281">
        <v>78.5</v>
      </c>
      <c r="D76" s="1281">
        <v>189.6</v>
      </c>
      <c r="E76" s="1114" t="str">
        <f>IF($A76&lt;DATE(2018,7,1),"-",INDEX('I1 - Universal Data'!$E$16:$V$16, MATCH(YEAR(EOMONTH($A76,6)), 'I1 - Universal Data'!$E$14:$V$14, 0)))</f>
        <v>-</v>
      </c>
      <c r="F76" s="1114" t="str">
        <f>IF($A76&lt;DATE(2018,7,1),"-",INDEX('I1 - Universal Data'!$E$15:$V$15, MATCH(YEAR(EOMONTH($A76,6)), 'I1 - Universal Data'!$E$14:$V$14, 0)))</f>
        <v>-</v>
      </c>
      <c r="G76" s="1115">
        <f t="shared" si="7"/>
        <v>78.5</v>
      </c>
      <c r="H76" s="1115">
        <f t="shared" si="7"/>
        <v>189.6</v>
      </c>
      <c r="U76" s="1103"/>
    </row>
    <row r="77" spans="1:21">
      <c r="A77" s="1112">
        <f t="shared" si="8"/>
        <v>38442</v>
      </c>
      <c r="B77" s="1113">
        <f t="shared" si="6"/>
        <v>2005</v>
      </c>
      <c r="C77" s="1281">
        <v>78.8</v>
      </c>
      <c r="D77" s="1281">
        <v>190.5</v>
      </c>
      <c r="E77" s="1114" t="str">
        <f>IF($A77&lt;DATE(2018,7,1),"-",INDEX('I1 - Universal Data'!$E$16:$V$16, MATCH(YEAR(EOMONTH($A77,6)), 'I1 - Universal Data'!$E$14:$V$14, 0)))</f>
        <v>-</v>
      </c>
      <c r="F77" s="1114" t="str">
        <f>IF($A77&lt;DATE(2018,7,1),"-",INDEX('I1 - Universal Data'!$E$15:$V$15, MATCH(YEAR(EOMONTH($A77,6)), 'I1 - Universal Data'!$E$14:$V$14, 0)))</f>
        <v>-</v>
      </c>
      <c r="G77" s="1115">
        <f t="shared" si="7"/>
        <v>78.8</v>
      </c>
      <c r="H77" s="1115">
        <f t="shared" si="7"/>
        <v>190.5</v>
      </c>
      <c r="U77" s="1103"/>
    </row>
    <row r="78" spans="1:21">
      <c r="A78" s="1112">
        <f t="shared" si="8"/>
        <v>38472</v>
      </c>
      <c r="B78" s="1113">
        <f t="shared" si="6"/>
        <v>2006</v>
      </c>
      <c r="C78" s="1281">
        <v>79.099999999999994</v>
      </c>
      <c r="D78" s="1281">
        <v>191.6</v>
      </c>
      <c r="E78" s="1114" t="str">
        <f>IF($A78&lt;DATE(2018,7,1),"-",INDEX('I1 - Universal Data'!$E$16:$V$16, MATCH(YEAR(EOMONTH($A78,6)), 'I1 - Universal Data'!$E$14:$V$14, 0)))</f>
        <v>-</v>
      </c>
      <c r="F78" s="1114" t="str">
        <f>IF($A78&lt;DATE(2018,7,1),"-",INDEX('I1 - Universal Data'!$E$15:$V$15, MATCH(YEAR(EOMONTH($A78,6)), 'I1 - Universal Data'!$E$14:$V$14, 0)))</f>
        <v>-</v>
      </c>
      <c r="G78" s="1115">
        <f t="shared" si="7"/>
        <v>79.099999999999994</v>
      </c>
      <c r="H78" s="1115">
        <f t="shared" si="7"/>
        <v>191.6</v>
      </c>
      <c r="U78" s="1103"/>
    </row>
    <row r="79" spans="1:21">
      <c r="A79" s="1112">
        <f t="shared" si="8"/>
        <v>38503</v>
      </c>
      <c r="B79" s="1113">
        <f t="shared" si="6"/>
        <v>2006</v>
      </c>
      <c r="C79" s="1281">
        <v>79.400000000000006</v>
      </c>
      <c r="D79" s="1281">
        <v>192</v>
      </c>
      <c r="E79" s="1114" t="str">
        <f>IF($A79&lt;DATE(2018,7,1),"-",INDEX('I1 - Universal Data'!$E$16:$V$16, MATCH(YEAR(EOMONTH($A79,6)), 'I1 - Universal Data'!$E$14:$V$14, 0)))</f>
        <v>-</v>
      </c>
      <c r="F79" s="1114" t="str">
        <f>IF($A79&lt;DATE(2018,7,1),"-",INDEX('I1 - Universal Data'!$E$15:$V$15, MATCH(YEAR(EOMONTH($A79,6)), 'I1 - Universal Data'!$E$14:$V$14, 0)))</f>
        <v>-</v>
      </c>
      <c r="G79" s="1115">
        <f t="shared" si="7"/>
        <v>79.400000000000006</v>
      </c>
      <c r="H79" s="1115">
        <f t="shared" si="7"/>
        <v>192</v>
      </c>
      <c r="U79" s="1103"/>
    </row>
    <row r="80" spans="1:21">
      <c r="A80" s="1112">
        <f t="shared" si="8"/>
        <v>38533</v>
      </c>
      <c r="B80" s="1113">
        <f t="shared" si="6"/>
        <v>2006</v>
      </c>
      <c r="C80" s="1281">
        <v>79.400000000000006</v>
      </c>
      <c r="D80" s="1281">
        <v>192.2</v>
      </c>
      <c r="E80" s="1114" t="str">
        <f>IF($A80&lt;DATE(2018,7,1),"-",INDEX('I1 - Universal Data'!$E$16:$V$16, MATCH(YEAR(EOMONTH($A80,6)), 'I1 - Universal Data'!$E$14:$V$14, 0)))</f>
        <v>-</v>
      </c>
      <c r="F80" s="1114" t="str">
        <f>IF($A80&lt;DATE(2018,7,1),"-",INDEX('I1 - Universal Data'!$E$15:$V$15, MATCH(YEAR(EOMONTH($A80,6)), 'I1 - Universal Data'!$E$14:$V$14, 0)))</f>
        <v>-</v>
      </c>
      <c r="G80" s="1115">
        <f t="shared" si="7"/>
        <v>79.400000000000006</v>
      </c>
      <c r="H80" s="1115">
        <f t="shared" si="7"/>
        <v>192.2</v>
      </c>
      <c r="U80" s="1103"/>
    </row>
    <row r="81" spans="1:21">
      <c r="A81" s="1112">
        <f t="shared" si="8"/>
        <v>38564</v>
      </c>
      <c r="B81" s="1113">
        <f t="shared" si="6"/>
        <v>2006</v>
      </c>
      <c r="C81" s="1281">
        <v>79.5</v>
      </c>
      <c r="D81" s="1281">
        <v>192.2</v>
      </c>
      <c r="E81" s="1114" t="str">
        <f>IF($A81&lt;DATE(2018,7,1),"-",INDEX('I1 - Universal Data'!$E$16:$V$16, MATCH(YEAR(EOMONTH($A81,6)), 'I1 - Universal Data'!$E$14:$V$14, 0)))</f>
        <v>-</v>
      </c>
      <c r="F81" s="1114" t="str">
        <f>IF($A81&lt;DATE(2018,7,1),"-",INDEX('I1 - Universal Data'!$E$15:$V$15, MATCH(YEAR(EOMONTH($A81,6)), 'I1 - Universal Data'!$E$14:$V$14, 0)))</f>
        <v>-</v>
      </c>
      <c r="G81" s="1115">
        <f t="shared" si="7"/>
        <v>79.5</v>
      </c>
      <c r="H81" s="1115">
        <f t="shared" si="7"/>
        <v>192.2</v>
      </c>
      <c r="U81" s="1103"/>
    </row>
    <row r="82" spans="1:21">
      <c r="A82" s="1112">
        <f t="shared" si="8"/>
        <v>38595</v>
      </c>
      <c r="B82" s="1113">
        <f t="shared" si="6"/>
        <v>2006</v>
      </c>
      <c r="C82" s="1281">
        <v>79.7</v>
      </c>
      <c r="D82" s="1281">
        <v>192.6</v>
      </c>
      <c r="E82" s="1114" t="str">
        <f>IF($A82&lt;DATE(2018,7,1),"-",INDEX('I1 - Universal Data'!$E$16:$V$16, MATCH(YEAR(EOMONTH($A82,6)), 'I1 - Universal Data'!$E$14:$V$14, 0)))</f>
        <v>-</v>
      </c>
      <c r="F82" s="1114" t="str">
        <f>IF($A82&lt;DATE(2018,7,1),"-",INDEX('I1 - Universal Data'!$E$15:$V$15, MATCH(YEAR(EOMONTH($A82,6)), 'I1 - Universal Data'!$E$14:$V$14, 0)))</f>
        <v>-</v>
      </c>
      <c r="G82" s="1115">
        <f t="shared" si="7"/>
        <v>79.7</v>
      </c>
      <c r="H82" s="1115">
        <f t="shared" si="7"/>
        <v>192.6</v>
      </c>
      <c r="U82" s="1103"/>
    </row>
    <row r="83" spans="1:21">
      <c r="A83" s="1112">
        <f t="shared" si="8"/>
        <v>38625</v>
      </c>
      <c r="B83" s="1113">
        <f t="shared" si="6"/>
        <v>2006</v>
      </c>
      <c r="C83" s="1281">
        <v>79.900000000000006</v>
      </c>
      <c r="D83" s="1281">
        <v>193.1</v>
      </c>
      <c r="E83" s="1114" t="str">
        <f>IF($A83&lt;DATE(2018,7,1),"-",INDEX('I1 - Universal Data'!$E$16:$V$16, MATCH(YEAR(EOMONTH($A83,6)), 'I1 - Universal Data'!$E$14:$V$14, 0)))</f>
        <v>-</v>
      </c>
      <c r="F83" s="1114" t="str">
        <f>IF($A83&lt;DATE(2018,7,1),"-",INDEX('I1 - Universal Data'!$E$15:$V$15, MATCH(YEAR(EOMONTH($A83,6)), 'I1 - Universal Data'!$E$14:$V$14, 0)))</f>
        <v>-</v>
      </c>
      <c r="G83" s="1115">
        <f t="shared" si="7"/>
        <v>79.900000000000006</v>
      </c>
      <c r="H83" s="1115">
        <f t="shared" si="7"/>
        <v>193.1</v>
      </c>
      <c r="U83" s="1103"/>
    </row>
    <row r="84" spans="1:21">
      <c r="A84" s="1112">
        <f t="shared" si="8"/>
        <v>38656</v>
      </c>
      <c r="B84" s="1113">
        <f t="shared" si="6"/>
        <v>2006</v>
      </c>
      <c r="C84" s="1281">
        <v>80</v>
      </c>
      <c r="D84" s="1281">
        <v>193.3</v>
      </c>
      <c r="E84" s="1114" t="str">
        <f>IF($A84&lt;DATE(2018,7,1),"-",INDEX('I1 - Universal Data'!$E$16:$V$16, MATCH(YEAR(EOMONTH($A84,6)), 'I1 - Universal Data'!$E$14:$V$14, 0)))</f>
        <v>-</v>
      </c>
      <c r="F84" s="1114" t="str">
        <f>IF($A84&lt;DATE(2018,7,1),"-",INDEX('I1 - Universal Data'!$E$15:$V$15, MATCH(YEAR(EOMONTH($A84,6)), 'I1 - Universal Data'!$E$14:$V$14, 0)))</f>
        <v>-</v>
      </c>
      <c r="G84" s="1115">
        <f t="shared" si="7"/>
        <v>80</v>
      </c>
      <c r="H84" s="1115">
        <f t="shared" si="7"/>
        <v>193.3</v>
      </c>
      <c r="U84" s="1103"/>
    </row>
    <row r="85" spans="1:21">
      <c r="A85" s="1112">
        <f t="shared" si="8"/>
        <v>38686</v>
      </c>
      <c r="B85" s="1113">
        <f t="shared" si="6"/>
        <v>2006</v>
      </c>
      <c r="C85" s="1281">
        <v>80</v>
      </c>
      <c r="D85" s="1281">
        <v>193.6</v>
      </c>
      <c r="E85" s="1114" t="str">
        <f>IF($A85&lt;DATE(2018,7,1),"-",INDEX('I1 - Universal Data'!$E$16:$V$16, MATCH(YEAR(EOMONTH($A85,6)), 'I1 - Universal Data'!$E$14:$V$14, 0)))</f>
        <v>-</v>
      </c>
      <c r="F85" s="1114" t="str">
        <f>IF($A85&lt;DATE(2018,7,1),"-",INDEX('I1 - Universal Data'!$E$15:$V$15, MATCH(YEAR(EOMONTH($A85,6)), 'I1 - Universal Data'!$E$14:$V$14, 0)))</f>
        <v>-</v>
      </c>
      <c r="G85" s="1115">
        <f t="shared" si="7"/>
        <v>80</v>
      </c>
      <c r="H85" s="1115">
        <f t="shared" si="7"/>
        <v>193.6</v>
      </c>
      <c r="U85" s="1103"/>
    </row>
    <row r="86" spans="1:21">
      <c r="A86" s="1112">
        <f t="shared" si="8"/>
        <v>38717</v>
      </c>
      <c r="B86" s="1113">
        <f t="shared" si="6"/>
        <v>2006</v>
      </c>
      <c r="C86" s="1281">
        <v>80.3</v>
      </c>
      <c r="D86" s="1281">
        <v>194.1</v>
      </c>
      <c r="E86" s="1114" t="str">
        <f>IF($A86&lt;DATE(2018,7,1),"-",INDEX('I1 - Universal Data'!$E$16:$V$16, MATCH(YEAR(EOMONTH($A86,6)), 'I1 - Universal Data'!$E$14:$V$14, 0)))</f>
        <v>-</v>
      </c>
      <c r="F86" s="1114" t="str">
        <f>IF($A86&lt;DATE(2018,7,1),"-",INDEX('I1 - Universal Data'!$E$15:$V$15, MATCH(YEAR(EOMONTH($A86,6)), 'I1 - Universal Data'!$E$14:$V$14, 0)))</f>
        <v>-</v>
      </c>
      <c r="G86" s="1115">
        <f t="shared" ref="G86:H101" si="9">IF(ISBLANK(C86),G85*((1+E86)^(1/12)),C86)</f>
        <v>80.3</v>
      </c>
      <c r="H86" s="1115">
        <f t="shared" si="9"/>
        <v>194.1</v>
      </c>
      <c r="U86" s="1103"/>
    </row>
    <row r="87" spans="1:21">
      <c r="A87" s="1112">
        <f t="shared" si="8"/>
        <v>38748</v>
      </c>
      <c r="B87" s="1113">
        <f t="shared" si="6"/>
        <v>2006</v>
      </c>
      <c r="C87" s="1281">
        <v>80</v>
      </c>
      <c r="D87" s="1281">
        <v>193.4</v>
      </c>
      <c r="E87" s="1114" t="str">
        <f>IF($A87&lt;DATE(2018,7,1),"-",INDEX('I1 - Universal Data'!$E$16:$V$16, MATCH(YEAR(EOMONTH($A87,6)), 'I1 - Universal Data'!$E$14:$V$14, 0)))</f>
        <v>-</v>
      </c>
      <c r="F87" s="1114" t="str">
        <f>IF($A87&lt;DATE(2018,7,1),"-",INDEX('I1 - Universal Data'!$E$15:$V$15, MATCH(YEAR(EOMONTH($A87,6)), 'I1 - Universal Data'!$E$14:$V$14, 0)))</f>
        <v>-</v>
      </c>
      <c r="G87" s="1115">
        <f t="shared" si="9"/>
        <v>80</v>
      </c>
      <c r="H87" s="1115">
        <f t="shared" si="9"/>
        <v>193.4</v>
      </c>
      <c r="U87" s="1103"/>
    </row>
    <row r="88" spans="1:21">
      <c r="A88" s="1112">
        <f t="shared" si="8"/>
        <v>38776</v>
      </c>
      <c r="B88" s="1113">
        <f t="shared" si="6"/>
        <v>2006</v>
      </c>
      <c r="C88" s="1281">
        <v>80.2</v>
      </c>
      <c r="D88" s="1281">
        <v>194.2</v>
      </c>
      <c r="E88" s="1114" t="str">
        <f>IF($A88&lt;DATE(2018,7,1),"-",INDEX('I1 - Universal Data'!$E$16:$V$16, MATCH(YEAR(EOMONTH($A88,6)), 'I1 - Universal Data'!$E$14:$V$14, 0)))</f>
        <v>-</v>
      </c>
      <c r="F88" s="1114" t="str">
        <f>IF($A88&lt;DATE(2018,7,1),"-",INDEX('I1 - Universal Data'!$E$15:$V$15, MATCH(YEAR(EOMONTH($A88,6)), 'I1 - Universal Data'!$E$14:$V$14, 0)))</f>
        <v>-</v>
      </c>
      <c r="G88" s="1115">
        <f t="shared" si="9"/>
        <v>80.2</v>
      </c>
      <c r="H88" s="1115">
        <f t="shared" si="9"/>
        <v>194.2</v>
      </c>
      <c r="U88" s="1103"/>
    </row>
    <row r="89" spans="1:21">
      <c r="A89" s="1112">
        <f t="shared" si="8"/>
        <v>38807</v>
      </c>
      <c r="B89" s="1113">
        <f t="shared" si="6"/>
        <v>2006</v>
      </c>
      <c r="C89" s="1281">
        <v>80.400000000000006</v>
      </c>
      <c r="D89" s="1281">
        <v>195</v>
      </c>
      <c r="E89" s="1114" t="str">
        <f>IF($A89&lt;DATE(2018,7,1),"-",INDEX('I1 - Universal Data'!$E$16:$V$16, MATCH(YEAR(EOMONTH($A89,6)), 'I1 - Universal Data'!$E$14:$V$14, 0)))</f>
        <v>-</v>
      </c>
      <c r="F89" s="1114" t="str">
        <f>IF($A89&lt;DATE(2018,7,1),"-",INDEX('I1 - Universal Data'!$E$15:$V$15, MATCH(YEAR(EOMONTH($A89,6)), 'I1 - Universal Data'!$E$14:$V$14, 0)))</f>
        <v>-</v>
      </c>
      <c r="G89" s="1115">
        <f t="shared" si="9"/>
        <v>80.400000000000006</v>
      </c>
      <c r="H89" s="1115">
        <f t="shared" si="9"/>
        <v>195</v>
      </c>
      <c r="U89" s="1103"/>
    </row>
    <row r="90" spans="1:21">
      <c r="A90" s="1112">
        <f t="shared" si="8"/>
        <v>38837</v>
      </c>
      <c r="B90" s="1113">
        <f t="shared" si="6"/>
        <v>2007</v>
      </c>
      <c r="C90" s="1281">
        <v>80.900000000000006</v>
      </c>
      <c r="D90" s="1281">
        <v>196.5</v>
      </c>
      <c r="E90" s="1114" t="str">
        <f>IF($A90&lt;DATE(2018,7,1),"-",INDEX('I1 - Universal Data'!$E$16:$V$16, MATCH(YEAR(EOMONTH($A90,6)), 'I1 - Universal Data'!$E$14:$V$14, 0)))</f>
        <v>-</v>
      </c>
      <c r="F90" s="1114" t="str">
        <f>IF($A90&lt;DATE(2018,7,1),"-",INDEX('I1 - Universal Data'!$E$15:$V$15, MATCH(YEAR(EOMONTH($A90,6)), 'I1 - Universal Data'!$E$14:$V$14, 0)))</f>
        <v>-</v>
      </c>
      <c r="G90" s="1115">
        <f t="shared" si="9"/>
        <v>80.900000000000006</v>
      </c>
      <c r="H90" s="1115">
        <f t="shared" si="9"/>
        <v>196.5</v>
      </c>
      <c r="U90" s="1103"/>
    </row>
    <row r="91" spans="1:21">
      <c r="A91" s="1112">
        <f t="shared" si="8"/>
        <v>38868</v>
      </c>
      <c r="B91" s="1113">
        <f t="shared" si="6"/>
        <v>2007</v>
      </c>
      <c r="C91" s="1281">
        <v>81.3</v>
      </c>
      <c r="D91" s="1281">
        <v>197.7</v>
      </c>
      <c r="E91" s="1114" t="str">
        <f>IF($A91&lt;DATE(2018,7,1),"-",INDEX('I1 - Universal Data'!$E$16:$V$16, MATCH(YEAR(EOMONTH($A91,6)), 'I1 - Universal Data'!$E$14:$V$14, 0)))</f>
        <v>-</v>
      </c>
      <c r="F91" s="1114" t="str">
        <f>IF($A91&lt;DATE(2018,7,1),"-",INDEX('I1 - Universal Data'!$E$15:$V$15, MATCH(YEAR(EOMONTH($A91,6)), 'I1 - Universal Data'!$E$14:$V$14, 0)))</f>
        <v>-</v>
      </c>
      <c r="G91" s="1115">
        <f t="shared" si="9"/>
        <v>81.3</v>
      </c>
      <c r="H91" s="1115">
        <f t="shared" si="9"/>
        <v>197.7</v>
      </c>
      <c r="U91" s="1103"/>
    </row>
    <row r="92" spans="1:21">
      <c r="A92" s="1112">
        <f t="shared" si="8"/>
        <v>38898</v>
      </c>
      <c r="B92" s="1113">
        <f t="shared" si="6"/>
        <v>2007</v>
      </c>
      <c r="C92" s="1281">
        <v>81.5</v>
      </c>
      <c r="D92" s="1281">
        <v>198.5</v>
      </c>
      <c r="E92" s="1114" t="str">
        <f>IF($A92&lt;DATE(2018,7,1),"-",INDEX('I1 - Universal Data'!$E$16:$V$16, MATCH(YEAR(EOMONTH($A92,6)), 'I1 - Universal Data'!$E$14:$V$14, 0)))</f>
        <v>-</v>
      </c>
      <c r="F92" s="1114" t="str">
        <f>IF($A92&lt;DATE(2018,7,1),"-",INDEX('I1 - Universal Data'!$E$15:$V$15, MATCH(YEAR(EOMONTH($A92,6)), 'I1 - Universal Data'!$E$14:$V$14, 0)))</f>
        <v>-</v>
      </c>
      <c r="G92" s="1115">
        <f t="shared" si="9"/>
        <v>81.5</v>
      </c>
      <c r="H92" s="1115">
        <f t="shared" si="9"/>
        <v>198.5</v>
      </c>
      <c r="U92" s="1103"/>
    </row>
    <row r="93" spans="1:21">
      <c r="A93" s="1112">
        <f t="shared" si="8"/>
        <v>38929</v>
      </c>
      <c r="B93" s="1113">
        <f t="shared" si="6"/>
        <v>2007</v>
      </c>
      <c r="C93" s="1281">
        <v>81.5</v>
      </c>
      <c r="D93" s="1281">
        <v>198.5</v>
      </c>
      <c r="E93" s="1114" t="str">
        <f>IF($A93&lt;DATE(2018,7,1),"-",INDEX('I1 - Universal Data'!$E$16:$V$16, MATCH(YEAR(EOMONTH($A93,6)), 'I1 - Universal Data'!$E$14:$V$14, 0)))</f>
        <v>-</v>
      </c>
      <c r="F93" s="1114" t="str">
        <f>IF($A93&lt;DATE(2018,7,1),"-",INDEX('I1 - Universal Data'!$E$15:$V$15, MATCH(YEAR(EOMONTH($A93,6)), 'I1 - Universal Data'!$E$14:$V$14, 0)))</f>
        <v>-</v>
      </c>
      <c r="G93" s="1115">
        <f t="shared" si="9"/>
        <v>81.5</v>
      </c>
      <c r="H93" s="1115">
        <f t="shared" si="9"/>
        <v>198.5</v>
      </c>
      <c r="U93" s="1103"/>
    </row>
    <row r="94" spans="1:21">
      <c r="A94" s="1112">
        <f t="shared" si="8"/>
        <v>38960</v>
      </c>
      <c r="B94" s="1113">
        <f t="shared" si="6"/>
        <v>2007</v>
      </c>
      <c r="C94" s="1281">
        <v>81.8</v>
      </c>
      <c r="D94" s="1281">
        <v>199.2</v>
      </c>
      <c r="E94" s="1114" t="str">
        <f>IF($A94&lt;DATE(2018,7,1),"-",INDEX('I1 - Universal Data'!$E$16:$V$16, MATCH(YEAR(EOMONTH($A94,6)), 'I1 - Universal Data'!$E$14:$V$14, 0)))</f>
        <v>-</v>
      </c>
      <c r="F94" s="1114" t="str">
        <f>IF($A94&lt;DATE(2018,7,1),"-",INDEX('I1 - Universal Data'!$E$15:$V$15, MATCH(YEAR(EOMONTH($A94,6)), 'I1 - Universal Data'!$E$14:$V$14, 0)))</f>
        <v>-</v>
      </c>
      <c r="G94" s="1115">
        <f t="shared" si="9"/>
        <v>81.8</v>
      </c>
      <c r="H94" s="1115">
        <f t="shared" si="9"/>
        <v>199.2</v>
      </c>
      <c r="U94" s="1103"/>
    </row>
    <row r="95" spans="1:21">
      <c r="A95" s="1112">
        <f t="shared" si="8"/>
        <v>38990</v>
      </c>
      <c r="B95" s="1113">
        <f t="shared" si="6"/>
        <v>2007</v>
      </c>
      <c r="C95" s="1281">
        <v>81.900000000000006</v>
      </c>
      <c r="D95" s="1281">
        <v>200.1</v>
      </c>
      <c r="E95" s="1114" t="str">
        <f>IF($A95&lt;DATE(2018,7,1),"-",INDEX('I1 - Universal Data'!$E$16:$V$16, MATCH(YEAR(EOMONTH($A95,6)), 'I1 - Universal Data'!$E$14:$V$14, 0)))</f>
        <v>-</v>
      </c>
      <c r="F95" s="1114" t="str">
        <f>IF($A95&lt;DATE(2018,7,1),"-",INDEX('I1 - Universal Data'!$E$15:$V$15, MATCH(YEAR(EOMONTH($A95,6)), 'I1 - Universal Data'!$E$14:$V$14, 0)))</f>
        <v>-</v>
      </c>
      <c r="G95" s="1115">
        <f t="shared" si="9"/>
        <v>81.900000000000006</v>
      </c>
      <c r="H95" s="1115">
        <f t="shared" si="9"/>
        <v>200.1</v>
      </c>
      <c r="U95" s="1103"/>
    </row>
    <row r="96" spans="1:21">
      <c r="A96" s="1112">
        <f t="shared" si="8"/>
        <v>39021</v>
      </c>
      <c r="B96" s="1113">
        <f t="shared" si="6"/>
        <v>2007</v>
      </c>
      <c r="C96" s="1281">
        <v>82</v>
      </c>
      <c r="D96" s="1281">
        <v>200.4</v>
      </c>
      <c r="E96" s="1114" t="str">
        <f>IF($A96&lt;DATE(2018,7,1),"-",INDEX('I1 - Universal Data'!$E$16:$V$16, MATCH(YEAR(EOMONTH($A96,6)), 'I1 - Universal Data'!$E$14:$V$14, 0)))</f>
        <v>-</v>
      </c>
      <c r="F96" s="1114" t="str">
        <f>IF($A96&lt;DATE(2018,7,1),"-",INDEX('I1 - Universal Data'!$E$15:$V$15, MATCH(YEAR(EOMONTH($A96,6)), 'I1 - Universal Data'!$E$14:$V$14, 0)))</f>
        <v>-</v>
      </c>
      <c r="G96" s="1115">
        <f t="shared" si="9"/>
        <v>82</v>
      </c>
      <c r="H96" s="1115">
        <f t="shared" si="9"/>
        <v>200.4</v>
      </c>
      <c r="U96" s="1103"/>
    </row>
    <row r="97" spans="1:21">
      <c r="A97" s="1112">
        <f t="shared" si="8"/>
        <v>39051</v>
      </c>
      <c r="B97" s="1113">
        <f t="shared" si="6"/>
        <v>2007</v>
      </c>
      <c r="C97" s="1281">
        <v>82.2</v>
      </c>
      <c r="D97" s="1281">
        <v>201.1</v>
      </c>
      <c r="E97" s="1114" t="str">
        <f>IF($A97&lt;DATE(2018,7,1),"-",INDEX('I1 - Universal Data'!$E$16:$V$16, MATCH(YEAR(EOMONTH($A97,6)), 'I1 - Universal Data'!$E$14:$V$14, 0)))</f>
        <v>-</v>
      </c>
      <c r="F97" s="1114" t="str">
        <f>IF($A97&lt;DATE(2018,7,1),"-",INDEX('I1 - Universal Data'!$E$15:$V$15, MATCH(YEAR(EOMONTH($A97,6)), 'I1 - Universal Data'!$E$14:$V$14, 0)))</f>
        <v>-</v>
      </c>
      <c r="G97" s="1115">
        <f t="shared" si="9"/>
        <v>82.2</v>
      </c>
      <c r="H97" s="1115">
        <f t="shared" si="9"/>
        <v>201.1</v>
      </c>
      <c r="U97" s="1103"/>
    </row>
    <row r="98" spans="1:21">
      <c r="A98" s="1112">
        <f t="shared" si="8"/>
        <v>39082</v>
      </c>
      <c r="B98" s="1113">
        <f t="shared" si="6"/>
        <v>2007</v>
      </c>
      <c r="C98" s="1281">
        <v>82.6</v>
      </c>
      <c r="D98" s="1281">
        <v>202.7</v>
      </c>
      <c r="E98" s="1114" t="str">
        <f>IF($A98&lt;DATE(2018,7,1),"-",INDEX('I1 - Universal Data'!$E$16:$V$16, MATCH(YEAR(EOMONTH($A98,6)), 'I1 - Universal Data'!$E$14:$V$14, 0)))</f>
        <v>-</v>
      </c>
      <c r="F98" s="1114" t="str">
        <f>IF($A98&lt;DATE(2018,7,1),"-",INDEX('I1 - Universal Data'!$E$15:$V$15, MATCH(YEAR(EOMONTH($A98,6)), 'I1 - Universal Data'!$E$14:$V$14, 0)))</f>
        <v>-</v>
      </c>
      <c r="G98" s="1115">
        <f t="shared" si="9"/>
        <v>82.6</v>
      </c>
      <c r="H98" s="1115">
        <f t="shared" si="9"/>
        <v>202.7</v>
      </c>
      <c r="U98" s="1103"/>
    </row>
    <row r="99" spans="1:21">
      <c r="A99" s="1112">
        <f t="shared" si="8"/>
        <v>39113</v>
      </c>
      <c r="B99" s="1113">
        <f t="shared" si="6"/>
        <v>2007</v>
      </c>
      <c r="C99" s="1281">
        <v>82.1</v>
      </c>
      <c r="D99" s="1281">
        <v>201.6</v>
      </c>
      <c r="E99" s="1114" t="str">
        <f>IF($A99&lt;DATE(2018,7,1),"-",INDEX('I1 - Universal Data'!$E$16:$V$16, MATCH(YEAR(EOMONTH($A99,6)), 'I1 - Universal Data'!$E$14:$V$14, 0)))</f>
        <v>-</v>
      </c>
      <c r="F99" s="1114" t="str">
        <f>IF($A99&lt;DATE(2018,7,1),"-",INDEX('I1 - Universal Data'!$E$15:$V$15, MATCH(YEAR(EOMONTH($A99,6)), 'I1 - Universal Data'!$E$14:$V$14, 0)))</f>
        <v>-</v>
      </c>
      <c r="G99" s="1115">
        <f t="shared" si="9"/>
        <v>82.1</v>
      </c>
      <c r="H99" s="1115">
        <f t="shared" si="9"/>
        <v>201.6</v>
      </c>
      <c r="U99" s="1103"/>
    </row>
    <row r="100" spans="1:21">
      <c r="A100" s="1112">
        <f t="shared" si="8"/>
        <v>39141</v>
      </c>
      <c r="B100" s="1113">
        <f t="shared" si="6"/>
        <v>2007</v>
      </c>
      <c r="C100" s="1281">
        <v>82.4</v>
      </c>
      <c r="D100" s="1281">
        <v>203.1</v>
      </c>
      <c r="E100" s="1114" t="str">
        <f>IF($A100&lt;DATE(2018,7,1),"-",INDEX('I1 - Universal Data'!$E$16:$V$16, MATCH(YEAR(EOMONTH($A100,6)), 'I1 - Universal Data'!$E$14:$V$14, 0)))</f>
        <v>-</v>
      </c>
      <c r="F100" s="1114" t="str">
        <f>IF($A100&lt;DATE(2018,7,1),"-",INDEX('I1 - Universal Data'!$E$15:$V$15, MATCH(YEAR(EOMONTH($A100,6)), 'I1 - Universal Data'!$E$14:$V$14, 0)))</f>
        <v>-</v>
      </c>
      <c r="G100" s="1115">
        <f t="shared" si="9"/>
        <v>82.4</v>
      </c>
      <c r="H100" s="1115">
        <f t="shared" si="9"/>
        <v>203.1</v>
      </c>
      <c r="U100" s="1103"/>
    </row>
    <row r="101" spans="1:21">
      <c r="A101" s="1112">
        <f t="shared" si="8"/>
        <v>39172</v>
      </c>
      <c r="B101" s="1113">
        <f t="shared" si="6"/>
        <v>2007</v>
      </c>
      <c r="C101" s="1281">
        <v>82.8</v>
      </c>
      <c r="D101" s="1281">
        <v>204.4</v>
      </c>
      <c r="E101" s="1114" t="str">
        <f>IF($A101&lt;DATE(2018,7,1),"-",INDEX('I1 - Universal Data'!$E$16:$V$16, MATCH(YEAR(EOMONTH($A101,6)), 'I1 - Universal Data'!$E$14:$V$14, 0)))</f>
        <v>-</v>
      </c>
      <c r="F101" s="1114" t="str">
        <f>IF($A101&lt;DATE(2018,7,1),"-",INDEX('I1 - Universal Data'!$E$15:$V$15, MATCH(YEAR(EOMONTH($A101,6)), 'I1 - Universal Data'!$E$14:$V$14, 0)))</f>
        <v>-</v>
      </c>
      <c r="G101" s="1115">
        <f t="shared" si="9"/>
        <v>82.8</v>
      </c>
      <c r="H101" s="1115">
        <f t="shared" si="9"/>
        <v>204.4</v>
      </c>
      <c r="U101" s="1103"/>
    </row>
    <row r="102" spans="1:21">
      <c r="A102" s="1112">
        <f t="shared" si="8"/>
        <v>39202</v>
      </c>
      <c r="B102" s="1113">
        <f t="shared" si="6"/>
        <v>2008</v>
      </c>
      <c r="C102" s="1281">
        <v>83.1</v>
      </c>
      <c r="D102" s="1281">
        <v>205.4</v>
      </c>
      <c r="E102" s="1114" t="str">
        <f>IF($A102&lt;DATE(2018,7,1),"-",INDEX('I1 - Universal Data'!$E$16:$V$16, MATCH(YEAR(EOMONTH($A102,6)), 'I1 - Universal Data'!$E$14:$V$14, 0)))</f>
        <v>-</v>
      </c>
      <c r="F102" s="1114" t="str">
        <f>IF($A102&lt;DATE(2018,7,1),"-",INDEX('I1 - Universal Data'!$E$15:$V$15, MATCH(YEAR(EOMONTH($A102,6)), 'I1 - Universal Data'!$E$14:$V$14, 0)))</f>
        <v>-</v>
      </c>
      <c r="G102" s="1115">
        <f t="shared" ref="G102:H117" si="10">IF(ISBLANK(C102),G101*((1+E102)^(1/12)),C102)</f>
        <v>83.1</v>
      </c>
      <c r="H102" s="1115">
        <f t="shared" si="10"/>
        <v>205.4</v>
      </c>
      <c r="U102" s="1103"/>
    </row>
    <row r="103" spans="1:21">
      <c r="A103" s="1112">
        <f t="shared" si="8"/>
        <v>39233</v>
      </c>
      <c r="B103" s="1113">
        <f t="shared" si="6"/>
        <v>2008</v>
      </c>
      <c r="C103" s="1281">
        <v>83.3</v>
      </c>
      <c r="D103" s="1281">
        <v>206.2</v>
      </c>
      <c r="E103" s="1114" t="str">
        <f>IF($A103&lt;DATE(2018,7,1),"-",INDEX('I1 - Universal Data'!$E$16:$V$16, MATCH(YEAR(EOMONTH($A103,6)), 'I1 - Universal Data'!$E$14:$V$14, 0)))</f>
        <v>-</v>
      </c>
      <c r="F103" s="1114" t="str">
        <f>IF($A103&lt;DATE(2018,7,1),"-",INDEX('I1 - Universal Data'!$E$15:$V$15, MATCH(YEAR(EOMONTH($A103,6)), 'I1 - Universal Data'!$E$14:$V$14, 0)))</f>
        <v>-</v>
      </c>
      <c r="G103" s="1115">
        <f t="shared" si="10"/>
        <v>83.3</v>
      </c>
      <c r="H103" s="1115">
        <f t="shared" si="10"/>
        <v>206.2</v>
      </c>
      <c r="U103" s="1103"/>
    </row>
    <row r="104" spans="1:21">
      <c r="A104" s="1112">
        <f t="shared" si="8"/>
        <v>39263</v>
      </c>
      <c r="B104" s="1113">
        <f t="shared" si="6"/>
        <v>2008</v>
      </c>
      <c r="C104" s="1281">
        <v>83.5</v>
      </c>
      <c r="D104" s="1281">
        <v>207.3</v>
      </c>
      <c r="E104" s="1114" t="str">
        <f>IF($A104&lt;DATE(2018,7,1),"-",INDEX('I1 - Universal Data'!$E$16:$V$16, MATCH(YEAR(EOMONTH($A104,6)), 'I1 - Universal Data'!$E$14:$V$14, 0)))</f>
        <v>-</v>
      </c>
      <c r="F104" s="1114" t="str">
        <f>IF($A104&lt;DATE(2018,7,1),"-",INDEX('I1 - Universal Data'!$E$15:$V$15, MATCH(YEAR(EOMONTH($A104,6)), 'I1 - Universal Data'!$E$14:$V$14, 0)))</f>
        <v>-</v>
      </c>
      <c r="G104" s="1115">
        <f t="shared" si="10"/>
        <v>83.5</v>
      </c>
      <c r="H104" s="1115">
        <f t="shared" si="10"/>
        <v>207.3</v>
      </c>
      <c r="U104" s="1103"/>
    </row>
    <row r="105" spans="1:21">
      <c r="A105" s="1112">
        <f t="shared" si="8"/>
        <v>39294</v>
      </c>
      <c r="B105" s="1113">
        <f t="shared" si="6"/>
        <v>2008</v>
      </c>
      <c r="C105" s="1281">
        <v>83.1</v>
      </c>
      <c r="D105" s="1281">
        <v>206.1</v>
      </c>
      <c r="E105" s="1114" t="str">
        <f>IF($A105&lt;DATE(2018,7,1),"-",INDEX('I1 - Universal Data'!$E$16:$V$16, MATCH(YEAR(EOMONTH($A105,6)), 'I1 - Universal Data'!$E$14:$V$14, 0)))</f>
        <v>-</v>
      </c>
      <c r="F105" s="1114" t="str">
        <f>IF($A105&lt;DATE(2018,7,1),"-",INDEX('I1 - Universal Data'!$E$15:$V$15, MATCH(YEAR(EOMONTH($A105,6)), 'I1 - Universal Data'!$E$14:$V$14, 0)))</f>
        <v>-</v>
      </c>
      <c r="G105" s="1115">
        <f t="shared" si="10"/>
        <v>83.1</v>
      </c>
      <c r="H105" s="1115">
        <f t="shared" si="10"/>
        <v>206.1</v>
      </c>
      <c r="U105" s="1103"/>
    </row>
    <row r="106" spans="1:21">
      <c r="A106" s="1112">
        <f t="shared" si="8"/>
        <v>39325</v>
      </c>
      <c r="B106" s="1113">
        <f t="shared" si="6"/>
        <v>2008</v>
      </c>
      <c r="C106" s="1281">
        <v>83.4</v>
      </c>
      <c r="D106" s="1281">
        <v>207.3</v>
      </c>
      <c r="E106" s="1114" t="str">
        <f>IF($A106&lt;DATE(2018,7,1),"-",INDEX('I1 - Universal Data'!$E$16:$V$16, MATCH(YEAR(EOMONTH($A106,6)), 'I1 - Universal Data'!$E$14:$V$14, 0)))</f>
        <v>-</v>
      </c>
      <c r="F106" s="1114" t="str">
        <f>IF($A106&lt;DATE(2018,7,1),"-",INDEX('I1 - Universal Data'!$E$15:$V$15, MATCH(YEAR(EOMONTH($A106,6)), 'I1 - Universal Data'!$E$14:$V$14, 0)))</f>
        <v>-</v>
      </c>
      <c r="G106" s="1115">
        <f t="shared" si="10"/>
        <v>83.4</v>
      </c>
      <c r="H106" s="1115">
        <f t="shared" si="10"/>
        <v>207.3</v>
      </c>
      <c r="U106" s="1103"/>
    </row>
    <row r="107" spans="1:21">
      <c r="A107" s="1112">
        <f t="shared" si="8"/>
        <v>39355</v>
      </c>
      <c r="B107" s="1113">
        <f t="shared" si="6"/>
        <v>2008</v>
      </c>
      <c r="C107" s="1281">
        <v>83.5</v>
      </c>
      <c r="D107" s="1281">
        <v>208</v>
      </c>
      <c r="E107" s="1114" t="str">
        <f>IF($A107&lt;DATE(2018,7,1),"-",INDEX('I1 - Universal Data'!$E$16:$V$16, MATCH(YEAR(EOMONTH($A107,6)), 'I1 - Universal Data'!$E$14:$V$14, 0)))</f>
        <v>-</v>
      </c>
      <c r="F107" s="1114" t="str">
        <f>IF($A107&lt;DATE(2018,7,1),"-",INDEX('I1 - Universal Data'!$E$15:$V$15, MATCH(YEAR(EOMONTH($A107,6)), 'I1 - Universal Data'!$E$14:$V$14, 0)))</f>
        <v>-</v>
      </c>
      <c r="G107" s="1115">
        <f t="shared" si="10"/>
        <v>83.5</v>
      </c>
      <c r="H107" s="1115">
        <f t="shared" si="10"/>
        <v>208</v>
      </c>
      <c r="U107" s="1103"/>
    </row>
    <row r="108" spans="1:21">
      <c r="A108" s="1112">
        <f t="shared" si="8"/>
        <v>39386</v>
      </c>
      <c r="B108" s="1113">
        <f t="shared" si="6"/>
        <v>2008</v>
      </c>
      <c r="C108" s="1281">
        <v>83.8</v>
      </c>
      <c r="D108" s="1281">
        <v>208.9</v>
      </c>
      <c r="E108" s="1114" t="str">
        <f>IF($A108&lt;DATE(2018,7,1),"-",INDEX('I1 - Universal Data'!$E$16:$V$16, MATCH(YEAR(EOMONTH($A108,6)), 'I1 - Universal Data'!$E$14:$V$14, 0)))</f>
        <v>-</v>
      </c>
      <c r="F108" s="1114" t="str">
        <f>IF($A108&lt;DATE(2018,7,1),"-",INDEX('I1 - Universal Data'!$E$15:$V$15, MATCH(YEAR(EOMONTH($A108,6)), 'I1 - Universal Data'!$E$14:$V$14, 0)))</f>
        <v>-</v>
      </c>
      <c r="G108" s="1115">
        <f t="shared" si="10"/>
        <v>83.8</v>
      </c>
      <c r="H108" s="1115">
        <f t="shared" si="10"/>
        <v>208.9</v>
      </c>
      <c r="U108" s="1103"/>
    </row>
    <row r="109" spans="1:21">
      <c r="A109" s="1112">
        <f t="shared" si="8"/>
        <v>39416</v>
      </c>
      <c r="B109" s="1113">
        <f t="shared" si="6"/>
        <v>2008</v>
      </c>
      <c r="C109" s="1281">
        <v>84.1</v>
      </c>
      <c r="D109" s="1281">
        <v>209.7</v>
      </c>
      <c r="E109" s="1114" t="str">
        <f>IF($A109&lt;DATE(2018,7,1),"-",INDEX('I1 - Universal Data'!$E$16:$V$16, MATCH(YEAR(EOMONTH($A109,6)), 'I1 - Universal Data'!$E$14:$V$14, 0)))</f>
        <v>-</v>
      </c>
      <c r="F109" s="1114" t="str">
        <f>IF($A109&lt;DATE(2018,7,1),"-",INDEX('I1 - Universal Data'!$E$15:$V$15, MATCH(YEAR(EOMONTH($A109,6)), 'I1 - Universal Data'!$E$14:$V$14, 0)))</f>
        <v>-</v>
      </c>
      <c r="G109" s="1115">
        <f t="shared" si="10"/>
        <v>84.1</v>
      </c>
      <c r="H109" s="1115">
        <f t="shared" si="10"/>
        <v>209.7</v>
      </c>
      <c r="U109" s="1103"/>
    </row>
    <row r="110" spans="1:21">
      <c r="A110" s="1112">
        <f t="shared" si="8"/>
        <v>39447</v>
      </c>
      <c r="B110" s="1113">
        <f t="shared" si="6"/>
        <v>2008</v>
      </c>
      <c r="C110" s="1281">
        <v>84.5</v>
      </c>
      <c r="D110" s="1281">
        <v>210.9</v>
      </c>
      <c r="E110" s="1114" t="str">
        <f>IF($A110&lt;DATE(2018,7,1),"-",INDEX('I1 - Universal Data'!$E$16:$V$16, MATCH(YEAR(EOMONTH($A110,6)), 'I1 - Universal Data'!$E$14:$V$14, 0)))</f>
        <v>-</v>
      </c>
      <c r="F110" s="1114" t="str">
        <f>IF($A110&lt;DATE(2018,7,1),"-",INDEX('I1 - Universal Data'!$E$15:$V$15, MATCH(YEAR(EOMONTH($A110,6)), 'I1 - Universal Data'!$E$14:$V$14, 0)))</f>
        <v>-</v>
      </c>
      <c r="G110" s="1115">
        <f t="shared" si="10"/>
        <v>84.5</v>
      </c>
      <c r="H110" s="1115">
        <f t="shared" si="10"/>
        <v>210.9</v>
      </c>
      <c r="U110" s="1103"/>
    </row>
    <row r="111" spans="1:21">
      <c r="A111" s="1112">
        <f t="shared" si="8"/>
        <v>39478</v>
      </c>
      <c r="B111" s="1113">
        <f t="shared" si="6"/>
        <v>2008</v>
      </c>
      <c r="C111" s="1281">
        <v>84.1</v>
      </c>
      <c r="D111" s="1281">
        <v>209.8</v>
      </c>
      <c r="E111" s="1114" t="str">
        <f>IF($A111&lt;DATE(2018,7,1),"-",INDEX('I1 - Universal Data'!$E$16:$V$16, MATCH(YEAR(EOMONTH($A111,6)), 'I1 - Universal Data'!$E$14:$V$14, 0)))</f>
        <v>-</v>
      </c>
      <c r="F111" s="1114" t="str">
        <f>IF($A111&lt;DATE(2018,7,1),"-",INDEX('I1 - Universal Data'!$E$15:$V$15, MATCH(YEAR(EOMONTH($A111,6)), 'I1 - Universal Data'!$E$14:$V$14, 0)))</f>
        <v>-</v>
      </c>
      <c r="G111" s="1115">
        <f t="shared" si="10"/>
        <v>84.1</v>
      </c>
      <c r="H111" s="1115">
        <f t="shared" si="10"/>
        <v>209.8</v>
      </c>
      <c r="U111" s="1103"/>
    </row>
    <row r="112" spans="1:21">
      <c r="A112" s="1112">
        <f t="shared" si="8"/>
        <v>39507</v>
      </c>
      <c r="B112" s="1113">
        <f t="shared" si="6"/>
        <v>2008</v>
      </c>
      <c r="C112" s="1281">
        <v>84.6</v>
      </c>
      <c r="D112" s="1281">
        <v>211.4</v>
      </c>
      <c r="E112" s="1114" t="str">
        <f>IF($A112&lt;DATE(2018,7,1),"-",INDEX('I1 - Universal Data'!$E$16:$V$16, MATCH(YEAR(EOMONTH($A112,6)), 'I1 - Universal Data'!$E$14:$V$14, 0)))</f>
        <v>-</v>
      </c>
      <c r="F112" s="1114" t="str">
        <f>IF($A112&lt;DATE(2018,7,1),"-",INDEX('I1 - Universal Data'!$E$15:$V$15, MATCH(YEAR(EOMONTH($A112,6)), 'I1 - Universal Data'!$E$14:$V$14, 0)))</f>
        <v>-</v>
      </c>
      <c r="G112" s="1115">
        <f t="shared" si="10"/>
        <v>84.6</v>
      </c>
      <c r="H112" s="1115">
        <f t="shared" si="10"/>
        <v>211.4</v>
      </c>
      <c r="U112" s="1103"/>
    </row>
    <row r="113" spans="1:21">
      <c r="A113" s="1112">
        <f t="shared" si="8"/>
        <v>39538</v>
      </c>
      <c r="B113" s="1113">
        <f t="shared" si="6"/>
        <v>2008</v>
      </c>
      <c r="C113" s="1281">
        <v>84.9</v>
      </c>
      <c r="D113" s="1281">
        <v>212.1</v>
      </c>
      <c r="E113" s="1114" t="str">
        <f>IF($A113&lt;DATE(2018,7,1),"-",INDEX('I1 - Universal Data'!$E$16:$V$16, MATCH(YEAR(EOMONTH($A113,6)), 'I1 - Universal Data'!$E$14:$V$14, 0)))</f>
        <v>-</v>
      </c>
      <c r="F113" s="1114" t="str">
        <f>IF($A113&lt;DATE(2018,7,1),"-",INDEX('I1 - Universal Data'!$E$15:$V$15, MATCH(YEAR(EOMONTH($A113,6)), 'I1 - Universal Data'!$E$14:$V$14, 0)))</f>
        <v>-</v>
      </c>
      <c r="G113" s="1115">
        <f t="shared" si="10"/>
        <v>84.9</v>
      </c>
      <c r="H113" s="1115">
        <f t="shared" si="10"/>
        <v>212.1</v>
      </c>
      <c r="U113" s="1103"/>
    </row>
    <row r="114" spans="1:21">
      <c r="A114" s="1112">
        <f t="shared" si="8"/>
        <v>39568</v>
      </c>
      <c r="B114" s="1113">
        <f t="shared" si="6"/>
        <v>2009</v>
      </c>
      <c r="C114" s="1281">
        <v>85.6</v>
      </c>
      <c r="D114" s="1281">
        <v>214</v>
      </c>
      <c r="E114" s="1114" t="str">
        <f>IF($A114&lt;DATE(2018,7,1),"-",INDEX('I1 - Universal Data'!$E$16:$V$16, MATCH(YEAR(EOMONTH($A114,6)), 'I1 - Universal Data'!$E$14:$V$14, 0)))</f>
        <v>-</v>
      </c>
      <c r="F114" s="1114" t="str">
        <f>IF($A114&lt;DATE(2018,7,1),"-",INDEX('I1 - Universal Data'!$E$15:$V$15, MATCH(YEAR(EOMONTH($A114,6)), 'I1 - Universal Data'!$E$14:$V$14, 0)))</f>
        <v>-</v>
      </c>
      <c r="G114" s="1115">
        <f t="shared" si="10"/>
        <v>85.6</v>
      </c>
      <c r="H114" s="1115">
        <f t="shared" si="10"/>
        <v>214</v>
      </c>
      <c r="U114" s="1103"/>
    </row>
    <row r="115" spans="1:21">
      <c r="A115" s="1112">
        <f t="shared" si="8"/>
        <v>39599</v>
      </c>
      <c r="B115" s="1113">
        <f t="shared" si="6"/>
        <v>2009</v>
      </c>
      <c r="C115" s="1281">
        <v>86.1</v>
      </c>
      <c r="D115" s="1281">
        <v>215.1</v>
      </c>
      <c r="E115" s="1114" t="str">
        <f>IF($A115&lt;DATE(2018,7,1),"-",INDEX('I1 - Universal Data'!$E$16:$V$16, MATCH(YEAR(EOMONTH($A115,6)), 'I1 - Universal Data'!$E$14:$V$14, 0)))</f>
        <v>-</v>
      </c>
      <c r="F115" s="1114" t="str">
        <f>IF($A115&lt;DATE(2018,7,1),"-",INDEX('I1 - Universal Data'!$E$15:$V$15, MATCH(YEAR(EOMONTH($A115,6)), 'I1 - Universal Data'!$E$14:$V$14, 0)))</f>
        <v>-</v>
      </c>
      <c r="G115" s="1115">
        <f t="shared" si="10"/>
        <v>86.1</v>
      </c>
      <c r="H115" s="1115">
        <f t="shared" si="10"/>
        <v>215.1</v>
      </c>
      <c r="U115" s="1103"/>
    </row>
    <row r="116" spans="1:21">
      <c r="A116" s="1112">
        <f t="shared" si="8"/>
        <v>39629</v>
      </c>
      <c r="B116" s="1113">
        <f t="shared" si="6"/>
        <v>2009</v>
      </c>
      <c r="C116" s="1281">
        <v>86.6</v>
      </c>
      <c r="D116" s="1281">
        <v>216.8</v>
      </c>
      <c r="E116" s="1114" t="str">
        <f>IF($A116&lt;DATE(2018,7,1),"-",INDEX('I1 - Universal Data'!$E$16:$V$16, MATCH(YEAR(EOMONTH($A116,6)), 'I1 - Universal Data'!$E$14:$V$14, 0)))</f>
        <v>-</v>
      </c>
      <c r="F116" s="1114" t="str">
        <f>IF($A116&lt;DATE(2018,7,1),"-",INDEX('I1 - Universal Data'!$E$15:$V$15, MATCH(YEAR(EOMONTH($A116,6)), 'I1 - Universal Data'!$E$14:$V$14, 0)))</f>
        <v>-</v>
      </c>
      <c r="G116" s="1115">
        <f t="shared" si="10"/>
        <v>86.6</v>
      </c>
      <c r="H116" s="1115">
        <f t="shared" si="10"/>
        <v>216.8</v>
      </c>
      <c r="U116" s="1103"/>
    </row>
    <row r="117" spans="1:21">
      <c r="A117" s="1112">
        <f t="shared" si="8"/>
        <v>39660</v>
      </c>
      <c r="B117" s="1113">
        <f t="shared" si="6"/>
        <v>2009</v>
      </c>
      <c r="C117" s="1281">
        <v>86.6</v>
      </c>
      <c r="D117" s="1281">
        <v>216.5</v>
      </c>
      <c r="E117" s="1114" t="str">
        <f>IF($A117&lt;DATE(2018,7,1),"-",INDEX('I1 - Universal Data'!$E$16:$V$16, MATCH(YEAR(EOMONTH($A117,6)), 'I1 - Universal Data'!$E$14:$V$14, 0)))</f>
        <v>-</v>
      </c>
      <c r="F117" s="1114" t="str">
        <f>IF($A117&lt;DATE(2018,7,1),"-",INDEX('I1 - Universal Data'!$E$15:$V$15, MATCH(YEAR(EOMONTH($A117,6)), 'I1 - Universal Data'!$E$14:$V$14, 0)))</f>
        <v>-</v>
      </c>
      <c r="G117" s="1115">
        <f t="shared" si="10"/>
        <v>86.6</v>
      </c>
      <c r="H117" s="1115">
        <f t="shared" si="10"/>
        <v>216.5</v>
      </c>
      <c r="U117" s="1103"/>
    </row>
    <row r="118" spans="1:21">
      <c r="A118" s="1112">
        <f t="shared" si="8"/>
        <v>39691</v>
      </c>
      <c r="B118" s="1113">
        <f t="shared" si="6"/>
        <v>2009</v>
      </c>
      <c r="C118" s="1281">
        <v>87.1</v>
      </c>
      <c r="D118" s="1281">
        <v>217.2</v>
      </c>
      <c r="E118" s="1114" t="str">
        <f>IF($A118&lt;DATE(2018,7,1),"-",INDEX('I1 - Universal Data'!$E$16:$V$16, MATCH(YEAR(EOMONTH($A118,6)), 'I1 - Universal Data'!$E$14:$V$14, 0)))</f>
        <v>-</v>
      </c>
      <c r="F118" s="1114" t="str">
        <f>IF($A118&lt;DATE(2018,7,1),"-",INDEX('I1 - Universal Data'!$E$15:$V$15, MATCH(YEAR(EOMONTH($A118,6)), 'I1 - Universal Data'!$E$14:$V$14, 0)))</f>
        <v>-</v>
      </c>
      <c r="G118" s="1115">
        <f t="shared" ref="G118:H133" si="11">IF(ISBLANK(C118),G117*((1+E118)^(1/12)),C118)</f>
        <v>87.1</v>
      </c>
      <c r="H118" s="1115">
        <f t="shared" si="11"/>
        <v>217.2</v>
      </c>
      <c r="U118" s="1103"/>
    </row>
    <row r="119" spans="1:21">
      <c r="A119" s="1112">
        <f t="shared" si="8"/>
        <v>39721</v>
      </c>
      <c r="B119" s="1113">
        <f t="shared" si="6"/>
        <v>2009</v>
      </c>
      <c r="C119" s="1281">
        <v>87.5</v>
      </c>
      <c r="D119" s="1281">
        <v>218.4</v>
      </c>
      <c r="E119" s="1114" t="str">
        <f>IF($A119&lt;DATE(2018,7,1),"-",INDEX('I1 - Universal Data'!$E$16:$V$16, MATCH(YEAR(EOMONTH($A119,6)), 'I1 - Universal Data'!$E$14:$V$14, 0)))</f>
        <v>-</v>
      </c>
      <c r="F119" s="1114" t="str">
        <f>IF($A119&lt;DATE(2018,7,1),"-",INDEX('I1 - Universal Data'!$E$15:$V$15, MATCH(YEAR(EOMONTH($A119,6)), 'I1 - Universal Data'!$E$14:$V$14, 0)))</f>
        <v>-</v>
      </c>
      <c r="G119" s="1115">
        <f t="shared" si="11"/>
        <v>87.5</v>
      </c>
      <c r="H119" s="1115">
        <f t="shared" si="11"/>
        <v>218.4</v>
      </c>
      <c r="U119" s="1103"/>
    </row>
    <row r="120" spans="1:21">
      <c r="A120" s="1112">
        <f t="shared" si="8"/>
        <v>39752</v>
      </c>
      <c r="B120" s="1113">
        <f t="shared" si="6"/>
        <v>2009</v>
      </c>
      <c r="C120" s="1281">
        <v>87.3</v>
      </c>
      <c r="D120" s="1281">
        <v>217.7</v>
      </c>
      <c r="E120" s="1114" t="str">
        <f>IF($A120&lt;DATE(2018,7,1),"-",INDEX('I1 - Universal Data'!$E$16:$V$16, MATCH(YEAR(EOMONTH($A120,6)), 'I1 - Universal Data'!$E$14:$V$14, 0)))</f>
        <v>-</v>
      </c>
      <c r="F120" s="1114" t="str">
        <f>IF($A120&lt;DATE(2018,7,1),"-",INDEX('I1 - Universal Data'!$E$15:$V$15, MATCH(YEAR(EOMONTH($A120,6)), 'I1 - Universal Data'!$E$14:$V$14, 0)))</f>
        <v>-</v>
      </c>
      <c r="G120" s="1115">
        <f t="shared" si="11"/>
        <v>87.3</v>
      </c>
      <c r="H120" s="1115">
        <f t="shared" si="11"/>
        <v>217.7</v>
      </c>
      <c r="U120" s="1103"/>
    </row>
    <row r="121" spans="1:21">
      <c r="A121" s="1112">
        <f t="shared" si="8"/>
        <v>39782</v>
      </c>
      <c r="B121" s="1113">
        <f t="shared" si="6"/>
        <v>2009</v>
      </c>
      <c r="C121" s="1281">
        <v>87.3</v>
      </c>
      <c r="D121" s="1281">
        <v>216</v>
      </c>
      <c r="E121" s="1114" t="str">
        <f>IF($A121&lt;DATE(2018,7,1),"-",INDEX('I1 - Universal Data'!$E$16:$V$16, MATCH(YEAR(EOMONTH($A121,6)), 'I1 - Universal Data'!$E$14:$V$14, 0)))</f>
        <v>-</v>
      </c>
      <c r="F121" s="1114" t="str">
        <f>IF($A121&lt;DATE(2018,7,1),"-",INDEX('I1 - Universal Data'!$E$15:$V$15, MATCH(YEAR(EOMONTH($A121,6)), 'I1 - Universal Data'!$E$14:$V$14, 0)))</f>
        <v>-</v>
      </c>
      <c r="G121" s="1115">
        <f t="shared" si="11"/>
        <v>87.3</v>
      </c>
      <c r="H121" s="1115">
        <f t="shared" si="11"/>
        <v>216</v>
      </c>
      <c r="U121" s="1103"/>
    </row>
    <row r="122" spans="1:21">
      <c r="A122" s="1112">
        <f t="shared" si="8"/>
        <v>39813</v>
      </c>
      <c r="B122" s="1113">
        <f t="shared" si="6"/>
        <v>2009</v>
      </c>
      <c r="C122" s="1281">
        <v>87.1</v>
      </c>
      <c r="D122" s="1281">
        <v>212.9</v>
      </c>
      <c r="E122" s="1114" t="str">
        <f>IF($A122&lt;DATE(2018,7,1),"-",INDEX('I1 - Universal Data'!$E$16:$V$16, MATCH(YEAR(EOMONTH($A122,6)), 'I1 - Universal Data'!$E$14:$V$14, 0)))</f>
        <v>-</v>
      </c>
      <c r="F122" s="1114" t="str">
        <f>IF($A122&lt;DATE(2018,7,1),"-",INDEX('I1 - Universal Data'!$E$15:$V$15, MATCH(YEAR(EOMONTH($A122,6)), 'I1 - Universal Data'!$E$14:$V$14, 0)))</f>
        <v>-</v>
      </c>
      <c r="G122" s="1115">
        <f t="shared" si="11"/>
        <v>87.1</v>
      </c>
      <c r="H122" s="1115">
        <f t="shared" si="11"/>
        <v>212.9</v>
      </c>
      <c r="U122" s="1103"/>
    </row>
    <row r="123" spans="1:21">
      <c r="A123" s="1112">
        <f t="shared" si="8"/>
        <v>39844</v>
      </c>
      <c r="B123" s="1113">
        <f t="shared" si="6"/>
        <v>2009</v>
      </c>
      <c r="C123" s="1281">
        <v>86.6</v>
      </c>
      <c r="D123" s="1281">
        <v>210.1</v>
      </c>
      <c r="E123" s="1114" t="str">
        <f>IF($A123&lt;DATE(2018,7,1),"-",INDEX('I1 - Universal Data'!$E$16:$V$16, MATCH(YEAR(EOMONTH($A123,6)), 'I1 - Universal Data'!$E$14:$V$14, 0)))</f>
        <v>-</v>
      </c>
      <c r="F123" s="1114" t="str">
        <f>IF($A123&lt;DATE(2018,7,1),"-",INDEX('I1 - Universal Data'!$E$15:$V$15, MATCH(YEAR(EOMONTH($A123,6)), 'I1 - Universal Data'!$E$14:$V$14, 0)))</f>
        <v>-</v>
      </c>
      <c r="G123" s="1115">
        <f t="shared" si="11"/>
        <v>86.6</v>
      </c>
      <c r="H123" s="1115">
        <f t="shared" si="11"/>
        <v>210.1</v>
      </c>
      <c r="U123" s="1103"/>
    </row>
    <row r="124" spans="1:21">
      <c r="A124" s="1112">
        <f t="shared" si="8"/>
        <v>39872</v>
      </c>
      <c r="B124" s="1113">
        <f t="shared" si="6"/>
        <v>2009</v>
      </c>
      <c r="C124" s="1281">
        <v>87.2</v>
      </c>
      <c r="D124" s="1281">
        <v>211.4</v>
      </c>
      <c r="E124" s="1114" t="str">
        <f>IF($A124&lt;DATE(2018,7,1),"-",INDEX('I1 - Universal Data'!$E$16:$V$16, MATCH(YEAR(EOMONTH($A124,6)), 'I1 - Universal Data'!$E$14:$V$14, 0)))</f>
        <v>-</v>
      </c>
      <c r="F124" s="1114" t="str">
        <f>IF($A124&lt;DATE(2018,7,1),"-",INDEX('I1 - Universal Data'!$E$15:$V$15, MATCH(YEAR(EOMONTH($A124,6)), 'I1 - Universal Data'!$E$14:$V$14, 0)))</f>
        <v>-</v>
      </c>
      <c r="G124" s="1115">
        <f t="shared" si="11"/>
        <v>87.2</v>
      </c>
      <c r="H124" s="1115">
        <f t="shared" si="11"/>
        <v>211.4</v>
      </c>
      <c r="U124" s="1103"/>
    </row>
    <row r="125" spans="1:21">
      <c r="A125" s="1112">
        <f t="shared" si="8"/>
        <v>39903</v>
      </c>
      <c r="B125" s="1113">
        <f t="shared" si="6"/>
        <v>2009</v>
      </c>
      <c r="C125" s="1281">
        <v>87.3</v>
      </c>
      <c r="D125" s="1281">
        <v>211.3</v>
      </c>
      <c r="E125" s="1114" t="str">
        <f>IF($A125&lt;DATE(2018,7,1),"-",INDEX('I1 - Universal Data'!$E$16:$V$16, MATCH(YEAR(EOMONTH($A125,6)), 'I1 - Universal Data'!$E$14:$V$14, 0)))</f>
        <v>-</v>
      </c>
      <c r="F125" s="1114" t="str">
        <f>IF($A125&lt;DATE(2018,7,1),"-",INDEX('I1 - Universal Data'!$E$15:$V$15, MATCH(YEAR(EOMONTH($A125,6)), 'I1 - Universal Data'!$E$14:$V$14, 0)))</f>
        <v>-</v>
      </c>
      <c r="G125" s="1115">
        <f t="shared" si="11"/>
        <v>87.3</v>
      </c>
      <c r="H125" s="1115">
        <f t="shared" si="11"/>
        <v>211.3</v>
      </c>
      <c r="U125" s="1103"/>
    </row>
    <row r="126" spans="1:21">
      <c r="A126" s="1112">
        <f t="shared" si="8"/>
        <v>39933</v>
      </c>
      <c r="B126" s="1113">
        <f t="shared" si="6"/>
        <v>2010</v>
      </c>
      <c r="C126" s="1281">
        <v>87.5</v>
      </c>
      <c r="D126" s="1281">
        <v>211.5</v>
      </c>
      <c r="E126" s="1114" t="str">
        <f>IF($A126&lt;DATE(2018,7,1),"-",INDEX('I1 - Universal Data'!$E$16:$V$16, MATCH(YEAR(EOMONTH($A126,6)), 'I1 - Universal Data'!$E$14:$V$14, 0)))</f>
        <v>-</v>
      </c>
      <c r="F126" s="1114" t="str">
        <f>IF($A126&lt;DATE(2018,7,1),"-",INDEX('I1 - Universal Data'!$E$15:$V$15, MATCH(YEAR(EOMONTH($A126,6)), 'I1 - Universal Data'!$E$14:$V$14, 0)))</f>
        <v>-</v>
      </c>
      <c r="G126" s="1115">
        <f t="shared" si="11"/>
        <v>87.5</v>
      </c>
      <c r="H126" s="1115">
        <f t="shared" si="11"/>
        <v>211.5</v>
      </c>
      <c r="U126" s="1103"/>
    </row>
    <row r="127" spans="1:21">
      <c r="A127" s="1112">
        <f t="shared" si="8"/>
        <v>39964</v>
      </c>
      <c r="B127" s="1113">
        <f t="shared" si="6"/>
        <v>2010</v>
      </c>
      <c r="C127" s="1281">
        <v>87.9</v>
      </c>
      <c r="D127" s="1281">
        <v>212.8</v>
      </c>
      <c r="E127" s="1114" t="str">
        <f>IF($A127&lt;DATE(2018,7,1),"-",INDEX('I1 - Universal Data'!$E$16:$V$16, MATCH(YEAR(EOMONTH($A127,6)), 'I1 - Universal Data'!$E$14:$V$14, 0)))</f>
        <v>-</v>
      </c>
      <c r="F127" s="1114" t="str">
        <f>IF($A127&lt;DATE(2018,7,1),"-",INDEX('I1 - Universal Data'!$E$15:$V$15, MATCH(YEAR(EOMONTH($A127,6)), 'I1 - Universal Data'!$E$14:$V$14, 0)))</f>
        <v>-</v>
      </c>
      <c r="G127" s="1115">
        <f t="shared" si="11"/>
        <v>87.9</v>
      </c>
      <c r="H127" s="1115">
        <f t="shared" si="11"/>
        <v>212.8</v>
      </c>
      <c r="U127" s="1103"/>
    </row>
    <row r="128" spans="1:21">
      <c r="A128" s="1112">
        <f t="shared" si="8"/>
        <v>39994</v>
      </c>
      <c r="B128" s="1113">
        <f t="shared" si="6"/>
        <v>2010</v>
      </c>
      <c r="C128" s="1281">
        <v>88.1</v>
      </c>
      <c r="D128" s="1281">
        <v>213.4</v>
      </c>
      <c r="E128" s="1114" t="str">
        <f>IF($A128&lt;DATE(2018,7,1),"-",INDEX('I1 - Universal Data'!$E$16:$V$16, MATCH(YEAR(EOMONTH($A128,6)), 'I1 - Universal Data'!$E$14:$V$14, 0)))</f>
        <v>-</v>
      </c>
      <c r="F128" s="1114" t="str">
        <f>IF($A128&lt;DATE(2018,7,1),"-",INDEX('I1 - Universal Data'!$E$15:$V$15, MATCH(YEAR(EOMONTH($A128,6)), 'I1 - Universal Data'!$E$14:$V$14, 0)))</f>
        <v>-</v>
      </c>
      <c r="G128" s="1115">
        <f t="shared" si="11"/>
        <v>88.1</v>
      </c>
      <c r="H128" s="1115">
        <f t="shared" si="11"/>
        <v>213.4</v>
      </c>
      <c r="U128" s="1103"/>
    </row>
    <row r="129" spans="1:21">
      <c r="A129" s="1112">
        <f t="shared" si="8"/>
        <v>40025</v>
      </c>
      <c r="B129" s="1113">
        <f t="shared" si="6"/>
        <v>2010</v>
      </c>
      <c r="C129" s="1281">
        <v>88</v>
      </c>
      <c r="D129" s="1281">
        <v>213.4</v>
      </c>
      <c r="E129" s="1114" t="str">
        <f>IF($A129&lt;DATE(2018,7,1),"-",INDEX('I1 - Universal Data'!$E$16:$V$16, MATCH(YEAR(EOMONTH($A129,6)), 'I1 - Universal Data'!$E$14:$V$14, 0)))</f>
        <v>-</v>
      </c>
      <c r="F129" s="1114" t="str">
        <f>IF($A129&lt;DATE(2018,7,1),"-",INDEX('I1 - Universal Data'!$E$15:$V$15, MATCH(YEAR(EOMONTH($A129,6)), 'I1 - Universal Data'!$E$14:$V$14, 0)))</f>
        <v>-</v>
      </c>
      <c r="G129" s="1115">
        <f t="shared" si="11"/>
        <v>88</v>
      </c>
      <c r="H129" s="1115">
        <f t="shared" si="11"/>
        <v>213.4</v>
      </c>
      <c r="U129" s="1103"/>
    </row>
    <row r="130" spans="1:21">
      <c r="A130" s="1112">
        <f t="shared" si="8"/>
        <v>40056</v>
      </c>
      <c r="B130" s="1113">
        <f t="shared" si="6"/>
        <v>2010</v>
      </c>
      <c r="C130" s="1281">
        <v>88.3</v>
      </c>
      <c r="D130" s="1281">
        <v>214.4</v>
      </c>
      <c r="E130" s="1114" t="str">
        <f>IF($A130&lt;DATE(2018,7,1),"-",INDEX('I1 - Universal Data'!$E$16:$V$16, MATCH(YEAR(EOMONTH($A130,6)), 'I1 - Universal Data'!$E$14:$V$14, 0)))</f>
        <v>-</v>
      </c>
      <c r="F130" s="1114" t="str">
        <f>IF($A130&lt;DATE(2018,7,1),"-",INDEX('I1 - Universal Data'!$E$15:$V$15, MATCH(YEAR(EOMONTH($A130,6)), 'I1 - Universal Data'!$E$14:$V$14, 0)))</f>
        <v>-</v>
      </c>
      <c r="G130" s="1115">
        <f t="shared" si="11"/>
        <v>88.3</v>
      </c>
      <c r="H130" s="1115">
        <f t="shared" si="11"/>
        <v>214.4</v>
      </c>
      <c r="U130" s="1103"/>
    </row>
    <row r="131" spans="1:21">
      <c r="A131" s="1112">
        <f t="shared" si="8"/>
        <v>40086</v>
      </c>
      <c r="B131" s="1113">
        <f t="shared" si="6"/>
        <v>2010</v>
      </c>
      <c r="C131" s="1281">
        <v>88.3</v>
      </c>
      <c r="D131" s="1281">
        <v>215.3</v>
      </c>
      <c r="E131" s="1114" t="str">
        <f>IF($A131&lt;DATE(2018,7,1),"-",INDEX('I1 - Universal Data'!$E$16:$V$16, MATCH(YEAR(EOMONTH($A131,6)), 'I1 - Universal Data'!$E$14:$V$14, 0)))</f>
        <v>-</v>
      </c>
      <c r="F131" s="1114" t="str">
        <f>IF($A131&lt;DATE(2018,7,1),"-",INDEX('I1 - Universal Data'!$E$15:$V$15, MATCH(YEAR(EOMONTH($A131,6)), 'I1 - Universal Data'!$E$14:$V$14, 0)))</f>
        <v>-</v>
      </c>
      <c r="G131" s="1115">
        <f t="shared" si="11"/>
        <v>88.3</v>
      </c>
      <c r="H131" s="1115">
        <f t="shared" si="11"/>
        <v>215.3</v>
      </c>
      <c r="U131" s="1103"/>
    </row>
    <row r="132" spans="1:21">
      <c r="A132" s="1112">
        <f t="shared" si="8"/>
        <v>40117</v>
      </c>
      <c r="B132" s="1113">
        <f t="shared" si="6"/>
        <v>2010</v>
      </c>
      <c r="C132" s="1281">
        <v>88.4</v>
      </c>
      <c r="D132" s="1281">
        <v>216</v>
      </c>
      <c r="E132" s="1114" t="str">
        <f>IF($A132&lt;DATE(2018,7,1),"-",INDEX('I1 - Universal Data'!$E$16:$V$16, MATCH(YEAR(EOMONTH($A132,6)), 'I1 - Universal Data'!$E$14:$V$14, 0)))</f>
        <v>-</v>
      </c>
      <c r="F132" s="1114" t="str">
        <f>IF($A132&lt;DATE(2018,7,1),"-",INDEX('I1 - Universal Data'!$E$15:$V$15, MATCH(YEAR(EOMONTH($A132,6)), 'I1 - Universal Data'!$E$14:$V$14, 0)))</f>
        <v>-</v>
      </c>
      <c r="G132" s="1115">
        <f t="shared" si="11"/>
        <v>88.4</v>
      </c>
      <c r="H132" s="1115">
        <f t="shared" si="11"/>
        <v>216</v>
      </c>
      <c r="U132" s="1103"/>
    </row>
    <row r="133" spans="1:21">
      <c r="A133" s="1112">
        <f t="shared" si="8"/>
        <v>40147</v>
      </c>
      <c r="B133" s="1113">
        <f t="shared" si="6"/>
        <v>2010</v>
      </c>
      <c r="C133" s="1281">
        <v>88.6</v>
      </c>
      <c r="D133" s="1281">
        <v>216.6</v>
      </c>
      <c r="E133" s="1114" t="str">
        <f>IF($A133&lt;DATE(2018,7,1),"-",INDEX('I1 - Universal Data'!$E$16:$V$16, MATCH(YEAR(EOMONTH($A133,6)), 'I1 - Universal Data'!$E$14:$V$14, 0)))</f>
        <v>-</v>
      </c>
      <c r="F133" s="1114" t="str">
        <f>IF($A133&lt;DATE(2018,7,1),"-",INDEX('I1 - Universal Data'!$E$15:$V$15, MATCH(YEAR(EOMONTH($A133,6)), 'I1 - Universal Data'!$E$14:$V$14, 0)))</f>
        <v>-</v>
      </c>
      <c r="G133" s="1115">
        <f t="shared" si="11"/>
        <v>88.6</v>
      </c>
      <c r="H133" s="1115">
        <f t="shared" si="11"/>
        <v>216.6</v>
      </c>
      <c r="U133" s="1103"/>
    </row>
    <row r="134" spans="1:21">
      <c r="A134" s="1112">
        <f t="shared" si="8"/>
        <v>40178</v>
      </c>
      <c r="B134" s="1113">
        <f t="shared" ref="B134:B197" si="12">IF(MONTH(A134)&gt;=4,YEAR(A134)+1,YEAR(A134))</f>
        <v>2010</v>
      </c>
      <c r="C134" s="1281">
        <v>88.9</v>
      </c>
      <c r="D134" s="1281">
        <v>218</v>
      </c>
      <c r="E134" s="1114" t="str">
        <f>IF($A134&lt;DATE(2018,7,1),"-",INDEX('I1 - Universal Data'!$E$16:$V$16, MATCH(YEAR(EOMONTH($A134,6)), 'I1 - Universal Data'!$E$14:$V$14, 0)))</f>
        <v>-</v>
      </c>
      <c r="F134" s="1114" t="str">
        <f>IF($A134&lt;DATE(2018,7,1),"-",INDEX('I1 - Universal Data'!$E$15:$V$15, MATCH(YEAR(EOMONTH($A134,6)), 'I1 - Universal Data'!$E$14:$V$14, 0)))</f>
        <v>-</v>
      </c>
      <c r="G134" s="1115">
        <f t="shared" ref="G134:H149" si="13">IF(ISBLANK(C134),G133*((1+E134)^(1/12)),C134)</f>
        <v>88.9</v>
      </c>
      <c r="H134" s="1115">
        <f t="shared" si="13"/>
        <v>218</v>
      </c>
      <c r="U134" s="1103"/>
    </row>
    <row r="135" spans="1:21">
      <c r="A135" s="1112">
        <f t="shared" ref="A135:A198" si="14">IF(MONTH(A134) = 12, EOMONTH(DATE(YEAR(A134) + 1, 1, 1), 0), EOMONTH(DATE(YEAR(A134), MONTH(A134) + 1, 1), 0))</f>
        <v>40209</v>
      </c>
      <c r="B135" s="1113">
        <f t="shared" si="12"/>
        <v>2010</v>
      </c>
      <c r="C135" s="1281">
        <v>88.8</v>
      </c>
      <c r="D135" s="1281">
        <v>217.9</v>
      </c>
      <c r="E135" s="1114" t="str">
        <f>IF($A135&lt;DATE(2018,7,1),"-",INDEX('I1 - Universal Data'!$E$16:$V$16, MATCH(YEAR(EOMONTH($A135,6)), 'I1 - Universal Data'!$E$14:$V$14, 0)))</f>
        <v>-</v>
      </c>
      <c r="F135" s="1114" t="str">
        <f>IF($A135&lt;DATE(2018,7,1),"-",INDEX('I1 - Universal Data'!$E$15:$V$15, MATCH(YEAR(EOMONTH($A135,6)), 'I1 - Universal Data'!$E$14:$V$14, 0)))</f>
        <v>-</v>
      </c>
      <c r="G135" s="1115">
        <f t="shared" si="13"/>
        <v>88.8</v>
      </c>
      <c r="H135" s="1115">
        <f t="shared" si="13"/>
        <v>217.9</v>
      </c>
      <c r="U135" s="1103"/>
    </row>
    <row r="136" spans="1:21">
      <c r="A136" s="1112">
        <f t="shared" si="14"/>
        <v>40237</v>
      </c>
      <c r="B136" s="1113">
        <f t="shared" si="12"/>
        <v>2010</v>
      </c>
      <c r="C136" s="1281">
        <v>89</v>
      </c>
      <c r="D136" s="1281">
        <v>219.2</v>
      </c>
      <c r="E136" s="1114" t="str">
        <f>IF($A136&lt;DATE(2018,7,1),"-",INDEX('I1 - Universal Data'!$E$16:$V$16, MATCH(YEAR(EOMONTH($A136,6)), 'I1 - Universal Data'!$E$14:$V$14, 0)))</f>
        <v>-</v>
      </c>
      <c r="F136" s="1114" t="str">
        <f>IF($A136&lt;DATE(2018,7,1),"-",INDEX('I1 - Universal Data'!$E$15:$V$15, MATCH(YEAR(EOMONTH($A136,6)), 'I1 - Universal Data'!$E$14:$V$14, 0)))</f>
        <v>-</v>
      </c>
      <c r="G136" s="1115">
        <f t="shared" si="13"/>
        <v>89</v>
      </c>
      <c r="H136" s="1115">
        <f t="shared" si="13"/>
        <v>219.2</v>
      </c>
      <c r="U136" s="1103"/>
    </row>
    <row r="137" spans="1:21">
      <c r="A137" s="1112">
        <f t="shared" si="14"/>
        <v>40268</v>
      </c>
      <c r="B137" s="1113">
        <f t="shared" si="12"/>
        <v>2010</v>
      </c>
      <c r="C137" s="1281">
        <v>89.4</v>
      </c>
      <c r="D137" s="1281">
        <v>220.7</v>
      </c>
      <c r="E137" s="1114" t="str">
        <f>IF($A137&lt;DATE(2018,7,1),"-",INDEX('I1 - Universal Data'!$E$16:$V$16, MATCH(YEAR(EOMONTH($A137,6)), 'I1 - Universal Data'!$E$14:$V$14, 0)))</f>
        <v>-</v>
      </c>
      <c r="F137" s="1114" t="str">
        <f>IF($A137&lt;DATE(2018,7,1),"-",INDEX('I1 - Universal Data'!$E$15:$V$15, MATCH(YEAR(EOMONTH($A137,6)), 'I1 - Universal Data'!$E$14:$V$14, 0)))</f>
        <v>-</v>
      </c>
      <c r="G137" s="1115">
        <f t="shared" si="13"/>
        <v>89.4</v>
      </c>
      <c r="H137" s="1115">
        <f t="shared" si="13"/>
        <v>220.7</v>
      </c>
      <c r="U137" s="1103"/>
    </row>
    <row r="138" spans="1:21">
      <c r="A138" s="1112">
        <f t="shared" si="14"/>
        <v>40298</v>
      </c>
      <c r="B138" s="1113">
        <f t="shared" si="12"/>
        <v>2011</v>
      </c>
      <c r="C138" s="1281">
        <v>89.9</v>
      </c>
      <c r="D138" s="1281">
        <v>222.8</v>
      </c>
      <c r="E138" s="1114" t="str">
        <f>IF($A138&lt;DATE(2018,7,1),"-",INDEX('I1 - Universal Data'!$E$16:$V$16, MATCH(YEAR(EOMONTH($A138,6)), 'I1 - Universal Data'!$E$14:$V$14, 0)))</f>
        <v>-</v>
      </c>
      <c r="F138" s="1114" t="str">
        <f>IF($A138&lt;DATE(2018,7,1),"-",INDEX('I1 - Universal Data'!$E$15:$V$15, MATCH(YEAR(EOMONTH($A138,6)), 'I1 - Universal Data'!$E$14:$V$14, 0)))</f>
        <v>-</v>
      </c>
      <c r="G138" s="1115">
        <f t="shared" si="13"/>
        <v>89.9</v>
      </c>
      <c r="H138" s="1115">
        <f t="shared" si="13"/>
        <v>222.8</v>
      </c>
      <c r="U138" s="1103"/>
    </row>
    <row r="139" spans="1:21">
      <c r="A139" s="1112">
        <f t="shared" si="14"/>
        <v>40329</v>
      </c>
      <c r="B139" s="1113">
        <f t="shared" si="12"/>
        <v>2011</v>
      </c>
      <c r="C139" s="1281">
        <v>90.1</v>
      </c>
      <c r="D139" s="1281">
        <v>223.6</v>
      </c>
      <c r="E139" s="1114" t="str">
        <f>IF($A139&lt;DATE(2018,7,1),"-",INDEX('I1 - Universal Data'!$E$16:$V$16, MATCH(YEAR(EOMONTH($A139,6)), 'I1 - Universal Data'!$E$14:$V$14, 0)))</f>
        <v>-</v>
      </c>
      <c r="F139" s="1114" t="str">
        <f>IF($A139&lt;DATE(2018,7,1),"-",INDEX('I1 - Universal Data'!$E$15:$V$15, MATCH(YEAR(EOMONTH($A139,6)), 'I1 - Universal Data'!$E$14:$V$14, 0)))</f>
        <v>-</v>
      </c>
      <c r="G139" s="1115">
        <f t="shared" si="13"/>
        <v>90.1</v>
      </c>
      <c r="H139" s="1115">
        <f t="shared" si="13"/>
        <v>223.6</v>
      </c>
      <c r="U139" s="1103"/>
    </row>
    <row r="140" spans="1:21">
      <c r="A140" s="1112">
        <f t="shared" si="14"/>
        <v>40359</v>
      </c>
      <c r="B140" s="1113">
        <f t="shared" si="12"/>
        <v>2011</v>
      </c>
      <c r="C140" s="1281">
        <v>90.2</v>
      </c>
      <c r="D140" s="1281">
        <v>224.1</v>
      </c>
      <c r="E140" s="1114" t="str">
        <f>IF($A140&lt;DATE(2018,7,1),"-",INDEX('I1 - Universal Data'!$E$16:$V$16, MATCH(YEAR(EOMONTH($A140,6)), 'I1 - Universal Data'!$E$14:$V$14, 0)))</f>
        <v>-</v>
      </c>
      <c r="F140" s="1114" t="str">
        <f>IF($A140&lt;DATE(2018,7,1),"-",INDEX('I1 - Universal Data'!$E$15:$V$15, MATCH(YEAR(EOMONTH($A140,6)), 'I1 - Universal Data'!$E$14:$V$14, 0)))</f>
        <v>-</v>
      </c>
      <c r="G140" s="1115">
        <f t="shared" si="13"/>
        <v>90.2</v>
      </c>
      <c r="H140" s="1115">
        <f t="shared" si="13"/>
        <v>224.1</v>
      </c>
      <c r="U140" s="1103"/>
    </row>
    <row r="141" spans="1:21">
      <c r="A141" s="1112">
        <f t="shared" si="14"/>
        <v>40390</v>
      </c>
      <c r="B141" s="1113">
        <f t="shared" si="12"/>
        <v>2011</v>
      </c>
      <c r="C141" s="1281">
        <v>90</v>
      </c>
      <c r="D141" s="1281">
        <v>223.6</v>
      </c>
      <c r="E141" s="1114" t="str">
        <f>IF($A141&lt;DATE(2018,7,1),"-",INDEX('I1 - Universal Data'!$E$16:$V$16, MATCH(YEAR(EOMONTH($A141,6)), 'I1 - Universal Data'!$E$14:$V$14, 0)))</f>
        <v>-</v>
      </c>
      <c r="F141" s="1114" t="str">
        <f>IF($A141&lt;DATE(2018,7,1),"-",INDEX('I1 - Universal Data'!$E$15:$V$15, MATCH(YEAR(EOMONTH($A141,6)), 'I1 - Universal Data'!$E$14:$V$14, 0)))</f>
        <v>-</v>
      </c>
      <c r="G141" s="1115">
        <f t="shared" si="13"/>
        <v>90</v>
      </c>
      <c r="H141" s="1115">
        <f t="shared" si="13"/>
        <v>223.6</v>
      </c>
      <c r="U141" s="1103"/>
    </row>
    <row r="142" spans="1:21">
      <c r="A142" s="1112">
        <f t="shared" si="14"/>
        <v>40421</v>
      </c>
      <c r="B142" s="1113">
        <f t="shared" si="12"/>
        <v>2011</v>
      </c>
      <c r="C142" s="1281">
        <v>90.4</v>
      </c>
      <c r="D142" s="1281">
        <v>224.5</v>
      </c>
      <c r="E142" s="1114" t="str">
        <f>IF($A142&lt;DATE(2018,7,1),"-",INDEX('I1 - Universal Data'!$E$16:$V$16, MATCH(YEAR(EOMONTH($A142,6)), 'I1 - Universal Data'!$E$14:$V$14, 0)))</f>
        <v>-</v>
      </c>
      <c r="F142" s="1114" t="str">
        <f>IF($A142&lt;DATE(2018,7,1),"-",INDEX('I1 - Universal Data'!$E$15:$V$15, MATCH(YEAR(EOMONTH($A142,6)), 'I1 - Universal Data'!$E$14:$V$14, 0)))</f>
        <v>-</v>
      </c>
      <c r="G142" s="1115">
        <f t="shared" si="13"/>
        <v>90.4</v>
      </c>
      <c r="H142" s="1115">
        <f t="shared" si="13"/>
        <v>224.5</v>
      </c>
      <c r="U142" s="1103"/>
    </row>
    <row r="143" spans="1:21">
      <c r="A143" s="1112">
        <f t="shared" si="14"/>
        <v>40451</v>
      </c>
      <c r="B143" s="1113">
        <f t="shared" si="12"/>
        <v>2011</v>
      </c>
      <c r="C143" s="1281">
        <v>90.4</v>
      </c>
      <c r="D143" s="1281">
        <v>225.3</v>
      </c>
      <c r="E143" s="1114" t="str">
        <f>IF($A143&lt;DATE(2018,7,1),"-",INDEX('I1 - Universal Data'!$E$16:$V$16, MATCH(YEAR(EOMONTH($A143,6)), 'I1 - Universal Data'!$E$14:$V$14, 0)))</f>
        <v>-</v>
      </c>
      <c r="F143" s="1114" t="str">
        <f>IF($A143&lt;DATE(2018,7,1),"-",INDEX('I1 - Universal Data'!$E$15:$V$15, MATCH(YEAR(EOMONTH($A143,6)), 'I1 - Universal Data'!$E$14:$V$14, 0)))</f>
        <v>-</v>
      </c>
      <c r="G143" s="1115">
        <f t="shared" si="13"/>
        <v>90.4</v>
      </c>
      <c r="H143" s="1115">
        <f t="shared" si="13"/>
        <v>225.3</v>
      </c>
      <c r="U143" s="1103"/>
    </row>
    <row r="144" spans="1:21">
      <c r="A144" s="1112">
        <f t="shared" si="14"/>
        <v>40482</v>
      </c>
      <c r="B144" s="1113">
        <f t="shared" si="12"/>
        <v>2011</v>
      </c>
      <c r="C144" s="1281">
        <v>90.6</v>
      </c>
      <c r="D144" s="1281">
        <v>225.8</v>
      </c>
      <c r="E144" s="1114" t="str">
        <f>IF($A144&lt;DATE(2018,7,1),"-",INDEX('I1 - Universal Data'!$E$16:$V$16, MATCH(YEAR(EOMONTH($A144,6)), 'I1 - Universal Data'!$E$14:$V$14, 0)))</f>
        <v>-</v>
      </c>
      <c r="F144" s="1114" t="str">
        <f>IF($A144&lt;DATE(2018,7,1),"-",INDEX('I1 - Universal Data'!$E$15:$V$15, MATCH(YEAR(EOMONTH($A144,6)), 'I1 - Universal Data'!$E$14:$V$14, 0)))</f>
        <v>-</v>
      </c>
      <c r="G144" s="1115">
        <f t="shared" si="13"/>
        <v>90.6</v>
      </c>
      <c r="H144" s="1115">
        <f t="shared" si="13"/>
        <v>225.8</v>
      </c>
      <c r="U144" s="1103"/>
    </row>
    <row r="145" spans="1:21">
      <c r="A145" s="1112">
        <f t="shared" si="14"/>
        <v>40512</v>
      </c>
      <c r="B145" s="1113">
        <f t="shared" si="12"/>
        <v>2011</v>
      </c>
      <c r="C145" s="1281">
        <v>90.9</v>
      </c>
      <c r="D145" s="1281">
        <v>226.8</v>
      </c>
      <c r="E145" s="1114" t="str">
        <f>IF($A145&lt;DATE(2018,7,1),"-",INDEX('I1 - Universal Data'!$E$16:$V$16, MATCH(YEAR(EOMONTH($A145,6)), 'I1 - Universal Data'!$E$14:$V$14, 0)))</f>
        <v>-</v>
      </c>
      <c r="F145" s="1114" t="str">
        <f>IF($A145&lt;DATE(2018,7,1),"-",INDEX('I1 - Universal Data'!$E$15:$V$15, MATCH(YEAR(EOMONTH($A145,6)), 'I1 - Universal Data'!$E$14:$V$14, 0)))</f>
        <v>-</v>
      </c>
      <c r="G145" s="1115">
        <f t="shared" si="13"/>
        <v>90.9</v>
      </c>
      <c r="H145" s="1115">
        <f t="shared" si="13"/>
        <v>226.8</v>
      </c>
      <c r="U145" s="1103"/>
    </row>
    <row r="146" spans="1:21">
      <c r="A146" s="1112">
        <f t="shared" si="14"/>
        <v>40543</v>
      </c>
      <c r="B146" s="1113">
        <f t="shared" si="12"/>
        <v>2011</v>
      </c>
      <c r="C146" s="1281">
        <v>91.7</v>
      </c>
      <c r="D146" s="1281">
        <v>228.4</v>
      </c>
      <c r="E146" s="1114" t="str">
        <f>IF($A146&lt;DATE(2018,7,1),"-",INDEX('I1 - Universal Data'!$E$16:$V$16, MATCH(YEAR(EOMONTH($A146,6)), 'I1 - Universal Data'!$E$14:$V$14, 0)))</f>
        <v>-</v>
      </c>
      <c r="F146" s="1114" t="str">
        <f>IF($A146&lt;DATE(2018,7,1),"-",INDEX('I1 - Universal Data'!$E$15:$V$15, MATCH(YEAR(EOMONTH($A146,6)), 'I1 - Universal Data'!$E$14:$V$14, 0)))</f>
        <v>-</v>
      </c>
      <c r="G146" s="1115">
        <f t="shared" si="13"/>
        <v>91.7</v>
      </c>
      <c r="H146" s="1115">
        <f t="shared" si="13"/>
        <v>228.4</v>
      </c>
      <c r="U146" s="1103"/>
    </row>
    <row r="147" spans="1:21">
      <c r="A147" s="1112">
        <f t="shared" si="14"/>
        <v>40574</v>
      </c>
      <c r="B147" s="1113">
        <f t="shared" si="12"/>
        <v>2011</v>
      </c>
      <c r="C147" s="1281">
        <v>91.8</v>
      </c>
      <c r="D147" s="1281">
        <v>229</v>
      </c>
      <c r="E147" s="1114" t="str">
        <f>IF($A147&lt;DATE(2018,7,1),"-",INDEX('I1 - Universal Data'!$E$16:$V$16, MATCH(YEAR(EOMONTH($A147,6)), 'I1 - Universal Data'!$E$14:$V$14, 0)))</f>
        <v>-</v>
      </c>
      <c r="F147" s="1114" t="str">
        <f>IF($A147&lt;DATE(2018,7,1),"-",INDEX('I1 - Universal Data'!$E$15:$V$15, MATCH(YEAR(EOMONTH($A147,6)), 'I1 - Universal Data'!$E$14:$V$14, 0)))</f>
        <v>-</v>
      </c>
      <c r="G147" s="1115">
        <f t="shared" si="13"/>
        <v>91.8</v>
      </c>
      <c r="H147" s="1115">
        <f t="shared" si="13"/>
        <v>229</v>
      </c>
      <c r="U147" s="1103"/>
    </row>
    <row r="148" spans="1:21">
      <c r="A148" s="1112">
        <f t="shared" si="14"/>
        <v>40602</v>
      </c>
      <c r="B148" s="1113">
        <f t="shared" si="12"/>
        <v>2011</v>
      </c>
      <c r="C148" s="1281">
        <v>92.3</v>
      </c>
      <c r="D148" s="1281">
        <v>231.3</v>
      </c>
      <c r="E148" s="1114" t="str">
        <f>IF($A148&lt;DATE(2018,7,1),"-",INDEX('I1 - Universal Data'!$E$16:$V$16, MATCH(YEAR(EOMONTH($A148,6)), 'I1 - Universal Data'!$E$14:$V$14, 0)))</f>
        <v>-</v>
      </c>
      <c r="F148" s="1114" t="str">
        <f>IF($A148&lt;DATE(2018,7,1),"-",INDEX('I1 - Universal Data'!$E$15:$V$15, MATCH(YEAR(EOMONTH($A148,6)), 'I1 - Universal Data'!$E$14:$V$14, 0)))</f>
        <v>-</v>
      </c>
      <c r="G148" s="1115">
        <f t="shared" si="13"/>
        <v>92.3</v>
      </c>
      <c r="H148" s="1115">
        <f t="shared" si="13"/>
        <v>231.3</v>
      </c>
      <c r="U148" s="1103"/>
    </row>
    <row r="149" spans="1:21">
      <c r="A149" s="1112">
        <f t="shared" si="14"/>
        <v>40633</v>
      </c>
      <c r="B149" s="1113">
        <f t="shared" si="12"/>
        <v>2011</v>
      </c>
      <c r="C149" s="1281">
        <v>92.6</v>
      </c>
      <c r="D149" s="1281">
        <v>232.5</v>
      </c>
      <c r="E149" s="1114" t="str">
        <f>IF($A149&lt;DATE(2018,7,1),"-",INDEX('I1 - Universal Data'!$E$16:$V$16, MATCH(YEAR(EOMONTH($A149,6)), 'I1 - Universal Data'!$E$14:$V$14, 0)))</f>
        <v>-</v>
      </c>
      <c r="F149" s="1114" t="str">
        <f>IF($A149&lt;DATE(2018,7,1),"-",INDEX('I1 - Universal Data'!$E$15:$V$15, MATCH(YEAR(EOMONTH($A149,6)), 'I1 - Universal Data'!$E$14:$V$14, 0)))</f>
        <v>-</v>
      </c>
      <c r="G149" s="1115">
        <f t="shared" si="13"/>
        <v>92.6</v>
      </c>
      <c r="H149" s="1115">
        <f t="shared" si="13"/>
        <v>232.5</v>
      </c>
      <c r="U149" s="1103"/>
    </row>
    <row r="150" spans="1:21">
      <c r="A150" s="1112">
        <f t="shared" si="14"/>
        <v>40663</v>
      </c>
      <c r="B150" s="1113">
        <f t="shared" si="12"/>
        <v>2012</v>
      </c>
      <c r="C150" s="1281">
        <v>93.3</v>
      </c>
      <c r="D150" s="1281">
        <v>234.4</v>
      </c>
      <c r="E150" s="1114" t="str">
        <f>IF($A150&lt;DATE(2018,7,1),"-",INDEX('I1 - Universal Data'!$E$16:$V$16, MATCH(YEAR(EOMONTH($A150,6)), 'I1 - Universal Data'!$E$14:$V$14, 0)))</f>
        <v>-</v>
      </c>
      <c r="F150" s="1114" t="str">
        <f>IF($A150&lt;DATE(2018,7,1),"-",INDEX('I1 - Universal Data'!$E$15:$V$15, MATCH(YEAR(EOMONTH($A150,6)), 'I1 - Universal Data'!$E$14:$V$14, 0)))</f>
        <v>-</v>
      </c>
      <c r="G150" s="1115">
        <f t="shared" ref="G150:H165" si="15">IF(ISBLANK(C150),G149*((1+E150)^(1/12)),C150)</f>
        <v>93.3</v>
      </c>
      <c r="H150" s="1115">
        <f t="shared" si="15"/>
        <v>234.4</v>
      </c>
      <c r="U150" s="1103"/>
    </row>
    <row r="151" spans="1:21">
      <c r="A151" s="1112">
        <f t="shared" si="14"/>
        <v>40694</v>
      </c>
      <c r="B151" s="1113">
        <f t="shared" si="12"/>
        <v>2012</v>
      </c>
      <c r="C151" s="1281">
        <v>93.5</v>
      </c>
      <c r="D151" s="1281">
        <v>235.2</v>
      </c>
      <c r="E151" s="1114" t="str">
        <f>IF($A151&lt;DATE(2018,7,1),"-",INDEX('I1 - Universal Data'!$E$16:$V$16, MATCH(YEAR(EOMONTH($A151,6)), 'I1 - Universal Data'!$E$14:$V$14, 0)))</f>
        <v>-</v>
      </c>
      <c r="F151" s="1114" t="str">
        <f>IF($A151&lt;DATE(2018,7,1),"-",INDEX('I1 - Universal Data'!$E$15:$V$15, MATCH(YEAR(EOMONTH($A151,6)), 'I1 - Universal Data'!$E$14:$V$14, 0)))</f>
        <v>-</v>
      </c>
      <c r="G151" s="1115">
        <f t="shared" si="15"/>
        <v>93.5</v>
      </c>
      <c r="H151" s="1115">
        <f t="shared" si="15"/>
        <v>235.2</v>
      </c>
      <c r="U151" s="1103"/>
    </row>
    <row r="152" spans="1:21">
      <c r="A152" s="1112">
        <f t="shared" si="14"/>
        <v>40724</v>
      </c>
      <c r="B152" s="1113">
        <f t="shared" si="12"/>
        <v>2012</v>
      </c>
      <c r="C152" s="1281">
        <v>93.5</v>
      </c>
      <c r="D152" s="1281">
        <v>235.2</v>
      </c>
      <c r="E152" s="1114" t="str">
        <f>IF($A152&lt;DATE(2018,7,1),"-",INDEX('I1 - Universal Data'!$E$16:$V$16, MATCH(YEAR(EOMONTH($A152,6)), 'I1 - Universal Data'!$E$14:$V$14, 0)))</f>
        <v>-</v>
      </c>
      <c r="F152" s="1114" t="str">
        <f>IF($A152&lt;DATE(2018,7,1),"-",INDEX('I1 - Universal Data'!$E$15:$V$15, MATCH(YEAR(EOMONTH($A152,6)), 'I1 - Universal Data'!$E$14:$V$14, 0)))</f>
        <v>-</v>
      </c>
      <c r="G152" s="1115">
        <f t="shared" si="15"/>
        <v>93.5</v>
      </c>
      <c r="H152" s="1115">
        <f t="shared" si="15"/>
        <v>235.2</v>
      </c>
      <c r="U152" s="1103"/>
    </row>
    <row r="153" spans="1:21">
      <c r="A153" s="1112">
        <f t="shared" si="14"/>
        <v>40755</v>
      </c>
      <c r="B153" s="1113">
        <f t="shared" si="12"/>
        <v>2012</v>
      </c>
      <c r="C153" s="1281">
        <v>93.5</v>
      </c>
      <c r="D153" s="1281">
        <v>234.7</v>
      </c>
      <c r="E153" s="1114" t="str">
        <f>IF($A153&lt;DATE(2018,7,1),"-",INDEX('I1 - Universal Data'!$E$16:$V$16, MATCH(YEAR(EOMONTH($A153,6)), 'I1 - Universal Data'!$E$14:$V$14, 0)))</f>
        <v>-</v>
      </c>
      <c r="F153" s="1114" t="str">
        <f>IF($A153&lt;DATE(2018,7,1),"-",INDEX('I1 - Universal Data'!$E$15:$V$15, MATCH(YEAR(EOMONTH($A153,6)), 'I1 - Universal Data'!$E$14:$V$14, 0)))</f>
        <v>-</v>
      </c>
      <c r="G153" s="1115">
        <f t="shared" si="15"/>
        <v>93.5</v>
      </c>
      <c r="H153" s="1115">
        <f t="shared" si="15"/>
        <v>234.7</v>
      </c>
      <c r="U153" s="1103"/>
    </row>
    <row r="154" spans="1:21">
      <c r="A154" s="1112">
        <f t="shared" si="14"/>
        <v>40786</v>
      </c>
      <c r="B154" s="1113">
        <f t="shared" si="12"/>
        <v>2012</v>
      </c>
      <c r="C154" s="1281">
        <v>93.9</v>
      </c>
      <c r="D154" s="1281">
        <v>236.1</v>
      </c>
      <c r="E154" s="1114" t="str">
        <f>IF($A154&lt;DATE(2018,7,1),"-",INDEX('I1 - Universal Data'!$E$16:$V$16, MATCH(YEAR(EOMONTH($A154,6)), 'I1 - Universal Data'!$E$14:$V$14, 0)))</f>
        <v>-</v>
      </c>
      <c r="F154" s="1114" t="str">
        <f>IF($A154&lt;DATE(2018,7,1),"-",INDEX('I1 - Universal Data'!$E$15:$V$15, MATCH(YEAR(EOMONTH($A154,6)), 'I1 - Universal Data'!$E$14:$V$14, 0)))</f>
        <v>-</v>
      </c>
      <c r="G154" s="1115">
        <f t="shared" si="15"/>
        <v>93.9</v>
      </c>
      <c r="H154" s="1115">
        <f t="shared" si="15"/>
        <v>236.1</v>
      </c>
      <c r="U154" s="1103"/>
    </row>
    <row r="155" spans="1:21">
      <c r="A155" s="1112">
        <f t="shared" si="14"/>
        <v>40816</v>
      </c>
      <c r="B155" s="1113">
        <f t="shared" si="12"/>
        <v>2012</v>
      </c>
      <c r="C155" s="1281">
        <v>94.5</v>
      </c>
      <c r="D155" s="1281">
        <v>237.9</v>
      </c>
      <c r="E155" s="1114" t="str">
        <f>IF($A155&lt;DATE(2018,7,1),"-",INDEX('I1 - Universal Data'!$E$16:$V$16, MATCH(YEAR(EOMONTH($A155,6)), 'I1 - Universal Data'!$E$14:$V$14, 0)))</f>
        <v>-</v>
      </c>
      <c r="F155" s="1114" t="str">
        <f>IF($A155&lt;DATE(2018,7,1),"-",INDEX('I1 - Universal Data'!$E$15:$V$15, MATCH(YEAR(EOMONTH($A155,6)), 'I1 - Universal Data'!$E$14:$V$14, 0)))</f>
        <v>-</v>
      </c>
      <c r="G155" s="1115">
        <f t="shared" si="15"/>
        <v>94.5</v>
      </c>
      <c r="H155" s="1115">
        <f t="shared" si="15"/>
        <v>237.9</v>
      </c>
      <c r="U155" s="1103"/>
    </row>
    <row r="156" spans="1:21">
      <c r="A156" s="1112">
        <f t="shared" si="14"/>
        <v>40847</v>
      </c>
      <c r="B156" s="1113">
        <f t="shared" si="12"/>
        <v>2012</v>
      </c>
      <c r="C156" s="1281">
        <v>94.5</v>
      </c>
      <c r="D156" s="1281">
        <v>238</v>
      </c>
      <c r="E156" s="1114" t="str">
        <f>IF($A156&lt;DATE(2018,7,1),"-",INDEX('I1 - Universal Data'!$E$16:$V$16, MATCH(YEAR(EOMONTH($A156,6)), 'I1 - Universal Data'!$E$14:$V$14, 0)))</f>
        <v>-</v>
      </c>
      <c r="F156" s="1114" t="str">
        <f>IF($A156&lt;DATE(2018,7,1),"-",INDEX('I1 - Universal Data'!$E$15:$V$15, MATCH(YEAR(EOMONTH($A156,6)), 'I1 - Universal Data'!$E$14:$V$14, 0)))</f>
        <v>-</v>
      </c>
      <c r="G156" s="1115">
        <f t="shared" si="15"/>
        <v>94.5</v>
      </c>
      <c r="H156" s="1115">
        <f t="shared" si="15"/>
        <v>238</v>
      </c>
      <c r="U156" s="1103"/>
    </row>
    <row r="157" spans="1:21">
      <c r="A157" s="1112">
        <f t="shared" si="14"/>
        <v>40877</v>
      </c>
      <c r="B157" s="1113">
        <f t="shared" si="12"/>
        <v>2012</v>
      </c>
      <c r="C157" s="1281">
        <v>94.7</v>
      </c>
      <c r="D157" s="1281">
        <v>238.5</v>
      </c>
      <c r="E157" s="1114" t="str">
        <f>IF($A157&lt;DATE(2018,7,1),"-",INDEX('I1 - Universal Data'!$E$16:$V$16, MATCH(YEAR(EOMONTH($A157,6)), 'I1 - Universal Data'!$E$14:$V$14, 0)))</f>
        <v>-</v>
      </c>
      <c r="F157" s="1114" t="str">
        <f>IF($A157&lt;DATE(2018,7,1),"-",INDEX('I1 - Universal Data'!$E$15:$V$15, MATCH(YEAR(EOMONTH($A157,6)), 'I1 - Universal Data'!$E$14:$V$14, 0)))</f>
        <v>-</v>
      </c>
      <c r="G157" s="1115">
        <f t="shared" si="15"/>
        <v>94.7</v>
      </c>
      <c r="H157" s="1115">
        <f t="shared" si="15"/>
        <v>238.5</v>
      </c>
      <c r="U157" s="1103"/>
    </row>
    <row r="158" spans="1:21">
      <c r="A158" s="1112">
        <f t="shared" si="14"/>
        <v>40908</v>
      </c>
      <c r="B158" s="1113">
        <f t="shared" si="12"/>
        <v>2012</v>
      </c>
      <c r="C158" s="1281">
        <v>95</v>
      </c>
      <c r="D158" s="1281">
        <v>239.4</v>
      </c>
      <c r="E158" s="1114" t="str">
        <f>IF($A158&lt;DATE(2018,7,1),"-",INDEX('I1 - Universal Data'!$E$16:$V$16, MATCH(YEAR(EOMONTH($A158,6)), 'I1 - Universal Data'!$E$14:$V$14, 0)))</f>
        <v>-</v>
      </c>
      <c r="F158" s="1114" t="str">
        <f>IF($A158&lt;DATE(2018,7,1),"-",INDEX('I1 - Universal Data'!$E$15:$V$15, MATCH(YEAR(EOMONTH($A158,6)), 'I1 - Universal Data'!$E$14:$V$14, 0)))</f>
        <v>-</v>
      </c>
      <c r="G158" s="1115">
        <f t="shared" si="15"/>
        <v>95</v>
      </c>
      <c r="H158" s="1115">
        <f t="shared" si="15"/>
        <v>239.4</v>
      </c>
      <c r="U158" s="1103"/>
    </row>
    <row r="159" spans="1:21">
      <c r="A159" s="1112">
        <f t="shared" si="14"/>
        <v>40939</v>
      </c>
      <c r="B159" s="1113">
        <f t="shared" si="12"/>
        <v>2012</v>
      </c>
      <c r="C159" s="1281">
        <v>94.7</v>
      </c>
      <c r="D159" s="1281">
        <v>238</v>
      </c>
      <c r="E159" s="1114" t="str">
        <f>IF($A159&lt;DATE(2018,7,1),"-",INDEX('I1 - Universal Data'!$E$16:$V$16, MATCH(YEAR(EOMONTH($A159,6)), 'I1 - Universal Data'!$E$14:$V$14, 0)))</f>
        <v>-</v>
      </c>
      <c r="F159" s="1114" t="str">
        <f>IF($A159&lt;DATE(2018,7,1),"-",INDEX('I1 - Universal Data'!$E$15:$V$15, MATCH(YEAR(EOMONTH($A159,6)), 'I1 - Universal Data'!$E$14:$V$14, 0)))</f>
        <v>-</v>
      </c>
      <c r="G159" s="1115">
        <f t="shared" si="15"/>
        <v>94.7</v>
      </c>
      <c r="H159" s="1115">
        <f t="shared" si="15"/>
        <v>238</v>
      </c>
      <c r="U159" s="1103"/>
    </row>
    <row r="160" spans="1:21">
      <c r="A160" s="1112">
        <f t="shared" si="14"/>
        <v>40968</v>
      </c>
      <c r="B160" s="1113">
        <f t="shared" si="12"/>
        <v>2012</v>
      </c>
      <c r="C160" s="1281">
        <v>95.2</v>
      </c>
      <c r="D160" s="1281">
        <v>239.9</v>
      </c>
      <c r="E160" s="1114" t="str">
        <f>IF($A160&lt;DATE(2018,7,1),"-",INDEX('I1 - Universal Data'!$E$16:$V$16, MATCH(YEAR(EOMONTH($A160,6)), 'I1 - Universal Data'!$E$14:$V$14, 0)))</f>
        <v>-</v>
      </c>
      <c r="F160" s="1114" t="str">
        <f>IF($A160&lt;DATE(2018,7,1),"-",INDEX('I1 - Universal Data'!$E$15:$V$15, MATCH(YEAR(EOMONTH($A160,6)), 'I1 - Universal Data'!$E$14:$V$14, 0)))</f>
        <v>-</v>
      </c>
      <c r="G160" s="1115">
        <f t="shared" si="15"/>
        <v>95.2</v>
      </c>
      <c r="H160" s="1115">
        <f t="shared" si="15"/>
        <v>239.9</v>
      </c>
      <c r="U160" s="1103"/>
    </row>
    <row r="161" spans="1:21">
      <c r="A161" s="1112">
        <f t="shared" si="14"/>
        <v>40999</v>
      </c>
      <c r="B161" s="1113">
        <f t="shared" si="12"/>
        <v>2012</v>
      </c>
      <c r="C161" s="1281">
        <v>95.4</v>
      </c>
      <c r="D161" s="1281">
        <v>240.8</v>
      </c>
      <c r="E161" s="1114" t="str">
        <f>IF($A161&lt;DATE(2018,7,1),"-",INDEX('I1 - Universal Data'!$E$16:$V$16, MATCH(YEAR(EOMONTH($A161,6)), 'I1 - Universal Data'!$E$14:$V$14, 0)))</f>
        <v>-</v>
      </c>
      <c r="F161" s="1114" t="str">
        <f>IF($A161&lt;DATE(2018,7,1),"-",INDEX('I1 - Universal Data'!$E$15:$V$15, MATCH(YEAR(EOMONTH($A161,6)), 'I1 - Universal Data'!$E$14:$V$14, 0)))</f>
        <v>-</v>
      </c>
      <c r="G161" s="1115">
        <f t="shared" si="15"/>
        <v>95.4</v>
      </c>
      <c r="H161" s="1115">
        <f t="shared" si="15"/>
        <v>240.8</v>
      </c>
      <c r="U161" s="1103"/>
    </row>
    <row r="162" spans="1:21">
      <c r="A162" s="1112">
        <f t="shared" si="14"/>
        <v>41029</v>
      </c>
      <c r="B162" s="1113">
        <f t="shared" si="12"/>
        <v>2013</v>
      </c>
      <c r="C162" s="1281">
        <v>95.9</v>
      </c>
      <c r="D162" s="1281">
        <v>242.5</v>
      </c>
      <c r="E162" s="1114" t="str">
        <f>IF($A162&lt;DATE(2018,7,1),"-",INDEX('I1 - Universal Data'!$E$16:$V$16, MATCH(YEAR(EOMONTH($A162,6)), 'I1 - Universal Data'!$E$14:$V$14, 0)))</f>
        <v>-</v>
      </c>
      <c r="F162" s="1114" t="str">
        <f>IF($A162&lt;DATE(2018,7,1),"-",INDEX('I1 - Universal Data'!$E$15:$V$15, MATCH(YEAR(EOMONTH($A162,6)), 'I1 - Universal Data'!$E$14:$V$14, 0)))</f>
        <v>-</v>
      </c>
      <c r="G162" s="1115">
        <f t="shared" si="15"/>
        <v>95.9</v>
      </c>
      <c r="H162" s="1115">
        <f t="shared" si="15"/>
        <v>242.5</v>
      </c>
      <c r="U162" s="1103"/>
    </row>
    <row r="163" spans="1:21">
      <c r="A163" s="1112">
        <f t="shared" si="14"/>
        <v>41060</v>
      </c>
      <c r="B163" s="1113">
        <f t="shared" si="12"/>
        <v>2013</v>
      </c>
      <c r="C163" s="1281">
        <v>95.9</v>
      </c>
      <c r="D163" s="1281">
        <v>242.4</v>
      </c>
      <c r="E163" s="1114" t="str">
        <f>IF($A163&lt;DATE(2018,7,1),"-",INDEX('I1 - Universal Data'!$E$16:$V$16, MATCH(YEAR(EOMONTH($A163,6)), 'I1 - Universal Data'!$E$14:$V$14, 0)))</f>
        <v>-</v>
      </c>
      <c r="F163" s="1114" t="str">
        <f>IF($A163&lt;DATE(2018,7,1),"-",INDEX('I1 - Universal Data'!$E$15:$V$15, MATCH(YEAR(EOMONTH($A163,6)), 'I1 - Universal Data'!$E$14:$V$14, 0)))</f>
        <v>-</v>
      </c>
      <c r="G163" s="1115">
        <f t="shared" si="15"/>
        <v>95.9</v>
      </c>
      <c r="H163" s="1115">
        <f t="shared" si="15"/>
        <v>242.4</v>
      </c>
      <c r="U163" s="1103"/>
    </row>
    <row r="164" spans="1:21">
      <c r="A164" s="1112">
        <f t="shared" si="14"/>
        <v>41090</v>
      </c>
      <c r="B164" s="1113">
        <f t="shared" si="12"/>
        <v>2013</v>
      </c>
      <c r="C164" s="1281">
        <v>95.6</v>
      </c>
      <c r="D164" s="1281">
        <v>241.8</v>
      </c>
      <c r="E164" s="1114" t="str">
        <f>IF($A164&lt;DATE(2018,7,1),"-",INDEX('I1 - Universal Data'!$E$16:$V$16, MATCH(YEAR(EOMONTH($A164,6)), 'I1 - Universal Data'!$E$14:$V$14, 0)))</f>
        <v>-</v>
      </c>
      <c r="F164" s="1114" t="str">
        <f>IF($A164&lt;DATE(2018,7,1),"-",INDEX('I1 - Universal Data'!$E$15:$V$15, MATCH(YEAR(EOMONTH($A164,6)), 'I1 - Universal Data'!$E$14:$V$14, 0)))</f>
        <v>-</v>
      </c>
      <c r="G164" s="1115">
        <f t="shared" si="15"/>
        <v>95.6</v>
      </c>
      <c r="H164" s="1115">
        <f t="shared" si="15"/>
        <v>241.8</v>
      </c>
      <c r="U164" s="1103"/>
    </row>
    <row r="165" spans="1:21">
      <c r="A165" s="1112">
        <f t="shared" si="14"/>
        <v>41121</v>
      </c>
      <c r="B165" s="1113">
        <f t="shared" si="12"/>
        <v>2013</v>
      </c>
      <c r="C165" s="1281">
        <v>95.7</v>
      </c>
      <c r="D165" s="1281">
        <v>242.1</v>
      </c>
      <c r="E165" s="1114" t="str">
        <f>IF($A165&lt;DATE(2018,7,1),"-",INDEX('I1 - Universal Data'!$E$16:$V$16, MATCH(YEAR(EOMONTH($A165,6)), 'I1 - Universal Data'!$E$14:$V$14, 0)))</f>
        <v>-</v>
      </c>
      <c r="F165" s="1114" t="str">
        <f>IF($A165&lt;DATE(2018,7,1),"-",INDEX('I1 - Universal Data'!$E$15:$V$15, MATCH(YEAR(EOMONTH($A165,6)), 'I1 - Universal Data'!$E$14:$V$14, 0)))</f>
        <v>-</v>
      </c>
      <c r="G165" s="1115">
        <f t="shared" si="15"/>
        <v>95.7</v>
      </c>
      <c r="H165" s="1115">
        <f t="shared" si="15"/>
        <v>242.1</v>
      </c>
      <c r="U165" s="1103"/>
    </row>
    <row r="166" spans="1:21">
      <c r="A166" s="1112">
        <f t="shared" si="14"/>
        <v>41152</v>
      </c>
      <c r="B166" s="1113">
        <f t="shared" si="12"/>
        <v>2013</v>
      </c>
      <c r="C166" s="1281">
        <v>96.1</v>
      </c>
      <c r="D166" s="1281">
        <v>243</v>
      </c>
      <c r="E166" s="1114" t="str">
        <f>IF($A166&lt;DATE(2018,7,1),"-",INDEX('I1 - Universal Data'!$E$16:$V$16, MATCH(YEAR(EOMONTH($A166,6)), 'I1 - Universal Data'!$E$14:$V$14, 0)))</f>
        <v>-</v>
      </c>
      <c r="F166" s="1114" t="str">
        <f>IF($A166&lt;DATE(2018,7,1),"-",INDEX('I1 - Universal Data'!$E$15:$V$15, MATCH(YEAR(EOMONTH($A166,6)), 'I1 - Universal Data'!$E$14:$V$14, 0)))</f>
        <v>-</v>
      </c>
      <c r="G166" s="1115">
        <f t="shared" ref="G166:H181" si="16">IF(ISBLANK(C166),G165*((1+E166)^(1/12)),C166)</f>
        <v>96.1</v>
      </c>
      <c r="H166" s="1115">
        <f t="shared" si="16"/>
        <v>243</v>
      </c>
      <c r="U166" s="1103"/>
    </row>
    <row r="167" spans="1:21">
      <c r="A167" s="1112">
        <f t="shared" si="14"/>
        <v>41182</v>
      </c>
      <c r="B167" s="1113">
        <f t="shared" si="12"/>
        <v>2013</v>
      </c>
      <c r="C167" s="1281">
        <v>96.4</v>
      </c>
      <c r="D167" s="1281">
        <v>244.2</v>
      </c>
      <c r="E167" s="1114" t="str">
        <f>IF($A167&lt;DATE(2018,7,1),"-",INDEX('I1 - Universal Data'!$E$16:$V$16, MATCH(YEAR(EOMONTH($A167,6)), 'I1 - Universal Data'!$E$14:$V$14, 0)))</f>
        <v>-</v>
      </c>
      <c r="F167" s="1114" t="str">
        <f>IF($A167&lt;DATE(2018,7,1),"-",INDEX('I1 - Universal Data'!$E$15:$V$15, MATCH(YEAR(EOMONTH($A167,6)), 'I1 - Universal Data'!$E$14:$V$14, 0)))</f>
        <v>-</v>
      </c>
      <c r="G167" s="1115">
        <f t="shared" si="16"/>
        <v>96.4</v>
      </c>
      <c r="H167" s="1115">
        <f t="shared" si="16"/>
        <v>244.2</v>
      </c>
      <c r="U167" s="1103"/>
    </row>
    <row r="168" spans="1:21">
      <c r="A168" s="1112">
        <f t="shared" si="14"/>
        <v>41213</v>
      </c>
      <c r="B168" s="1113">
        <f t="shared" si="12"/>
        <v>2013</v>
      </c>
      <c r="C168" s="1281">
        <v>96.8</v>
      </c>
      <c r="D168" s="1281">
        <v>245.6</v>
      </c>
      <c r="E168" s="1114" t="str">
        <f>IF($A168&lt;DATE(2018,7,1),"-",INDEX('I1 - Universal Data'!$E$16:$V$16, MATCH(YEAR(EOMONTH($A168,6)), 'I1 - Universal Data'!$E$14:$V$14, 0)))</f>
        <v>-</v>
      </c>
      <c r="F168" s="1114" t="str">
        <f>IF($A168&lt;DATE(2018,7,1),"-",INDEX('I1 - Universal Data'!$E$15:$V$15, MATCH(YEAR(EOMONTH($A168,6)), 'I1 - Universal Data'!$E$14:$V$14, 0)))</f>
        <v>-</v>
      </c>
      <c r="G168" s="1115">
        <f t="shared" si="16"/>
        <v>96.8</v>
      </c>
      <c r="H168" s="1115">
        <f t="shared" si="16"/>
        <v>245.6</v>
      </c>
      <c r="U168" s="1103"/>
    </row>
    <row r="169" spans="1:21">
      <c r="A169" s="1112">
        <f t="shared" si="14"/>
        <v>41243</v>
      </c>
      <c r="B169" s="1113">
        <f t="shared" si="12"/>
        <v>2013</v>
      </c>
      <c r="C169" s="1281">
        <v>97</v>
      </c>
      <c r="D169" s="1281">
        <v>245.6</v>
      </c>
      <c r="E169" s="1114" t="str">
        <f>IF($A169&lt;DATE(2018,7,1),"-",INDEX('I1 - Universal Data'!$E$16:$V$16, MATCH(YEAR(EOMONTH($A169,6)), 'I1 - Universal Data'!$E$14:$V$14, 0)))</f>
        <v>-</v>
      </c>
      <c r="F169" s="1114" t="str">
        <f>IF($A169&lt;DATE(2018,7,1),"-",INDEX('I1 - Universal Data'!$E$15:$V$15, MATCH(YEAR(EOMONTH($A169,6)), 'I1 - Universal Data'!$E$14:$V$14, 0)))</f>
        <v>-</v>
      </c>
      <c r="G169" s="1115">
        <f t="shared" si="16"/>
        <v>97</v>
      </c>
      <c r="H169" s="1115">
        <f t="shared" si="16"/>
        <v>245.6</v>
      </c>
      <c r="U169" s="1103"/>
    </row>
    <row r="170" spans="1:21">
      <c r="A170" s="1112">
        <f t="shared" si="14"/>
        <v>41274</v>
      </c>
      <c r="B170" s="1113">
        <f t="shared" si="12"/>
        <v>2013</v>
      </c>
      <c r="C170" s="1281">
        <v>97.3</v>
      </c>
      <c r="D170" s="1281">
        <v>246.8</v>
      </c>
      <c r="E170" s="1114" t="str">
        <f>IF($A170&lt;DATE(2018,7,1),"-",INDEX('I1 - Universal Data'!$E$16:$V$16, MATCH(YEAR(EOMONTH($A170,6)), 'I1 - Universal Data'!$E$14:$V$14, 0)))</f>
        <v>-</v>
      </c>
      <c r="F170" s="1114" t="str">
        <f>IF($A170&lt;DATE(2018,7,1),"-",INDEX('I1 - Universal Data'!$E$15:$V$15, MATCH(YEAR(EOMONTH($A170,6)), 'I1 - Universal Data'!$E$14:$V$14, 0)))</f>
        <v>-</v>
      </c>
      <c r="G170" s="1115">
        <f t="shared" si="16"/>
        <v>97.3</v>
      </c>
      <c r="H170" s="1115">
        <f t="shared" si="16"/>
        <v>246.8</v>
      </c>
      <c r="U170" s="1103"/>
    </row>
    <row r="171" spans="1:21">
      <c r="A171" s="1112">
        <f t="shared" si="14"/>
        <v>41305</v>
      </c>
      <c r="B171" s="1113">
        <f t="shared" si="12"/>
        <v>2013</v>
      </c>
      <c r="C171" s="1281">
        <v>97</v>
      </c>
      <c r="D171" s="1281">
        <v>245.8</v>
      </c>
      <c r="E171" s="1114" t="str">
        <f>IF($A171&lt;DATE(2018,7,1),"-",INDEX('I1 - Universal Data'!$E$16:$V$16, MATCH(YEAR(EOMONTH($A171,6)), 'I1 - Universal Data'!$E$14:$V$14, 0)))</f>
        <v>-</v>
      </c>
      <c r="F171" s="1114" t="str">
        <f>IF($A171&lt;DATE(2018,7,1),"-",INDEX('I1 - Universal Data'!$E$15:$V$15, MATCH(YEAR(EOMONTH($A171,6)), 'I1 - Universal Data'!$E$14:$V$14, 0)))</f>
        <v>-</v>
      </c>
      <c r="G171" s="1115">
        <f t="shared" si="16"/>
        <v>97</v>
      </c>
      <c r="H171" s="1115">
        <f t="shared" si="16"/>
        <v>245.8</v>
      </c>
      <c r="U171" s="1103"/>
    </row>
    <row r="172" spans="1:21">
      <c r="A172" s="1112">
        <f t="shared" si="14"/>
        <v>41333</v>
      </c>
      <c r="B172" s="1113">
        <f t="shared" si="12"/>
        <v>2013</v>
      </c>
      <c r="C172" s="1281">
        <v>97.5</v>
      </c>
      <c r="D172" s="1281">
        <v>247.6</v>
      </c>
      <c r="E172" s="1114" t="str">
        <f>IF($A172&lt;DATE(2018,7,1),"-",INDEX('I1 - Universal Data'!$E$16:$V$16, MATCH(YEAR(EOMONTH($A172,6)), 'I1 - Universal Data'!$E$14:$V$14, 0)))</f>
        <v>-</v>
      </c>
      <c r="F172" s="1114" t="str">
        <f>IF($A172&lt;DATE(2018,7,1),"-",INDEX('I1 - Universal Data'!$E$15:$V$15, MATCH(YEAR(EOMONTH($A172,6)), 'I1 - Universal Data'!$E$14:$V$14, 0)))</f>
        <v>-</v>
      </c>
      <c r="G172" s="1115">
        <f t="shared" si="16"/>
        <v>97.5</v>
      </c>
      <c r="H172" s="1115">
        <f t="shared" si="16"/>
        <v>247.6</v>
      </c>
      <c r="U172" s="1103"/>
    </row>
    <row r="173" spans="1:21">
      <c r="A173" s="1112">
        <f t="shared" si="14"/>
        <v>41364</v>
      </c>
      <c r="B173" s="1113">
        <f t="shared" si="12"/>
        <v>2013</v>
      </c>
      <c r="C173" s="1281">
        <v>97.8</v>
      </c>
      <c r="D173" s="1281">
        <v>248.7</v>
      </c>
      <c r="E173" s="1114" t="str">
        <f>IF($A173&lt;DATE(2018,7,1),"-",INDEX('I1 - Universal Data'!$E$16:$V$16, MATCH(YEAR(EOMONTH($A173,6)), 'I1 - Universal Data'!$E$14:$V$14, 0)))</f>
        <v>-</v>
      </c>
      <c r="F173" s="1114" t="str">
        <f>IF($A173&lt;DATE(2018,7,1),"-",INDEX('I1 - Universal Data'!$E$15:$V$15, MATCH(YEAR(EOMONTH($A173,6)), 'I1 - Universal Data'!$E$14:$V$14, 0)))</f>
        <v>-</v>
      </c>
      <c r="G173" s="1115">
        <f t="shared" si="16"/>
        <v>97.8</v>
      </c>
      <c r="H173" s="1115">
        <f t="shared" si="16"/>
        <v>248.7</v>
      </c>
      <c r="U173" s="1103"/>
    </row>
    <row r="174" spans="1:21">
      <c r="A174" s="1112">
        <f t="shared" si="14"/>
        <v>41394</v>
      </c>
      <c r="B174" s="1113">
        <f t="shared" si="12"/>
        <v>2014</v>
      </c>
      <c r="C174" s="1281">
        <v>98</v>
      </c>
      <c r="D174" s="1281">
        <v>249.5</v>
      </c>
      <c r="E174" s="1114" t="str">
        <f>IF($A174&lt;DATE(2018,7,1),"-",INDEX('I1 - Universal Data'!$E$16:$V$16, MATCH(YEAR(EOMONTH($A174,6)), 'I1 - Universal Data'!$E$14:$V$14, 0)))</f>
        <v>-</v>
      </c>
      <c r="F174" s="1114" t="str">
        <f>IF($A174&lt;DATE(2018,7,1),"-",INDEX('I1 - Universal Data'!$E$15:$V$15, MATCH(YEAR(EOMONTH($A174,6)), 'I1 - Universal Data'!$E$14:$V$14, 0)))</f>
        <v>-</v>
      </c>
      <c r="G174" s="1115">
        <f t="shared" si="16"/>
        <v>98</v>
      </c>
      <c r="H174" s="1115">
        <f t="shared" si="16"/>
        <v>249.5</v>
      </c>
      <c r="U174" s="1103"/>
    </row>
    <row r="175" spans="1:21">
      <c r="A175" s="1112">
        <f t="shared" si="14"/>
        <v>41425</v>
      </c>
      <c r="B175" s="1113">
        <f t="shared" si="12"/>
        <v>2014</v>
      </c>
      <c r="C175" s="1281">
        <v>98.2</v>
      </c>
      <c r="D175" s="1281">
        <v>250</v>
      </c>
      <c r="E175" s="1114" t="str">
        <f>IF($A175&lt;DATE(2018,7,1),"-",INDEX('I1 - Universal Data'!$E$16:$V$16, MATCH(YEAR(EOMONTH($A175,6)), 'I1 - Universal Data'!$E$14:$V$14, 0)))</f>
        <v>-</v>
      </c>
      <c r="F175" s="1114" t="str">
        <f>IF($A175&lt;DATE(2018,7,1),"-",INDEX('I1 - Universal Data'!$E$15:$V$15, MATCH(YEAR(EOMONTH($A175,6)), 'I1 - Universal Data'!$E$14:$V$14, 0)))</f>
        <v>-</v>
      </c>
      <c r="G175" s="1115">
        <f t="shared" si="16"/>
        <v>98.2</v>
      </c>
      <c r="H175" s="1115">
        <f t="shared" si="16"/>
        <v>250</v>
      </c>
      <c r="U175" s="1103"/>
    </row>
    <row r="176" spans="1:21">
      <c r="A176" s="1112">
        <f t="shared" si="14"/>
        <v>41455</v>
      </c>
      <c r="B176" s="1113">
        <f t="shared" si="12"/>
        <v>2014</v>
      </c>
      <c r="C176" s="1281">
        <v>98</v>
      </c>
      <c r="D176" s="1281">
        <v>249.7</v>
      </c>
      <c r="E176" s="1114" t="str">
        <f>IF($A176&lt;DATE(2018,7,1),"-",INDEX('I1 - Universal Data'!$E$16:$V$16, MATCH(YEAR(EOMONTH($A176,6)), 'I1 - Universal Data'!$E$14:$V$14, 0)))</f>
        <v>-</v>
      </c>
      <c r="F176" s="1114" t="str">
        <f>IF($A176&lt;DATE(2018,7,1),"-",INDEX('I1 - Universal Data'!$E$15:$V$15, MATCH(YEAR(EOMONTH($A176,6)), 'I1 - Universal Data'!$E$14:$V$14, 0)))</f>
        <v>-</v>
      </c>
      <c r="G176" s="1115">
        <f t="shared" si="16"/>
        <v>98</v>
      </c>
      <c r="H176" s="1115">
        <f t="shared" si="16"/>
        <v>249.7</v>
      </c>
      <c r="U176" s="1103"/>
    </row>
    <row r="177" spans="1:21">
      <c r="A177" s="1112">
        <f t="shared" si="14"/>
        <v>41486</v>
      </c>
      <c r="B177" s="1113">
        <f t="shared" si="12"/>
        <v>2014</v>
      </c>
      <c r="C177" s="1281">
        <v>98</v>
      </c>
      <c r="D177" s="1281">
        <v>249.7</v>
      </c>
      <c r="E177" s="1114" t="str">
        <f>IF($A177&lt;DATE(2018,7,1),"-",INDEX('I1 - Universal Data'!$E$16:$V$16, MATCH(YEAR(EOMONTH($A177,6)), 'I1 - Universal Data'!$E$14:$V$14, 0)))</f>
        <v>-</v>
      </c>
      <c r="F177" s="1114" t="str">
        <f>IF($A177&lt;DATE(2018,7,1),"-",INDEX('I1 - Universal Data'!$E$15:$V$15, MATCH(YEAR(EOMONTH($A177,6)), 'I1 - Universal Data'!$E$14:$V$14, 0)))</f>
        <v>-</v>
      </c>
      <c r="G177" s="1115">
        <f t="shared" si="16"/>
        <v>98</v>
      </c>
      <c r="H177" s="1115">
        <f t="shared" si="16"/>
        <v>249.7</v>
      </c>
      <c r="U177" s="1103"/>
    </row>
    <row r="178" spans="1:21">
      <c r="A178" s="1112">
        <f t="shared" si="14"/>
        <v>41517</v>
      </c>
      <c r="B178" s="1113">
        <f t="shared" si="12"/>
        <v>2014</v>
      </c>
      <c r="C178" s="1281">
        <v>98.4</v>
      </c>
      <c r="D178" s="1281">
        <v>251</v>
      </c>
      <c r="E178" s="1114" t="str">
        <f>IF($A178&lt;DATE(2018,7,1),"-",INDEX('I1 - Universal Data'!$E$16:$V$16, MATCH(YEAR(EOMONTH($A178,6)), 'I1 - Universal Data'!$E$14:$V$14, 0)))</f>
        <v>-</v>
      </c>
      <c r="F178" s="1114" t="str">
        <f>IF($A178&lt;DATE(2018,7,1),"-",INDEX('I1 - Universal Data'!$E$15:$V$15, MATCH(YEAR(EOMONTH($A178,6)), 'I1 - Universal Data'!$E$14:$V$14, 0)))</f>
        <v>-</v>
      </c>
      <c r="G178" s="1115">
        <f t="shared" si="16"/>
        <v>98.4</v>
      </c>
      <c r="H178" s="1115">
        <f t="shared" si="16"/>
        <v>251</v>
      </c>
      <c r="U178" s="1103"/>
    </row>
    <row r="179" spans="1:21">
      <c r="A179" s="1112">
        <f t="shared" si="14"/>
        <v>41547</v>
      </c>
      <c r="B179" s="1113">
        <f t="shared" si="12"/>
        <v>2014</v>
      </c>
      <c r="C179" s="1281">
        <v>98.7</v>
      </c>
      <c r="D179" s="1281">
        <v>251.9</v>
      </c>
      <c r="E179" s="1114" t="str">
        <f>IF($A179&lt;DATE(2018,7,1),"-",INDEX('I1 - Universal Data'!$E$16:$V$16, MATCH(YEAR(EOMONTH($A179,6)), 'I1 - Universal Data'!$E$14:$V$14, 0)))</f>
        <v>-</v>
      </c>
      <c r="F179" s="1114" t="str">
        <f>IF($A179&lt;DATE(2018,7,1),"-",INDEX('I1 - Universal Data'!$E$15:$V$15, MATCH(YEAR(EOMONTH($A179,6)), 'I1 - Universal Data'!$E$14:$V$14, 0)))</f>
        <v>-</v>
      </c>
      <c r="G179" s="1115">
        <f t="shared" si="16"/>
        <v>98.7</v>
      </c>
      <c r="H179" s="1115">
        <f t="shared" si="16"/>
        <v>251.9</v>
      </c>
      <c r="U179" s="1103"/>
    </row>
    <row r="180" spans="1:21">
      <c r="A180" s="1112">
        <f t="shared" si="14"/>
        <v>41578</v>
      </c>
      <c r="B180" s="1113">
        <f t="shared" si="12"/>
        <v>2014</v>
      </c>
      <c r="C180" s="1281">
        <v>98.8</v>
      </c>
      <c r="D180" s="1281">
        <v>251.9</v>
      </c>
      <c r="E180" s="1114" t="str">
        <f>IF($A180&lt;DATE(2018,7,1),"-",INDEX('I1 - Universal Data'!$E$16:$V$16, MATCH(YEAR(EOMONTH($A180,6)), 'I1 - Universal Data'!$E$14:$V$14, 0)))</f>
        <v>-</v>
      </c>
      <c r="F180" s="1114" t="str">
        <f>IF($A180&lt;DATE(2018,7,1),"-",INDEX('I1 - Universal Data'!$E$15:$V$15, MATCH(YEAR(EOMONTH($A180,6)), 'I1 - Universal Data'!$E$14:$V$14, 0)))</f>
        <v>-</v>
      </c>
      <c r="G180" s="1115">
        <f t="shared" si="16"/>
        <v>98.8</v>
      </c>
      <c r="H180" s="1115">
        <f t="shared" si="16"/>
        <v>251.9</v>
      </c>
      <c r="U180" s="1103"/>
    </row>
    <row r="181" spans="1:21">
      <c r="A181" s="1112">
        <f t="shared" si="14"/>
        <v>41608</v>
      </c>
      <c r="B181" s="1113">
        <f t="shared" si="12"/>
        <v>2014</v>
      </c>
      <c r="C181" s="1281">
        <v>98.8</v>
      </c>
      <c r="D181" s="1281">
        <v>252.1</v>
      </c>
      <c r="E181" s="1114" t="str">
        <f>IF($A181&lt;DATE(2018,7,1),"-",INDEX('I1 - Universal Data'!$E$16:$V$16, MATCH(YEAR(EOMONTH($A181,6)), 'I1 - Universal Data'!$E$14:$V$14, 0)))</f>
        <v>-</v>
      </c>
      <c r="F181" s="1114" t="str">
        <f>IF($A181&lt;DATE(2018,7,1),"-",INDEX('I1 - Universal Data'!$E$15:$V$15, MATCH(YEAR(EOMONTH($A181,6)), 'I1 - Universal Data'!$E$14:$V$14, 0)))</f>
        <v>-</v>
      </c>
      <c r="G181" s="1115">
        <f t="shared" si="16"/>
        <v>98.8</v>
      </c>
      <c r="H181" s="1115">
        <f t="shared" si="16"/>
        <v>252.1</v>
      </c>
      <c r="U181" s="1103"/>
    </row>
    <row r="182" spans="1:21">
      <c r="A182" s="1112">
        <f t="shared" si="14"/>
        <v>41639</v>
      </c>
      <c r="B182" s="1113">
        <f t="shared" si="12"/>
        <v>2014</v>
      </c>
      <c r="C182" s="1281">
        <v>99.2</v>
      </c>
      <c r="D182" s="1281">
        <v>253.4</v>
      </c>
      <c r="E182" s="1114" t="str">
        <f>IF($A182&lt;DATE(2018,7,1),"-",INDEX('I1 - Universal Data'!$E$16:$V$16, MATCH(YEAR(EOMONTH($A182,6)), 'I1 - Universal Data'!$E$14:$V$14, 0)))</f>
        <v>-</v>
      </c>
      <c r="F182" s="1114" t="str">
        <f>IF($A182&lt;DATE(2018,7,1),"-",INDEX('I1 - Universal Data'!$E$15:$V$15, MATCH(YEAR(EOMONTH($A182,6)), 'I1 - Universal Data'!$E$14:$V$14, 0)))</f>
        <v>-</v>
      </c>
      <c r="G182" s="1115">
        <f t="shared" ref="G182:H197" si="17">IF(ISBLANK(C182),G181*((1+E182)^(1/12)),C182)</f>
        <v>99.2</v>
      </c>
      <c r="H182" s="1115">
        <f t="shared" si="17"/>
        <v>253.4</v>
      </c>
      <c r="U182" s="1103"/>
    </row>
    <row r="183" spans="1:21">
      <c r="A183" s="1112">
        <f t="shared" si="14"/>
        <v>41670</v>
      </c>
      <c r="B183" s="1113">
        <f t="shared" si="12"/>
        <v>2014</v>
      </c>
      <c r="C183" s="1281">
        <v>98.7</v>
      </c>
      <c r="D183" s="1281">
        <v>252.6</v>
      </c>
      <c r="E183" s="1114" t="str">
        <f>IF($A183&lt;DATE(2018,7,1),"-",INDEX('I1 - Universal Data'!$E$16:$V$16, MATCH(YEAR(EOMONTH($A183,6)), 'I1 - Universal Data'!$E$14:$V$14, 0)))</f>
        <v>-</v>
      </c>
      <c r="F183" s="1114" t="str">
        <f>IF($A183&lt;DATE(2018,7,1),"-",INDEX('I1 - Universal Data'!$E$15:$V$15, MATCH(YEAR(EOMONTH($A183,6)), 'I1 - Universal Data'!$E$14:$V$14, 0)))</f>
        <v>-</v>
      </c>
      <c r="G183" s="1115">
        <f t="shared" si="17"/>
        <v>98.7</v>
      </c>
      <c r="H183" s="1115">
        <f t="shared" si="17"/>
        <v>252.6</v>
      </c>
      <c r="U183" s="1103"/>
    </row>
    <row r="184" spans="1:21">
      <c r="A184" s="1112">
        <f t="shared" si="14"/>
        <v>41698</v>
      </c>
      <c r="B184" s="1113">
        <f t="shared" si="12"/>
        <v>2014</v>
      </c>
      <c r="C184" s="1281">
        <v>99.1</v>
      </c>
      <c r="D184" s="1281">
        <v>254.2</v>
      </c>
      <c r="E184" s="1114" t="str">
        <f>IF($A184&lt;DATE(2018,7,1),"-",INDEX('I1 - Universal Data'!$E$16:$V$16, MATCH(YEAR(EOMONTH($A184,6)), 'I1 - Universal Data'!$E$14:$V$14, 0)))</f>
        <v>-</v>
      </c>
      <c r="F184" s="1114" t="str">
        <f>IF($A184&lt;DATE(2018,7,1),"-",INDEX('I1 - Universal Data'!$E$15:$V$15, MATCH(YEAR(EOMONTH($A184,6)), 'I1 - Universal Data'!$E$14:$V$14, 0)))</f>
        <v>-</v>
      </c>
      <c r="G184" s="1115">
        <f t="shared" si="17"/>
        <v>99.1</v>
      </c>
      <c r="H184" s="1115">
        <f t="shared" si="17"/>
        <v>254.2</v>
      </c>
      <c r="U184" s="1103"/>
    </row>
    <row r="185" spans="1:21">
      <c r="A185" s="1112">
        <f t="shared" si="14"/>
        <v>41729</v>
      </c>
      <c r="B185" s="1113">
        <f t="shared" si="12"/>
        <v>2014</v>
      </c>
      <c r="C185" s="1281">
        <v>99.3</v>
      </c>
      <c r="D185" s="1281">
        <v>254.8</v>
      </c>
      <c r="E185" s="1114" t="str">
        <f>IF($A185&lt;DATE(2018,7,1),"-",INDEX('I1 - Universal Data'!$E$16:$V$16, MATCH(YEAR(EOMONTH($A185,6)), 'I1 - Universal Data'!$E$14:$V$14, 0)))</f>
        <v>-</v>
      </c>
      <c r="F185" s="1114" t="str">
        <f>IF($A185&lt;DATE(2018,7,1),"-",INDEX('I1 - Universal Data'!$E$15:$V$15, MATCH(YEAR(EOMONTH($A185,6)), 'I1 - Universal Data'!$E$14:$V$14, 0)))</f>
        <v>-</v>
      </c>
      <c r="G185" s="1115">
        <f t="shared" si="17"/>
        <v>99.3</v>
      </c>
      <c r="H185" s="1115">
        <f t="shared" si="17"/>
        <v>254.8</v>
      </c>
      <c r="U185" s="1103"/>
    </row>
    <row r="186" spans="1:21">
      <c r="A186" s="1112">
        <f t="shared" si="14"/>
        <v>41759</v>
      </c>
      <c r="B186" s="1113">
        <f t="shared" si="12"/>
        <v>2015</v>
      </c>
      <c r="C186" s="1281">
        <v>99.6</v>
      </c>
      <c r="D186" s="1281">
        <v>255.7</v>
      </c>
      <c r="E186" s="1114" t="str">
        <f>IF($A186&lt;DATE(2018,7,1),"-",INDEX('I1 - Universal Data'!$E$16:$V$16, MATCH(YEAR(EOMONTH($A186,6)), 'I1 - Universal Data'!$E$14:$V$14, 0)))</f>
        <v>-</v>
      </c>
      <c r="F186" s="1114" t="str">
        <f>IF($A186&lt;DATE(2018,7,1),"-",INDEX('I1 - Universal Data'!$E$15:$V$15, MATCH(YEAR(EOMONTH($A186,6)), 'I1 - Universal Data'!$E$14:$V$14, 0)))</f>
        <v>-</v>
      </c>
      <c r="G186" s="1115">
        <f t="shared" si="17"/>
        <v>99.6</v>
      </c>
      <c r="H186" s="1115">
        <f t="shared" si="17"/>
        <v>255.7</v>
      </c>
      <c r="U186" s="1103"/>
    </row>
    <row r="187" spans="1:21">
      <c r="A187" s="1112">
        <f t="shared" si="14"/>
        <v>41790</v>
      </c>
      <c r="B187" s="1113">
        <f t="shared" si="12"/>
        <v>2015</v>
      </c>
      <c r="C187" s="1281">
        <v>99.6</v>
      </c>
      <c r="D187" s="1281">
        <v>255.9</v>
      </c>
      <c r="E187" s="1114" t="str">
        <f>IF($A187&lt;DATE(2018,7,1),"-",INDEX('I1 - Universal Data'!$E$16:$V$16, MATCH(YEAR(EOMONTH($A187,6)), 'I1 - Universal Data'!$E$14:$V$14, 0)))</f>
        <v>-</v>
      </c>
      <c r="F187" s="1114" t="str">
        <f>IF($A187&lt;DATE(2018,7,1),"-",INDEX('I1 - Universal Data'!$E$15:$V$15, MATCH(YEAR(EOMONTH($A187,6)), 'I1 - Universal Data'!$E$14:$V$14, 0)))</f>
        <v>-</v>
      </c>
      <c r="G187" s="1115">
        <f t="shared" si="17"/>
        <v>99.6</v>
      </c>
      <c r="H187" s="1115">
        <f t="shared" si="17"/>
        <v>255.9</v>
      </c>
      <c r="U187" s="1103"/>
    </row>
    <row r="188" spans="1:21">
      <c r="A188" s="1112">
        <f t="shared" si="14"/>
        <v>41820</v>
      </c>
      <c r="B188" s="1113">
        <f t="shared" si="12"/>
        <v>2015</v>
      </c>
      <c r="C188" s="1281">
        <v>99.8</v>
      </c>
      <c r="D188" s="1281">
        <v>256.3</v>
      </c>
      <c r="E188" s="1114" t="str">
        <f>IF($A188&lt;DATE(2018,7,1),"-",INDEX('I1 - Universal Data'!$E$16:$V$16, MATCH(YEAR(EOMONTH($A188,6)), 'I1 - Universal Data'!$E$14:$V$14, 0)))</f>
        <v>-</v>
      </c>
      <c r="F188" s="1114" t="str">
        <f>IF($A188&lt;DATE(2018,7,1),"-",INDEX('I1 - Universal Data'!$E$15:$V$15, MATCH(YEAR(EOMONTH($A188,6)), 'I1 - Universal Data'!$E$14:$V$14, 0)))</f>
        <v>-</v>
      </c>
      <c r="G188" s="1115">
        <f t="shared" si="17"/>
        <v>99.8</v>
      </c>
      <c r="H188" s="1115">
        <f t="shared" si="17"/>
        <v>256.3</v>
      </c>
      <c r="U188" s="1103"/>
    </row>
    <row r="189" spans="1:21">
      <c r="A189" s="1112">
        <f t="shared" si="14"/>
        <v>41851</v>
      </c>
      <c r="B189" s="1113">
        <f t="shared" si="12"/>
        <v>2015</v>
      </c>
      <c r="C189" s="1281">
        <v>99.6</v>
      </c>
      <c r="D189" s="1281">
        <v>256</v>
      </c>
      <c r="E189" s="1114" t="str">
        <f>IF($A189&lt;DATE(2018,7,1),"-",INDEX('I1 - Universal Data'!$E$16:$V$16, MATCH(YEAR(EOMONTH($A189,6)), 'I1 - Universal Data'!$E$14:$V$14, 0)))</f>
        <v>-</v>
      </c>
      <c r="F189" s="1114" t="str">
        <f>IF($A189&lt;DATE(2018,7,1),"-",INDEX('I1 - Universal Data'!$E$15:$V$15, MATCH(YEAR(EOMONTH($A189,6)), 'I1 - Universal Data'!$E$14:$V$14, 0)))</f>
        <v>-</v>
      </c>
      <c r="G189" s="1115">
        <f t="shared" si="17"/>
        <v>99.6</v>
      </c>
      <c r="H189" s="1115">
        <f t="shared" si="17"/>
        <v>256</v>
      </c>
      <c r="U189" s="1103"/>
    </row>
    <row r="190" spans="1:21">
      <c r="A190" s="1112">
        <f t="shared" si="14"/>
        <v>41882</v>
      </c>
      <c r="B190" s="1113">
        <f t="shared" si="12"/>
        <v>2015</v>
      </c>
      <c r="C190" s="1281">
        <v>99.9</v>
      </c>
      <c r="D190" s="1281">
        <v>257</v>
      </c>
      <c r="E190" s="1114" t="str">
        <f>IF($A190&lt;DATE(2018,7,1),"-",INDEX('I1 - Universal Data'!$E$16:$V$16, MATCH(YEAR(EOMONTH($A190,6)), 'I1 - Universal Data'!$E$14:$V$14, 0)))</f>
        <v>-</v>
      </c>
      <c r="F190" s="1114" t="str">
        <f>IF($A190&lt;DATE(2018,7,1),"-",INDEX('I1 - Universal Data'!$E$15:$V$15, MATCH(YEAR(EOMONTH($A190,6)), 'I1 - Universal Data'!$E$14:$V$14, 0)))</f>
        <v>-</v>
      </c>
      <c r="G190" s="1115">
        <f t="shared" si="17"/>
        <v>99.9</v>
      </c>
      <c r="H190" s="1115">
        <f t="shared" si="17"/>
        <v>257</v>
      </c>
      <c r="U190" s="1103"/>
    </row>
    <row r="191" spans="1:21">
      <c r="A191" s="1112">
        <f t="shared" si="14"/>
        <v>41912</v>
      </c>
      <c r="B191" s="1113">
        <f t="shared" si="12"/>
        <v>2015</v>
      </c>
      <c r="C191" s="1281">
        <v>100</v>
      </c>
      <c r="D191" s="1281">
        <v>257.60000000000002</v>
      </c>
      <c r="E191" s="1114" t="str">
        <f>IF($A191&lt;DATE(2018,7,1),"-",INDEX('I1 - Universal Data'!$E$16:$V$16, MATCH(YEAR(EOMONTH($A191,6)), 'I1 - Universal Data'!$E$14:$V$14, 0)))</f>
        <v>-</v>
      </c>
      <c r="F191" s="1114" t="str">
        <f>IF($A191&lt;DATE(2018,7,1),"-",INDEX('I1 - Universal Data'!$E$15:$V$15, MATCH(YEAR(EOMONTH($A191,6)), 'I1 - Universal Data'!$E$14:$V$14, 0)))</f>
        <v>-</v>
      </c>
      <c r="G191" s="1115">
        <f t="shared" si="17"/>
        <v>100</v>
      </c>
      <c r="H191" s="1115">
        <f t="shared" si="17"/>
        <v>257.60000000000002</v>
      </c>
      <c r="U191" s="1103"/>
    </row>
    <row r="192" spans="1:21">
      <c r="A192" s="1112">
        <f t="shared" si="14"/>
        <v>41943</v>
      </c>
      <c r="B192" s="1113">
        <f t="shared" si="12"/>
        <v>2015</v>
      </c>
      <c r="C192" s="1281">
        <v>100.1</v>
      </c>
      <c r="D192" s="1281">
        <v>257.7</v>
      </c>
      <c r="E192" s="1114" t="str">
        <f>IF($A192&lt;DATE(2018,7,1),"-",INDEX('I1 - Universal Data'!$E$16:$V$16, MATCH(YEAR(EOMONTH($A192,6)), 'I1 - Universal Data'!$E$14:$V$14, 0)))</f>
        <v>-</v>
      </c>
      <c r="F192" s="1114" t="str">
        <f>IF($A192&lt;DATE(2018,7,1),"-",INDEX('I1 - Universal Data'!$E$15:$V$15, MATCH(YEAR(EOMONTH($A192,6)), 'I1 - Universal Data'!$E$14:$V$14, 0)))</f>
        <v>-</v>
      </c>
      <c r="G192" s="1115">
        <f t="shared" si="17"/>
        <v>100.1</v>
      </c>
      <c r="H192" s="1115">
        <f t="shared" si="17"/>
        <v>257.7</v>
      </c>
      <c r="U192" s="1103"/>
    </row>
    <row r="193" spans="1:21">
      <c r="A193" s="1112">
        <f t="shared" si="14"/>
        <v>41973</v>
      </c>
      <c r="B193" s="1113">
        <f t="shared" si="12"/>
        <v>2015</v>
      </c>
      <c r="C193" s="1281">
        <v>99.9</v>
      </c>
      <c r="D193" s="1281">
        <v>257.10000000000002</v>
      </c>
      <c r="E193" s="1114" t="str">
        <f>IF($A193&lt;DATE(2018,7,1),"-",INDEX('I1 - Universal Data'!$E$16:$V$16, MATCH(YEAR(EOMONTH($A193,6)), 'I1 - Universal Data'!$E$14:$V$14, 0)))</f>
        <v>-</v>
      </c>
      <c r="F193" s="1114" t="str">
        <f>IF($A193&lt;DATE(2018,7,1),"-",INDEX('I1 - Universal Data'!$E$15:$V$15, MATCH(YEAR(EOMONTH($A193,6)), 'I1 - Universal Data'!$E$14:$V$14, 0)))</f>
        <v>-</v>
      </c>
      <c r="G193" s="1115">
        <f t="shared" si="17"/>
        <v>99.9</v>
      </c>
      <c r="H193" s="1115">
        <f t="shared" si="17"/>
        <v>257.10000000000002</v>
      </c>
      <c r="U193" s="1103"/>
    </row>
    <row r="194" spans="1:21">
      <c r="A194" s="1112">
        <f t="shared" si="14"/>
        <v>42004</v>
      </c>
      <c r="B194" s="1113">
        <f t="shared" si="12"/>
        <v>2015</v>
      </c>
      <c r="C194" s="1281">
        <v>99.9</v>
      </c>
      <c r="D194" s="1281">
        <v>257.5</v>
      </c>
      <c r="E194" s="1114" t="str">
        <f>IF($A194&lt;DATE(2018,7,1),"-",INDEX('I1 - Universal Data'!$E$16:$V$16, MATCH(YEAR(EOMONTH($A194,6)), 'I1 - Universal Data'!$E$14:$V$14, 0)))</f>
        <v>-</v>
      </c>
      <c r="F194" s="1114" t="str">
        <f>IF($A194&lt;DATE(2018,7,1),"-",INDEX('I1 - Universal Data'!$E$15:$V$15, MATCH(YEAR(EOMONTH($A194,6)), 'I1 - Universal Data'!$E$14:$V$14, 0)))</f>
        <v>-</v>
      </c>
      <c r="G194" s="1115">
        <f t="shared" si="17"/>
        <v>99.9</v>
      </c>
      <c r="H194" s="1115">
        <f t="shared" si="17"/>
        <v>257.5</v>
      </c>
      <c r="U194" s="1103"/>
    </row>
    <row r="195" spans="1:21">
      <c r="A195" s="1112">
        <f t="shared" si="14"/>
        <v>42035</v>
      </c>
      <c r="B195" s="1113">
        <f t="shared" si="12"/>
        <v>2015</v>
      </c>
      <c r="C195" s="1281">
        <v>99.2</v>
      </c>
      <c r="D195" s="1281">
        <v>255.4</v>
      </c>
      <c r="E195" s="1114" t="str">
        <f>IF($A195&lt;DATE(2018,7,1),"-",INDEX('I1 - Universal Data'!$E$16:$V$16, MATCH(YEAR(EOMONTH($A195,6)), 'I1 - Universal Data'!$E$14:$V$14, 0)))</f>
        <v>-</v>
      </c>
      <c r="F195" s="1114" t="str">
        <f>IF($A195&lt;DATE(2018,7,1),"-",INDEX('I1 - Universal Data'!$E$15:$V$15, MATCH(YEAR(EOMONTH($A195,6)), 'I1 - Universal Data'!$E$14:$V$14, 0)))</f>
        <v>-</v>
      </c>
      <c r="G195" s="1115">
        <f t="shared" si="17"/>
        <v>99.2</v>
      </c>
      <c r="H195" s="1115">
        <f t="shared" si="17"/>
        <v>255.4</v>
      </c>
      <c r="U195" s="1103"/>
    </row>
    <row r="196" spans="1:21">
      <c r="A196" s="1112">
        <f t="shared" si="14"/>
        <v>42063</v>
      </c>
      <c r="B196" s="1113">
        <f t="shared" si="12"/>
        <v>2015</v>
      </c>
      <c r="C196" s="1281">
        <v>99.5</v>
      </c>
      <c r="D196" s="1281">
        <v>256.7</v>
      </c>
      <c r="E196" s="1114" t="str">
        <f>IF($A196&lt;DATE(2018,7,1),"-",INDEX('I1 - Universal Data'!$E$16:$V$16, MATCH(YEAR(EOMONTH($A196,6)), 'I1 - Universal Data'!$E$14:$V$14, 0)))</f>
        <v>-</v>
      </c>
      <c r="F196" s="1114" t="str">
        <f>IF($A196&lt;DATE(2018,7,1),"-",INDEX('I1 - Universal Data'!$E$15:$V$15, MATCH(YEAR(EOMONTH($A196,6)), 'I1 - Universal Data'!$E$14:$V$14, 0)))</f>
        <v>-</v>
      </c>
      <c r="G196" s="1115">
        <f t="shared" si="17"/>
        <v>99.5</v>
      </c>
      <c r="H196" s="1115">
        <f t="shared" si="17"/>
        <v>256.7</v>
      </c>
      <c r="U196" s="1103"/>
    </row>
    <row r="197" spans="1:21">
      <c r="A197" s="1112">
        <f t="shared" si="14"/>
        <v>42094</v>
      </c>
      <c r="B197" s="1113">
        <f t="shared" si="12"/>
        <v>2015</v>
      </c>
      <c r="C197" s="1281">
        <v>99.6</v>
      </c>
      <c r="D197" s="1281">
        <v>257.10000000000002</v>
      </c>
      <c r="E197" s="1114" t="str">
        <f>IF($A197&lt;DATE(2018,7,1),"-",INDEX('I1 - Universal Data'!$E$16:$V$16, MATCH(YEAR(EOMONTH($A197,6)), 'I1 - Universal Data'!$E$14:$V$14, 0)))</f>
        <v>-</v>
      </c>
      <c r="F197" s="1114" t="str">
        <f>IF($A197&lt;DATE(2018,7,1),"-",INDEX('I1 - Universal Data'!$E$15:$V$15, MATCH(YEAR(EOMONTH($A197,6)), 'I1 - Universal Data'!$E$14:$V$14, 0)))</f>
        <v>-</v>
      </c>
      <c r="G197" s="1115">
        <f t="shared" si="17"/>
        <v>99.6</v>
      </c>
      <c r="H197" s="1115">
        <f t="shared" si="17"/>
        <v>257.10000000000002</v>
      </c>
      <c r="U197" s="1103"/>
    </row>
    <row r="198" spans="1:21">
      <c r="A198" s="1112">
        <f t="shared" si="14"/>
        <v>42124</v>
      </c>
      <c r="B198" s="1113">
        <f t="shared" ref="B198:B261" si="18">IF(MONTH(A198)&gt;=4,YEAR(A198)+1,YEAR(A198))</f>
        <v>2016</v>
      </c>
      <c r="C198" s="1281">
        <v>99.9</v>
      </c>
      <c r="D198" s="1281">
        <v>258</v>
      </c>
      <c r="E198" s="1114" t="str">
        <f>IF($A198&lt;DATE(2018,7,1),"-",INDEX('I1 - Universal Data'!$E$16:$V$16, MATCH(YEAR(EOMONTH($A198,6)), 'I1 - Universal Data'!$E$14:$V$14, 0)))</f>
        <v>-</v>
      </c>
      <c r="F198" s="1114" t="str">
        <f>IF($A198&lt;DATE(2018,7,1),"-",INDEX('I1 - Universal Data'!$E$15:$V$15, MATCH(YEAR(EOMONTH($A198,6)), 'I1 - Universal Data'!$E$14:$V$14, 0)))</f>
        <v>-</v>
      </c>
      <c r="G198" s="1115">
        <f t="shared" ref="G198:H213" si="19">IF(ISBLANK(C198),G197*((1+E198)^(1/12)),C198)</f>
        <v>99.9</v>
      </c>
      <c r="H198" s="1115">
        <f t="shared" si="19"/>
        <v>258</v>
      </c>
      <c r="U198" s="1103"/>
    </row>
    <row r="199" spans="1:21">
      <c r="A199" s="1112">
        <f t="shared" ref="A199:A262" si="20">IF(MONTH(A198) = 12, EOMONTH(DATE(YEAR(A198) + 1, 1, 1), 0), EOMONTH(DATE(YEAR(A198), MONTH(A198) + 1, 1), 0))</f>
        <v>42155</v>
      </c>
      <c r="B199" s="1113">
        <f t="shared" si="18"/>
        <v>2016</v>
      </c>
      <c r="C199" s="1281">
        <v>100.1</v>
      </c>
      <c r="D199" s="1281">
        <v>258.5</v>
      </c>
      <c r="E199" s="1114" t="str">
        <f>IF($A199&lt;DATE(2018,7,1),"-",INDEX('I1 - Universal Data'!$E$16:$V$16, MATCH(YEAR(EOMONTH($A199,6)), 'I1 - Universal Data'!$E$14:$V$14, 0)))</f>
        <v>-</v>
      </c>
      <c r="F199" s="1114" t="str">
        <f>IF($A199&lt;DATE(2018,7,1),"-",INDEX('I1 - Universal Data'!$E$15:$V$15, MATCH(YEAR(EOMONTH($A199,6)), 'I1 - Universal Data'!$E$14:$V$14, 0)))</f>
        <v>-</v>
      </c>
      <c r="G199" s="1115">
        <f t="shared" si="19"/>
        <v>100.1</v>
      </c>
      <c r="H199" s="1115">
        <f t="shared" si="19"/>
        <v>258.5</v>
      </c>
      <c r="U199" s="1103"/>
    </row>
    <row r="200" spans="1:21">
      <c r="A200" s="1112">
        <f t="shared" si="20"/>
        <v>42185</v>
      </c>
      <c r="B200" s="1113">
        <f t="shared" si="18"/>
        <v>2016</v>
      </c>
      <c r="C200" s="1281">
        <v>100.1</v>
      </c>
      <c r="D200" s="1281">
        <v>258.89999999999998</v>
      </c>
      <c r="E200" s="1114" t="str">
        <f>IF($A200&lt;DATE(2018,7,1),"-",INDEX('I1 - Universal Data'!$E$16:$V$16, MATCH(YEAR(EOMONTH($A200,6)), 'I1 - Universal Data'!$E$14:$V$14, 0)))</f>
        <v>-</v>
      </c>
      <c r="F200" s="1114" t="str">
        <f>IF($A200&lt;DATE(2018,7,1),"-",INDEX('I1 - Universal Data'!$E$15:$V$15, MATCH(YEAR(EOMONTH($A200,6)), 'I1 - Universal Data'!$E$14:$V$14, 0)))</f>
        <v>-</v>
      </c>
      <c r="G200" s="1115">
        <f t="shared" si="19"/>
        <v>100.1</v>
      </c>
      <c r="H200" s="1115">
        <f t="shared" si="19"/>
        <v>258.89999999999998</v>
      </c>
      <c r="U200" s="1103"/>
    </row>
    <row r="201" spans="1:21">
      <c r="A201" s="1112">
        <f t="shared" si="20"/>
        <v>42216</v>
      </c>
      <c r="B201" s="1113">
        <f t="shared" si="18"/>
        <v>2016</v>
      </c>
      <c r="C201" s="1281">
        <v>100</v>
      </c>
      <c r="D201" s="1281">
        <v>258.60000000000002</v>
      </c>
      <c r="E201" s="1114" t="str">
        <f>IF($A201&lt;DATE(2018,7,1),"-",INDEX('I1 - Universal Data'!$E$16:$V$16, MATCH(YEAR(EOMONTH($A201,6)), 'I1 - Universal Data'!$E$14:$V$14, 0)))</f>
        <v>-</v>
      </c>
      <c r="F201" s="1114" t="str">
        <f>IF($A201&lt;DATE(2018,7,1),"-",INDEX('I1 - Universal Data'!$E$15:$V$15, MATCH(YEAR(EOMONTH($A201,6)), 'I1 - Universal Data'!$E$14:$V$14, 0)))</f>
        <v>-</v>
      </c>
      <c r="G201" s="1115">
        <f t="shared" si="19"/>
        <v>100</v>
      </c>
      <c r="H201" s="1115">
        <f t="shared" si="19"/>
        <v>258.60000000000002</v>
      </c>
      <c r="U201" s="1103"/>
    </row>
    <row r="202" spans="1:21">
      <c r="A202" s="1112">
        <f t="shared" si="20"/>
        <v>42247</v>
      </c>
      <c r="B202" s="1113">
        <f t="shared" si="18"/>
        <v>2016</v>
      </c>
      <c r="C202" s="1281">
        <v>100.3</v>
      </c>
      <c r="D202" s="1281">
        <v>259.8</v>
      </c>
      <c r="E202" s="1114" t="str">
        <f>IF($A202&lt;DATE(2018,7,1),"-",INDEX('I1 - Universal Data'!$E$16:$V$16, MATCH(YEAR(EOMONTH($A202,6)), 'I1 - Universal Data'!$E$14:$V$14, 0)))</f>
        <v>-</v>
      </c>
      <c r="F202" s="1114" t="str">
        <f>IF($A202&lt;DATE(2018,7,1),"-",INDEX('I1 - Universal Data'!$E$15:$V$15, MATCH(YEAR(EOMONTH($A202,6)), 'I1 - Universal Data'!$E$14:$V$14, 0)))</f>
        <v>-</v>
      </c>
      <c r="G202" s="1115">
        <f t="shared" si="19"/>
        <v>100.3</v>
      </c>
      <c r="H202" s="1115">
        <f t="shared" si="19"/>
        <v>259.8</v>
      </c>
      <c r="U202" s="1103"/>
    </row>
    <row r="203" spans="1:21">
      <c r="A203" s="1112">
        <f t="shared" si="20"/>
        <v>42277</v>
      </c>
      <c r="B203" s="1113">
        <f t="shared" si="18"/>
        <v>2016</v>
      </c>
      <c r="C203" s="1281">
        <v>100.2</v>
      </c>
      <c r="D203" s="1281">
        <v>259.60000000000002</v>
      </c>
      <c r="E203" s="1114" t="str">
        <f>IF($A203&lt;DATE(2018,7,1),"-",INDEX('I1 - Universal Data'!$E$16:$V$16, MATCH(YEAR(EOMONTH($A203,6)), 'I1 - Universal Data'!$E$14:$V$14, 0)))</f>
        <v>-</v>
      </c>
      <c r="F203" s="1114" t="str">
        <f>IF($A203&lt;DATE(2018,7,1),"-",INDEX('I1 - Universal Data'!$E$15:$V$15, MATCH(YEAR(EOMONTH($A203,6)), 'I1 - Universal Data'!$E$14:$V$14, 0)))</f>
        <v>-</v>
      </c>
      <c r="G203" s="1115">
        <f t="shared" si="19"/>
        <v>100.2</v>
      </c>
      <c r="H203" s="1115">
        <f t="shared" si="19"/>
        <v>259.60000000000002</v>
      </c>
      <c r="U203" s="1103"/>
    </row>
    <row r="204" spans="1:21">
      <c r="A204" s="1112">
        <f t="shared" si="20"/>
        <v>42308</v>
      </c>
      <c r="B204" s="1113">
        <f t="shared" si="18"/>
        <v>2016</v>
      </c>
      <c r="C204" s="1281">
        <v>100.3</v>
      </c>
      <c r="D204" s="1281">
        <v>259.5</v>
      </c>
      <c r="E204" s="1114" t="str">
        <f>IF($A204&lt;DATE(2018,7,1),"-",INDEX('I1 - Universal Data'!$E$16:$V$16, MATCH(YEAR(EOMONTH($A204,6)), 'I1 - Universal Data'!$E$14:$V$14, 0)))</f>
        <v>-</v>
      </c>
      <c r="F204" s="1114" t="str">
        <f>IF($A204&lt;DATE(2018,7,1),"-",INDEX('I1 - Universal Data'!$E$15:$V$15, MATCH(YEAR(EOMONTH($A204,6)), 'I1 - Universal Data'!$E$14:$V$14, 0)))</f>
        <v>-</v>
      </c>
      <c r="G204" s="1115">
        <f t="shared" si="19"/>
        <v>100.3</v>
      </c>
      <c r="H204" s="1115">
        <f t="shared" si="19"/>
        <v>259.5</v>
      </c>
      <c r="U204" s="1103"/>
    </row>
    <row r="205" spans="1:21">
      <c r="A205" s="1112">
        <f t="shared" si="20"/>
        <v>42338</v>
      </c>
      <c r="B205" s="1113">
        <f t="shared" si="18"/>
        <v>2016</v>
      </c>
      <c r="C205" s="1281">
        <v>100.3</v>
      </c>
      <c r="D205" s="1281">
        <v>259.8</v>
      </c>
      <c r="E205" s="1114" t="str">
        <f>IF($A205&lt;DATE(2018,7,1),"-",INDEX('I1 - Universal Data'!$E$16:$V$16, MATCH(YEAR(EOMONTH($A205,6)), 'I1 - Universal Data'!$E$14:$V$14, 0)))</f>
        <v>-</v>
      </c>
      <c r="F205" s="1114" t="str">
        <f>IF($A205&lt;DATE(2018,7,1),"-",INDEX('I1 - Universal Data'!$E$15:$V$15, MATCH(YEAR(EOMONTH($A205,6)), 'I1 - Universal Data'!$E$14:$V$14, 0)))</f>
        <v>-</v>
      </c>
      <c r="G205" s="1115">
        <f t="shared" si="19"/>
        <v>100.3</v>
      </c>
      <c r="H205" s="1115">
        <f t="shared" si="19"/>
        <v>259.8</v>
      </c>
      <c r="U205" s="1103"/>
    </row>
    <row r="206" spans="1:21">
      <c r="A206" s="1112">
        <f t="shared" si="20"/>
        <v>42369</v>
      </c>
      <c r="B206" s="1113">
        <f t="shared" si="18"/>
        <v>2016</v>
      </c>
      <c r="C206" s="1281">
        <v>100.4</v>
      </c>
      <c r="D206" s="1281">
        <v>260.60000000000002</v>
      </c>
      <c r="E206" s="1114" t="str">
        <f>IF($A206&lt;DATE(2018,7,1),"-",INDEX('I1 - Universal Data'!$E$16:$V$16, MATCH(YEAR(EOMONTH($A206,6)), 'I1 - Universal Data'!$E$14:$V$14, 0)))</f>
        <v>-</v>
      </c>
      <c r="F206" s="1114" t="str">
        <f>IF($A206&lt;DATE(2018,7,1),"-",INDEX('I1 - Universal Data'!$E$15:$V$15, MATCH(YEAR(EOMONTH($A206,6)), 'I1 - Universal Data'!$E$14:$V$14, 0)))</f>
        <v>-</v>
      </c>
      <c r="G206" s="1115">
        <f t="shared" si="19"/>
        <v>100.4</v>
      </c>
      <c r="H206" s="1115">
        <f t="shared" si="19"/>
        <v>260.60000000000002</v>
      </c>
      <c r="U206" s="1103"/>
    </row>
    <row r="207" spans="1:21">
      <c r="A207" s="1112">
        <f t="shared" si="20"/>
        <v>42400</v>
      </c>
      <c r="B207" s="1113">
        <f t="shared" si="18"/>
        <v>2016</v>
      </c>
      <c r="C207" s="1281">
        <v>99.9</v>
      </c>
      <c r="D207" s="1281">
        <v>258.8</v>
      </c>
      <c r="E207" s="1114" t="str">
        <f>IF($A207&lt;DATE(2018,7,1),"-",INDEX('I1 - Universal Data'!$E$16:$V$16, MATCH(YEAR(EOMONTH($A207,6)), 'I1 - Universal Data'!$E$14:$V$14, 0)))</f>
        <v>-</v>
      </c>
      <c r="F207" s="1114" t="str">
        <f>IF($A207&lt;DATE(2018,7,1),"-",INDEX('I1 - Universal Data'!$E$15:$V$15, MATCH(YEAR(EOMONTH($A207,6)), 'I1 - Universal Data'!$E$14:$V$14, 0)))</f>
        <v>-</v>
      </c>
      <c r="G207" s="1115">
        <f t="shared" si="19"/>
        <v>99.9</v>
      </c>
      <c r="H207" s="1115">
        <f t="shared" si="19"/>
        <v>258.8</v>
      </c>
      <c r="U207" s="1103"/>
    </row>
    <row r="208" spans="1:21">
      <c r="A208" s="1112">
        <f t="shared" si="20"/>
        <v>42429</v>
      </c>
      <c r="B208" s="1113">
        <f t="shared" si="18"/>
        <v>2016</v>
      </c>
      <c r="C208" s="1281">
        <v>100.1</v>
      </c>
      <c r="D208" s="1281">
        <v>260</v>
      </c>
      <c r="E208" s="1114" t="str">
        <f>IF($A208&lt;DATE(2018,7,1),"-",INDEX('I1 - Universal Data'!$E$16:$V$16, MATCH(YEAR(EOMONTH($A208,6)), 'I1 - Universal Data'!$E$14:$V$14, 0)))</f>
        <v>-</v>
      </c>
      <c r="F208" s="1114" t="str">
        <f>IF($A208&lt;DATE(2018,7,1),"-",INDEX('I1 - Universal Data'!$E$15:$V$15, MATCH(YEAR(EOMONTH($A208,6)), 'I1 - Universal Data'!$E$14:$V$14, 0)))</f>
        <v>-</v>
      </c>
      <c r="G208" s="1115">
        <f t="shared" si="19"/>
        <v>100.1</v>
      </c>
      <c r="H208" s="1115">
        <f t="shared" si="19"/>
        <v>260</v>
      </c>
      <c r="U208" s="1103"/>
    </row>
    <row r="209" spans="1:21">
      <c r="A209" s="1112">
        <f t="shared" si="20"/>
        <v>42460</v>
      </c>
      <c r="B209" s="1113">
        <f t="shared" si="18"/>
        <v>2016</v>
      </c>
      <c r="C209" s="1281">
        <v>100.4</v>
      </c>
      <c r="D209" s="1281">
        <v>261.10000000000002</v>
      </c>
      <c r="E209" s="1114" t="str">
        <f>IF($A209&lt;DATE(2018,7,1),"-",INDEX('I1 - Universal Data'!$E$16:$V$16, MATCH(YEAR(EOMONTH($A209,6)), 'I1 - Universal Data'!$E$14:$V$14, 0)))</f>
        <v>-</v>
      </c>
      <c r="F209" s="1114" t="str">
        <f>IF($A209&lt;DATE(2018,7,1),"-",INDEX('I1 - Universal Data'!$E$15:$V$15, MATCH(YEAR(EOMONTH($A209,6)), 'I1 - Universal Data'!$E$14:$V$14, 0)))</f>
        <v>-</v>
      </c>
      <c r="G209" s="1115">
        <f t="shared" si="19"/>
        <v>100.4</v>
      </c>
      <c r="H209" s="1115">
        <f t="shared" si="19"/>
        <v>261.10000000000002</v>
      </c>
      <c r="U209" s="1103"/>
    </row>
    <row r="210" spans="1:21">
      <c r="A210" s="1112">
        <f t="shared" si="20"/>
        <v>42490</v>
      </c>
      <c r="B210" s="1113">
        <f t="shared" si="18"/>
        <v>2017</v>
      </c>
      <c r="C210" s="1281">
        <v>100.6</v>
      </c>
      <c r="D210" s="1281">
        <v>261.39999999999998</v>
      </c>
      <c r="E210" s="1114" t="str">
        <f>IF($A210&lt;DATE(2018,7,1),"-",INDEX('I1 - Universal Data'!$E$16:$V$16, MATCH(YEAR(EOMONTH($A210,6)), 'I1 - Universal Data'!$E$14:$V$14, 0)))</f>
        <v>-</v>
      </c>
      <c r="F210" s="1114" t="str">
        <f>IF($A210&lt;DATE(2018,7,1),"-",INDEX('I1 - Universal Data'!$E$15:$V$15, MATCH(YEAR(EOMONTH($A210,6)), 'I1 - Universal Data'!$E$14:$V$14, 0)))</f>
        <v>-</v>
      </c>
      <c r="G210" s="1115">
        <f t="shared" si="19"/>
        <v>100.6</v>
      </c>
      <c r="H210" s="1115">
        <f t="shared" si="19"/>
        <v>261.39999999999998</v>
      </c>
      <c r="U210" s="1103"/>
    </row>
    <row r="211" spans="1:21">
      <c r="A211" s="1112">
        <f t="shared" si="20"/>
        <v>42521</v>
      </c>
      <c r="B211" s="1113">
        <f t="shared" si="18"/>
        <v>2017</v>
      </c>
      <c r="C211" s="1281">
        <v>100.8</v>
      </c>
      <c r="D211" s="1281">
        <v>262.10000000000002</v>
      </c>
      <c r="E211" s="1114" t="str">
        <f>IF($A211&lt;DATE(2018,7,1),"-",INDEX('I1 - Universal Data'!$E$16:$V$16, MATCH(YEAR(EOMONTH($A211,6)), 'I1 - Universal Data'!$E$14:$V$14, 0)))</f>
        <v>-</v>
      </c>
      <c r="F211" s="1114" t="str">
        <f>IF($A211&lt;DATE(2018,7,1),"-",INDEX('I1 - Universal Data'!$E$15:$V$15, MATCH(YEAR(EOMONTH($A211,6)), 'I1 - Universal Data'!$E$14:$V$14, 0)))</f>
        <v>-</v>
      </c>
      <c r="G211" s="1115">
        <f t="shared" si="19"/>
        <v>100.8</v>
      </c>
      <c r="H211" s="1115">
        <f t="shared" si="19"/>
        <v>262.10000000000002</v>
      </c>
      <c r="U211" s="1103"/>
    </row>
    <row r="212" spans="1:21">
      <c r="A212" s="1112">
        <f t="shared" si="20"/>
        <v>42551</v>
      </c>
      <c r="B212" s="1113">
        <f t="shared" si="18"/>
        <v>2017</v>
      </c>
      <c r="C212" s="1281">
        <v>101</v>
      </c>
      <c r="D212" s="1281">
        <v>263.10000000000002</v>
      </c>
      <c r="E212" s="1114" t="str">
        <f>IF($A212&lt;DATE(2018,7,1),"-",INDEX('I1 - Universal Data'!$E$16:$V$16, MATCH(YEAR(EOMONTH($A212,6)), 'I1 - Universal Data'!$E$14:$V$14, 0)))</f>
        <v>-</v>
      </c>
      <c r="F212" s="1114" t="str">
        <f>IF($A212&lt;DATE(2018,7,1),"-",INDEX('I1 - Universal Data'!$E$15:$V$15, MATCH(YEAR(EOMONTH($A212,6)), 'I1 - Universal Data'!$E$14:$V$14, 0)))</f>
        <v>-</v>
      </c>
      <c r="G212" s="1115">
        <f t="shared" si="19"/>
        <v>101</v>
      </c>
      <c r="H212" s="1115">
        <f t="shared" si="19"/>
        <v>263.10000000000002</v>
      </c>
      <c r="U212" s="1103"/>
    </row>
    <row r="213" spans="1:21">
      <c r="A213" s="1112">
        <f t="shared" si="20"/>
        <v>42582</v>
      </c>
      <c r="B213" s="1113">
        <f t="shared" si="18"/>
        <v>2017</v>
      </c>
      <c r="C213" s="1281">
        <v>100.9</v>
      </c>
      <c r="D213" s="1281">
        <v>263.39999999999998</v>
      </c>
      <c r="E213" s="1114" t="str">
        <f>IF($A213&lt;DATE(2018,7,1),"-",INDEX('I1 - Universal Data'!$E$16:$V$16, MATCH(YEAR(EOMONTH($A213,6)), 'I1 - Universal Data'!$E$14:$V$14, 0)))</f>
        <v>-</v>
      </c>
      <c r="F213" s="1114" t="str">
        <f>IF($A213&lt;DATE(2018,7,1),"-",INDEX('I1 - Universal Data'!$E$15:$V$15, MATCH(YEAR(EOMONTH($A213,6)), 'I1 - Universal Data'!$E$14:$V$14, 0)))</f>
        <v>-</v>
      </c>
      <c r="G213" s="1115">
        <f t="shared" si="19"/>
        <v>100.9</v>
      </c>
      <c r="H213" s="1115">
        <f t="shared" si="19"/>
        <v>263.39999999999998</v>
      </c>
      <c r="U213" s="1103"/>
    </row>
    <row r="214" spans="1:21">
      <c r="A214" s="1112">
        <f t="shared" si="20"/>
        <v>42613</v>
      </c>
      <c r="B214" s="1113">
        <f t="shared" si="18"/>
        <v>2017</v>
      </c>
      <c r="C214" s="1281">
        <v>101.2</v>
      </c>
      <c r="D214" s="1281">
        <v>264.39999999999998</v>
      </c>
      <c r="E214" s="1114" t="str">
        <f>IF($A214&lt;DATE(2018,7,1),"-",INDEX('I1 - Universal Data'!$E$16:$V$16, MATCH(YEAR(EOMONTH($A214,6)), 'I1 - Universal Data'!$E$14:$V$14, 0)))</f>
        <v>-</v>
      </c>
      <c r="F214" s="1114" t="str">
        <f>IF($A214&lt;DATE(2018,7,1),"-",INDEX('I1 - Universal Data'!$E$15:$V$15, MATCH(YEAR(EOMONTH($A214,6)), 'I1 - Universal Data'!$E$14:$V$14, 0)))</f>
        <v>-</v>
      </c>
      <c r="G214" s="1115">
        <f t="shared" ref="G214:H229" si="21">IF(ISBLANK(C214),G213*((1+E214)^(1/12)),C214)</f>
        <v>101.2</v>
      </c>
      <c r="H214" s="1115">
        <f t="shared" si="21"/>
        <v>264.39999999999998</v>
      </c>
      <c r="U214" s="1103"/>
    </row>
    <row r="215" spans="1:21">
      <c r="A215" s="1112">
        <f t="shared" si="20"/>
        <v>42643</v>
      </c>
      <c r="B215" s="1113">
        <f t="shared" si="18"/>
        <v>2017</v>
      </c>
      <c r="C215" s="1281">
        <v>101.5</v>
      </c>
      <c r="D215" s="1281">
        <v>264.89999999999998</v>
      </c>
      <c r="E215" s="1114" t="str">
        <f>IF($A215&lt;DATE(2018,7,1),"-",INDEX('I1 - Universal Data'!$E$16:$V$16, MATCH(YEAR(EOMONTH($A215,6)), 'I1 - Universal Data'!$E$14:$V$14, 0)))</f>
        <v>-</v>
      </c>
      <c r="F215" s="1114" t="str">
        <f>IF($A215&lt;DATE(2018,7,1),"-",INDEX('I1 - Universal Data'!$E$15:$V$15, MATCH(YEAR(EOMONTH($A215,6)), 'I1 - Universal Data'!$E$14:$V$14, 0)))</f>
        <v>-</v>
      </c>
      <c r="G215" s="1115">
        <f t="shared" si="21"/>
        <v>101.5</v>
      </c>
      <c r="H215" s="1115">
        <f t="shared" si="21"/>
        <v>264.89999999999998</v>
      </c>
      <c r="U215" s="1103"/>
    </row>
    <row r="216" spans="1:21">
      <c r="A216" s="1112">
        <f t="shared" si="20"/>
        <v>42674</v>
      </c>
      <c r="B216" s="1113">
        <f t="shared" si="18"/>
        <v>2017</v>
      </c>
      <c r="C216" s="1281">
        <v>101.6</v>
      </c>
      <c r="D216" s="1281">
        <v>264.8</v>
      </c>
      <c r="E216" s="1114" t="str">
        <f>IF($A216&lt;DATE(2018,7,1),"-",INDEX('I1 - Universal Data'!$E$16:$V$16, MATCH(YEAR(EOMONTH($A216,6)), 'I1 - Universal Data'!$E$14:$V$14, 0)))</f>
        <v>-</v>
      </c>
      <c r="F216" s="1114" t="str">
        <f>IF($A216&lt;DATE(2018,7,1),"-",INDEX('I1 - Universal Data'!$E$15:$V$15, MATCH(YEAR(EOMONTH($A216,6)), 'I1 - Universal Data'!$E$14:$V$14, 0)))</f>
        <v>-</v>
      </c>
      <c r="G216" s="1115">
        <f t="shared" si="21"/>
        <v>101.6</v>
      </c>
      <c r="H216" s="1115">
        <f t="shared" si="21"/>
        <v>264.8</v>
      </c>
      <c r="U216" s="1103"/>
    </row>
    <row r="217" spans="1:21">
      <c r="A217" s="1112">
        <f t="shared" si="20"/>
        <v>42704</v>
      </c>
      <c r="B217" s="1113">
        <f t="shared" si="18"/>
        <v>2017</v>
      </c>
      <c r="C217" s="1281">
        <v>101.8</v>
      </c>
      <c r="D217" s="1281">
        <v>265.5</v>
      </c>
      <c r="E217" s="1114" t="str">
        <f>IF($A217&lt;DATE(2018,7,1),"-",INDEX('I1 - Universal Data'!$E$16:$V$16, MATCH(YEAR(EOMONTH($A217,6)), 'I1 - Universal Data'!$E$14:$V$14, 0)))</f>
        <v>-</v>
      </c>
      <c r="F217" s="1114" t="str">
        <f>IF($A217&lt;DATE(2018,7,1),"-",INDEX('I1 - Universal Data'!$E$15:$V$15, MATCH(YEAR(EOMONTH($A217,6)), 'I1 - Universal Data'!$E$14:$V$14, 0)))</f>
        <v>-</v>
      </c>
      <c r="G217" s="1115">
        <f t="shared" si="21"/>
        <v>101.8</v>
      </c>
      <c r="H217" s="1115">
        <f t="shared" si="21"/>
        <v>265.5</v>
      </c>
      <c r="U217" s="1103"/>
    </row>
    <row r="218" spans="1:21">
      <c r="A218" s="1112">
        <f t="shared" si="20"/>
        <v>42735</v>
      </c>
      <c r="B218" s="1113">
        <f t="shared" si="18"/>
        <v>2017</v>
      </c>
      <c r="C218" s="1281">
        <v>102.2</v>
      </c>
      <c r="D218" s="1281">
        <v>267.10000000000002</v>
      </c>
      <c r="E218" s="1114" t="str">
        <f>IF($A218&lt;DATE(2018,7,1),"-",INDEX('I1 - Universal Data'!$E$16:$V$16, MATCH(YEAR(EOMONTH($A218,6)), 'I1 - Universal Data'!$E$14:$V$14, 0)))</f>
        <v>-</v>
      </c>
      <c r="F218" s="1114" t="str">
        <f>IF($A218&lt;DATE(2018,7,1),"-",INDEX('I1 - Universal Data'!$E$15:$V$15, MATCH(YEAR(EOMONTH($A218,6)), 'I1 - Universal Data'!$E$14:$V$14, 0)))</f>
        <v>-</v>
      </c>
      <c r="G218" s="1115">
        <f t="shared" si="21"/>
        <v>102.2</v>
      </c>
      <c r="H218" s="1115">
        <f t="shared" si="21"/>
        <v>267.10000000000002</v>
      </c>
      <c r="U218" s="1103"/>
    </row>
    <row r="219" spans="1:21">
      <c r="A219" s="1112">
        <f t="shared" si="20"/>
        <v>42766</v>
      </c>
      <c r="B219" s="1113">
        <f t="shared" si="18"/>
        <v>2017</v>
      </c>
      <c r="C219" s="1281">
        <v>101.8</v>
      </c>
      <c r="D219" s="1281">
        <v>265.5</v>
      </c>
      <c r="E219" s="1114" t="str">
        <f>IF($A219&lt;DATE(2018,7,1),"-",INDEX('I1 - Universal Data'!$E$16:$V$16, MATCH(YEAR(EOMONTH($A219,6)), 'I1 - Universal Data'!$E$14:$V$14, 0)))</f>
        <v>-</v>
      </c>
      <c r="F219" s="1114" t="str">
        <f>IF($A219&lt;DATE(2018,7,1),"-",INDEX('I1 - Universal Data'!$E$15:$V$15, MATCH(YEAR(EOMONTH($A219,6)), 'I1 - Universal Data'!$E$14:$V$14, 0)))</f>
        <v>-</v>
      </c>
      <c r="G219" s="1115">
        <f t="shared" si="21"/>
        <v>101.8</v>
      </c>
      <c r="H219" s="1115">
        <f t="shared" si="21"/>
        <v>265.5</v>
      </c>
      <c r="U219" s="1103"/>
    </row>
    <row r="220" spans="1:21">
      <c r="A220" s="1112">
        <f t="shared" si="20"/>
        <v>42794</v>
      </c>
      <c r="B220" s="1113">
        <f t="shared" si="18"/>
        <v>2017</v>
      </c>
      <c r="C220" s="1281">
        <v>102.4</v>
      </c>
      <c r="D220" s="1281">
        <v>268.39999999999998</v>
      </c>
      <c r="E220" s="1114" t="str">
        <f>IF($A220&lt;DATE(2018,7,1),"-",INDEX('I1 - Universal Data'!$E$16:$V$16, MATCH(YEAR(EOMONTH($A220,6)), 'I1 - Universal Data'!$E$14:$V$14, 0)))</f>
        <v>-</v>
      </c>
      <c r="F220" s="1114" t="str">
        <f>IF($A220&lt;DATE(2018,7,1),"-",INDEX('I1 - Universal Data'!$E$15:$V$15, MATCH(YEAR(EOMONTH($A220,6)), 'I1 - Universal Data'!$E$14:$V$14, 0)))</f>
        <v>-</v>
      </c>
      <c r="G220" s="1115">
        <f t="shared" si="21"/>
        <v>102.4</v>
      </c>
      <c r="H220" s="1115">
        <f t="shared" si="21"/>
        <v>268.39999999999998</v>
      </c>
      <c r="U220" s="1103"/>
    </row>
    <row r="221" spans="1:21">
      <c r="A221" s="1112">
        <f t="shared" si="20"/>
        <v>42825</v>
      </c>
      <c r="B221" s="1113">
        <f t="shared" si="18"/>
        <v>2017</v>
      </c>
      <c r="C221" s="1281">
        <v>102.7</v>
      </c>
      <c r="D221" s="1281">
        <v>269.3</v>
      </c>
      <c r="E221" s="1114" t="str">
        <f>IF($A221&lt;DATE(2018,7,1),"-",INDEX('I1 - Universal Data'!$E$16:$V$16, MATCH(YEAR(EOMONTH($A221,6)), 'I1 - Universal Data'!$E$14:$V$14, 0)))</f>
        <v>-</v>
      </c>
      <c r="F221" s="1114" t="str">
        <f>IF($A221&lt;DATE(2018,7,1),"-",INDEX('I1 - Universal Data'!$E$15:$V$15, MATCH(YEAR(EOMONTH($A221,6)), 'I1 - Universal Data'!$E$14:$V$14, 0)))</f>
        <v>-</v>
      </c>
      <c r="G221" s="1115">
        <f t="shared" si="21"/>
        <v>102.7</v>
      </c>
      <c r="H221" s="1115">
        <f t="shared" si="21"/>
        <v>269.3</v>
      </c>
      <c r="U221" s="1103"/>
    </row>
    <row r="222" spans="1:21">
      <c r="A222" s="1112">
        <f t="shared" si="20"/>
        <v>42855</v>
      </c>
      <c r="B222" s="1113">
        <f t="shared" si="18"/>
        <v>2018</v>
      </c>
      <c r="C222" s="1281">
        <v>103.2</v>
      </c>
      <c r="D222" s="1281">
        <v>270.60000000000002</v>
      </c>
      <c r="E222" s="1114" t="str">
        <f>IF($A222&lt;DATE(2018,7,1),"-",INDEX('I1 - Universal Data'!$E$16:$V$16, MATCH(YEAR(EOMONTH($A222,6)), 'I1 - Universal Data'!$E$14:$V$14, 0)))</f>
        <v>-</v>
      </c>
      <c r="F222" s="1114" t="str">
        <f>IF($A222&lt;DATE(2018,7,1),"-",INDEX('I1 - Universal Data'!$E$15:$V$15, MATCH(YEAR(EOMONTH($A222,6)), 'I1 - Universal Data'!$E$14:$V$14, 0)))</f>
        <v>-</v>
      </c>
      <c r="G222" s="1115">
        <f t="shared" si="21"/>
        <v>103.2</v>
      </c>
      <c r="H222" s="1115">
        <f t="shared" si="21"/>
        <v>270.60000000000002</v>
      </c>
      <c r="U222" s="1103"/>
    </row>
    <row r="223" spans="1:21">
      <c r="A223" s="1112">
        <f t="shared" si="20"/>
        <v>42886</v>
      </c>
      <c r="B223" s="1113">
        <f t="shared" si="18"/>
        <v>2018</v>
      </c>
      <c r="C223" s="1281">
        <v>103.5</v>
      </c>
      <c r="D223" s="1281">
        <v>271.7</v>
      </c>
      <c r="E223" s="1114" t="str">
        <f>IF($A223&lt;DATE(2018,7,1),"-",INDEX('I1 - Universal Data'!$E$16:$V$16, MATCH(YEAR(EOMONTH($A223,6)), 'I1 - Universal Data'!$E$14:$V$14, 0)))</f>
        <v>-</v>
      </c>
      <c r="F223" s="1114" t="str">
        <f>IF($A223&lt;DATE(2018,7,1),"-",INDEX('I1 - Universal Data'!$E$15:$V$15, MATCH(YEAR(EOMONTH($A223,6)), 'I1 - Universal Data'!$E$14:$V$14, 0)))</f>
        <v>-</v>
      </c>
      <c r="G223" s="1115">
        <f t="shared" si="21"/>
        <v>103.5</v>
      </c>
      <c r="H223" s="1115">
        <f t="shared" si="21"/>
        <v>271.7</v>
      </c>
      <c r="U223" s="1103"/>
    </row>
    <row r="224" spans="1:21">
      <c r="A224" s="1112">
        <f t="shared" si="20"/>
        <v>42916</v>
      </c>
      <c r="B224" s="1113">
        <f t="shared" si="18"/>
        <v>2018</v>
      </c>
      <c r="C224" s="1281">
        <v>103.5</v>
      </c>
      <c r="D224" s="1281">
        <v>272.3</v>
      </c>
      <c r="E224" s="1114" t="str">
        <f>IF($A224&lt;DATE(2018,7,1),"-",INDEX('I1 - Universal Data'!$E$16:$V$16, MATCH(YEAR(EOMONTH($A224,6)), 'I1 - Universal Data'!$E$14:$V$14, 0)))</f>
        <v>-</v>
      </c>
      <c r="F224" s="1114" t="str">
        <f>IF($A224&lt;DATE(2018,7,1),"-",INDEX('I1 - Universal Data'!$E$15:$V$15, MATCH(YEAR(EOMONTH($A224,6)), 'I1 - Universal Data'!$E$14:$V$14, 0)))</f>
        <v>-</v>
      </c>
      <c r="G224" s="1115">
        <f t="shared" si="21"/>
        <v>103.5</v>
      </c>
      <c r="H224" s="1115">
        <f t="shared" si="21"/>
        <v>272.3</v>
      </c>
      <c r="U224" s="1103"/>
    </row>
    <row r="225" spans="1:21">
      <c r="A225" s="1112">
        <f t="shared" si="20"/>
        <v>42947</v>
      </c>
      <c r="B225" s="1113">
        <f t="shared" si="18"/>
        <v>2018</v>
      </c>
      <c r="C225" s="1281">
        <v>103.5</v>
      </c>
      <c r="D225" s="1281">
        <v>272.89999999999998</v>
      </c>
      <c r="E225" s="1114" t="str">
        <f>IF($A225&lt;DATE(2018,7,1),"-",INDEX('I1 - Universal Data'!$E$16:$V$16, MATCH(YEAR(EOMONTH($A225,6)), 'I1 - Universal Data'!$E$14:$V$14, 0)))</f>
        <v>-</v>
      </c>
      <c r="F225" s="1114" t="str">
        <f>IF($A225&lt;DATE(2018,7,1),"-",INDEX('I1 - Universal Data'!$E$15:$V$15, MATCH(YEAR(EOMONTH($A225,6)), 'I1 - Universal Data'!$E$14:$V$14, 0)))</f>
        <v>-</v>
      </c>
      <c r="G225" s="1115">
        <f t="shared" si="21"/>
        <v>103.5</v>
      </c>
      <c r="H225" s="1115">
        <f t="shared" si="21"/>
        <v>272.89999999999998</v>
      </c>
      <c r="U225" s="1103"/>
    </row>
    <row r="226" spans="1:21">
      <c r="A226" s="1112">
        <f t="shared" si="20"/>
        <v>42978</v>
      </c>
      <c r="B226" s="1113">
        <f t="shared" si="18"/>
        <v>2018</v>
      </c>
      <c r="C226" s="1281">
        <v>104</v>
      </c>
      <c r="D226" s="1281">
        <v>274.7</v>
      </c>
      <c r="E226" s="1114" t="str">
        <f>IF($A226&lt;DATE(2018,7,1),"-",INDEX('I1 - Universal Data'!$E$16:$V$16, MATCH(YEAR(EOMONTH($A226,6)), 'I1 - Universal Data'!$E$14:$V$14, 0)))</f>
        <v>-</v>
      </c>
      <c r="F226" s="1114" t="str">
        <f>IF($A226&lt;DATE(2018,7,1),"-",INDEX('I1 - Universal Data'!$E$15:$V$15, MATCH(YEAR(EOMONTH($A226,6)), 'I1 - Universal Data'!$E$14:$V$14, 0)))</f>
        <v>-</v>
      </c>
      <c r="G226" s="1115">
        <f t="shared" si="21"/>
        <v>104</v>
      </c>
      <c r="H226" s="1115">
        <f t="shared" si="21"/>
        <v>274.7</v>
      </c>
      <c r="U226" s="1103"/>
    </row>
    <row r="227" spans="1:21">
      <c r="A227" s="1112">
        <f t="shared" si="20"/>
        <v>43008</v>
      </c>
      <c r="B227" s="1113">
        <f t="shared" si="18"/>
        <v>2018</v>
      </c>
      <c r="C227" s="1281">
        <v>104.3</v>
      </c>
      <c r="D227" s="1281">
        <v>275.10000000000002</v>
      </c>
      <c r="E227" s="1114" t="str">
        <f>IF($A227&lt;DATE(2018,7,1),"-",INDEX('I1 - Universal Data'!$E$16:$V$16, MATCH(YEAR(EOMONTH($A227,6)), 'I1 - Universal Data'!$E$14:$V$14, 0)))</f>
        <v>-</v>
      </c>
      <c r="F227" s="1114" t="str">
        <f>IF($A227&lt;DATE(2018,7,1),"-",INDEX('I1 - Universal Data'!$E$15:$V$15, MATCH(YEAR(EOMONTH($A227,6)), 'I1 - Universal Data'!$E$14:$V$14, 0)))</f>
        <v>-</v>
      </c>
      <c r="G227" s="1115">
        <f t="shared" si="21"/>
        <v>104.3</v>
      </c>
      <c r="H227" s="1115">
        <f t="shared" si="21"/>
        <v>275.10000000000002</v>
      </c>
      <c r="U227" s="1103"/>
    </row>
    <row r="228" spans="1:21">
      <c r="A228" s="1112">
        <f t="shared" si="20"/>
        <v>43039</v>
      </c>
      <c r="B228" s="1113">
        <f t="shared" si="18"/>
        <v>2018</v>
      </c>
      <c r="C228" s="1281">
        <v>104.4</v>
      </c>
      <c r="D228" s="1281">
        <v>275.3</v>
      </c>
      <c r="E228" s="1114" t="str">
        <f>IF($A228&lt;DATE(2018,7,1),"-",INDEX('I1 - Universal Data'!$E$16:$V$16, MATCH(YEAR(EOMONTH($A228,6)), 'I1 - Universal Data'!$E$14:$V$14, 0)))</f>
        <v>-</v>
      </c>
      <c r="F228" s="1114" t="str">
        <f>IF($A228&lt;DATE(2018,7,1),"-",INDEX('I1 - Universal Data'!$E$15:$V$15, MATCH(YEAR(EOMONTH($A228,6)), 'I1 - Universal Data'!$E$14:$V$14, 0)))</f>
        <v>-</v>
      </c>
      <c r="G228" s="1115">
        <f t="shared" si="21"/>
        <v>104.4</v>
      </c>
      <c r="H228" s="1115">
        <f t="shared" si="21"/>
        <v>275.3</v>
      </c>
      <c r="U228" s="1103"/>
    </row>
    <row r="229" spans="1:21">
      <c r="A229" s="1112">
        <f t="shared" si="20"/>
        <v>43069</v>
      </c>
      <c r="B229" s="1113">
        <f t="shared" si="18"/>
        <v>2018</v>
      </c>
      <c r="C229" s="1281">
        <v>104.7</v>
      </c>
      <c r="D229" s="1281">
        <v>275.8</v>
      </c>
      <c r="E229" s="1114" t="str">
        <f>IF($A229&lt;DATE(2018,7,1),"-",INDEX('I1 - Universal Data'!$E$16:$V$16, MATCH(YEAR(EOMONTH($A229,6)), 'I1 - Universal Data'!$E$14:$V$14, 0)))</f>
        <v>-</v>
      </c>
      <c r="F229" s="1114" t="str">
        <f>IF($A229&lt;DATE(2018,7,1),"-",INDEX('I1 - Universal Data'!$E$15:$V$15, MATCH(YEAR(EOMONTH($A229,6)), 'I1 - Universal Data'!$E$14:$V$14, 0)))</f>
        <v>-</v>
      </c>
      <c r="G229" s="1115">
        <f t="shared" si="21"/>
        <v>104.7</v>
      </c>
      <c r="H229" s="1115">
        <f t="shared" si="21"/>
        <v>275.8</v>
      </c>
      <c r="U229" s="1103"/>
    </row>
    <row r="230" spans="1:21">
      <c r="A230" s="1112">
        <f t="shared" si="20"/>
        <v>43100</v>
      </c>
      <c r="B230" s="1113">
        <f t="shared" si="18"/>
        <v>2018</v>
      </c>
      <c r="C230" s="1281">
        <v>105</v>
      </c>
      <c r="D230" s="1281">
        <v>278.10000000000002</v>
      </c>
      <c r="E230" s="1114" t="str">
        <f>IF($A230&lt;DATE(2018,7,1),"-",INDEX('I1 - Universal Data'!$E$16:$V$16, MATCH(YEAR(EOMONTH($A230,6)), 'I1 - Universal Data'!$E$14:$V$14, 0)))</f>
        <v>-</v>
      </c>
      <c r="F230" s="1114" t="str">
        <f>IF($A230&lt;DATE(2018,7,1),"-",INDEX('I1 - Universal Data'!$E$15:$V$15, MATCH(YEAR(EOMONTH($A230,6)), 'I1 - Universal Data'!$E$14:$V$14, 0)))</f>
        <v>-</v>
      </c>
      <c r="G230" s="1115">
        <f t="shared" ref="G230:H245" si="22">IF(ISBLANK(C230),G229*((1+E230)^(1/12)),C230)</f>
        <v>105</v>
      </c>
      <c r="H230" s="1115">
        <f t="shared" si="22"/>
        <v>278.10000000000002</v>
      </c>
      <c r="U230" s="1103"/>
    </row>
    <row r="231" spans="1:21">
      <c r="A231" s="1112">
        <f t="shared" si="20"/>
        <v>43131</v>
      </c>
      <c r="B231" s="1113">
        <f t="shared" si="18"/>
        <v>2018</v>
      </c>
      <c r="C231" s="1281">
        <v>104.5</v>
      </c>
      <c r="D231" s="1281">
        <v>276</v>
      </c>
      <c r="E231" s="1114" t="str">
        <f>IF($A231&lt;DATE(2018,7,1),"-",INDEX('I1 - Universal Data'!$E$16:$V$16, MATCH(YEAR(EOMONTH($A231,6)), 'I1 - Universal Data'!$E$14:$V$14, 0)))</f>
        <v>-</v>
      </c>
      <c r="F231" s="1114" t="str">
        <f>IF($A231&lt;DATE(2018,7,1),"-",INDEX('I1 - Universal Data'!$E$15:$V$15, MATCH(YEAR(EOMONTH($A231,6)), 'I1 - Universal Data'!$E$14:$V$14, 0)))</f>
        <v>-</v>
      </c>
      <c r="G231" s="1115">
        <f t="shared" si="22"/>
        <v>104.5</v>
      </c>
      <c r="H231" s="1115">
        <f t="shared" si="22"/>
        <v>276</v>
      </c>
      <c r="U231" s="1103"/>
    </row>
    <row r="232" spans="1:21">
      <c r="A232" s="1112">
        <f t="shared" si="20"/>
        <v>43159</v>
      </c>
      <c r="B232" s="1113">
        <f t="shared" si="18"/>
        <v>2018</v>
      </c>
      <c r="C232" s="1281">
        <v>104.9</v>
      </c>
      <c r="D232" s="1281">
        <v>278.10000000000002</v>
      </c>
      <c r="E232" s="1114" t="str">
        <f>IF($A232&lt;DATE(2018,7,1),"-",INDEX('I1 - Universal Data'!$E$16:$V$16, MATCH(YEAR(EOMONTH($A232,6)), 'I1 - Universal Data'!$E$14:$V$14, 0)))</f>
        <v>-</v>
      </c>
      <c r="F232" s="1114" t="str">
        <f>IF($A232&lt;DATE(2018,7,1),"-",INDEX('I1 - Universal Data'!$E$15:$V$15, MATCH(YEAR(EOMONTH($A232,6)), 'I1 - Universal Data'!$E$14:$V$14, 0)))</f>
        <v>-</v>
      </c>
      <c r="G232" s="1115">
        <f t="shared" si="22"/>
        <v>104.9</v>
      </c>
      <c r="H232" s="1115">
        <f t="shared" si="22"/>
        <v>278.10000000000002</v>
      </c>
      <c r="U232" s="1103"/>
    </row>
    <row r="233" spans="1:21">
      <c r="A233" s="1112">
        <f t="shared" si="20"/>
        <v>43190</v>
      </c>
      <c r="B233" s="1113">
        <f t="shared" si="18"/>
        <v>2018</v>
      </c>
      <c r="C233" s="1281">
        <v>105.1</v>
      </c>
      <c r="D233" s="1281">
        <v>278.3</v>
      </c>
      <c r="E233" s="1114" t="str">
        <f>IF($A233&lt;DATE(2018,7,1),"-",INDEX('I1 - Universal Data'!$E$16:$V$16, MATCH(YEAR(EOMONTH($A233,6)), 'I1 - Universal Data'!$E$14:$V$14, 0)))</f>
        <v>-</v>
      </c>
      <c r="F233" s="1114" t="str">
        <f>IF($A233&lt;DATE(2018,7,1),"-",INDEX('I1 - Universal Data'!$E$15:$V$15, MATCH(YEAR(EOMONTH($A233,6)), 'I1 - Universal Data'!$E$14:$V$14, 0)))</f>
        <v>-</v>
      </c>
      <c r="G233" s="1115">
        <f t="shared" si="22"/>
        <v>105.1</v>
      </c>
      <c r="H233" s="1115">
        <f t="shared" si="22"/>
        <v>278.3</v>
      </c>
      <c r="U233" s="1103"/>
    </row>
    <row r="234" spans="1:21">
      <c r="A234" s="1112">
        <f t="shared" si="20"/>
        <v>43220</v>
      </c>
      <c r="B234" s="1113">
        <f t="shared" si="18"/>
        <v>2019</v>
      </c>
      <c r="C234" s="1281">
        <v>105.5</v>
      </c>
      <c r="D234" s="1281">
        <v>279.7</v>
      </c>
      <c r="E234" s="1114" t="str">
        <f>IF($A234&lt;DATE(2018,7,1),"-",INDEX('I1 - Universal Data'!$E$16:$V$16, MATCH(YEAR(EOMONTH($A234,6)), 'I1 - Universal Data'!$E$14:$V$14, 0)))</f>
        <v>-</v>
      </c>
      <c r="F234" s="1114" t="str">
        <f>IF($A234&lt;DATE(2018,7,1),"-",INDEX('I1 - Universal Data'!$E$15:$V$15, MATCH(YEAR(EOMONTH($A234,6)), 'I1 - Universal Data'!$E$14:$V$14, 0)))</f>
        <v>-</v>
      </c>
      <c r="G234" s="1115">
        <f t="shared" si="22"/>
        <v>105.5</v>
      </c>
      <c r="H234" s="1115">
        <f t="shared" si="22"/>
        <v>279.7</v>
      </c>
      <c r="U234" s="1103"/>
    </row>
    <row r="235" spans="1:21">
      <c r="A235" s="1112">
        <f t="shared" si="20"/>
        <v>43251</v>
      </c>
      <c r="B235" s="1113">
        <f t="shared" si="18"/>
        <v>2019</v>
      </c>
      <c r="C235" s="1281">
        <v>105.9</v>
      </c>
      <c r="D235" s="1281">
        <v>280.7</v>
      </c>
      <c r="E235" s="1114" t="str">
        <f>IF($A235&lt;DATE(2018,7,1),"-",INDEX('I1 - Universal Data'!$E$16:$V$16, MATCH(YEAR(EOMONTH($A235,6)), 'I1 - Universal Data'!$E$14:$V$14, 0)))</f>
        <v>-</v>
      </c>
      <c r="F235" s="1114" t="str">
        <f>IF($A235&lt;DATE(2018,7,1),"-",INDEX('I1 - Universal Data'!$E$15:$V$15, MATCH(YEAR(EOMONTH($A235,6)), 'I1 - Universal Data'!$E$14:$V$14, 0)))</f>
        <v>-</v>
      </c>
      <c r="G235" s="1115">
        <f t="shared" si="22"/>
        <v>105.9</v>
      </c>
      <c r="H235" s="1115">
        <f t="shared" si="22"/>
        <v>280.7</v>
      </c>
      <c r="U235" s="1103"/>
    </row>
    <row r="236" spans="1:21">
      <c r="A236" s="1112">
        <f t="shared" si="20"/>
        <v>43281</v>
      </c>
      <c r="B236" s="1113">
        <f t="shared" si="18"/>
        <v>2019</v>
      </c>
      <c r="C236" s="1281">
        <v>105.9</v>
      </c>
      <c r="D236" s="1281">
        <v>281.5</v>
      </c>
      <c r="E236" s="1114" t="str">
        <f>IF($A236&lt;DATE(2018,7,1),"-",INDEX('I1 - Universal Data'!$E$16:$V$16, MATCH(YEAR(EOMONTH($A236,6)), 'I1 - Universal Data'!$E$14:$V$14, 0)))</f>
        <v>-</v>
      </c>
      <c r="F236" s="1114" t="str">
        <f>IF($A236&lt;DATE(2018,7,1),"-",INDEX('I1 - Universal Data'!$E$15:$V$15, MATCH(YEAR(EOMONTH($A236,6)), 'I1 - Universal Data'!$E$14:$V$14, 0)))</f>
        <v>-</v>
      </c>
      <c r="G236" s="1115">
        <f t="shared" si="22"/>
        <v>105.9</v>
      </c>
      <c r="H236" s="1115">
        <f t="shared" si="22"/>
        <v>281.5</v>
      </c>
      <c r="U236" s="1103"/>
    </row>
    <row r="237" spans="1:21">
      <c r="A237" s="1112">
        <f t="shared" si="20"/>
        <v>43312</v>
      </c>
      <c r="B237" s="1113">
        <f t="shared" si="18"/>
        <v>2019</v>
      </c>
      <c r="C237" s="1281">
        <v>105.9</v>
      </c>
      <c r="D237" s="1281">
        <v>281.7</v>
      </c>
      <c r="E237" s="1114">
        <f>IF($A237&lt;DATE(2018,7,1),"-",INDEX('I1 - Universal Data'!$E$16:$V$16, MATCH(YEAR(EOMONTH($A237,6)), 'I1 - Universal Data'!$E$14:$V$14, 0)))</f>
        <v>1.7910205867057716E-2</v>
      </c>
      <c r="F237" s="1114">
        <f>IF($A237&lt;DATE(2018,7,1),"-",INDEX('I1 - Universal Data'!$E$15:$V$15, MATCH(YEAR(EOMONTH($A237,6)), 'I1 - Universal Data'!$E$14:$V$14, 0)))</f>
        <v>2.5628884588821732E-2</v>
      </c>
      <c r="G237" s="1115">
        <f t="shared" si="22"/>
        <v>105.9</v>
      </c>
      <c r="H237" s="1115">
        <f t="shared" si="22"/>
        <v>281.7</v>
      </c>
      <c r="U237" s="1103"/>
    </row>
    <row r="238" spans="1:21">
      <c r="A238" s="1112">
        <f t="shared" si="20"/>
        <v>43343</v>
      </c>
      <c r="B238" s="1113">
        <f t="shared" si="18"/>
        <v>2019</v>
      </c>
      <c r="C238" s="1281">
        <v>106.5</v>
      </c>
      <c r="D238" s="1281">
        <v>284.2</v>
      </c>
      <c r="E238" s="1114">
        <f>IF($A238&lt;DATE(2018,7,1),"-",INDEX('I1 - Universal Data'!$E$16:$V$16, MATCH(YEAR(EOMONTH($A238,6)), 'I1 - Universal Data'!$E$14:$V$14, 0)))</f>
        <v>1.7910205867057716E-2</v>
      </c>
      <c r="F238" s="1114">
        <f>IF($A238&lt;DATE(2018,7,1),"-",INDEX('I1 - Universal Data'!$E$15:$V$15, MATCH(YEAR(EOMONTH($A238,6)), 'I1 - Universal Data'!$E$14:$V$14, 0)))</f>
        <v>2.5628884588821732E-2</v>
      </c>
      <c r="G238" s="1115">
        <f t="shared" si="22"/>
        <v>106.5</v>
      </c>
      <c r="H238" s="1115">
        <f t="shared" si="22"/>
        <v>284.2</v>
      </c>
      <c r="U238" s="1103"/>
    </row>
    <row r="239" spans="1:21">
      <c r="A239" s="1112">
        <f t="shared" si="20"/>
        <v>43373</v>
      </c>
      <c r="B239" s="1113">
        <f t="shared" si="18"/>
        <v>2019</v>
      </c>
      <c r="C239" s="1281">
        <v>106.6</v>
      </c>
      <c r="D239" s="1281">
        <v>284.10000000000002</v>
      </c>
      <c r="E239" s="1114">
        <f>IF($A239&lt;DATE(2018,7,1),"-",INDEX('I1 - Universal Data'!$E$16:$V$16, MATCH(YEAR(EOMONTH($A239,6)), 'I1 - Universal Data'!$E$14:$V$14, 0)))</f>
        <v>1.7910205867057716E-2</v>
      </c>
      <c r="F239" s="1114">
        <f>IF($A239&lt;DATE(2018,7,1),"-",INDEX('I1 - Universal Data'!$E$15:$V$15, MATCH(YEAR(EOMONTH($A239,6)), 'I1 - Universal Data'!$E$14:$V$14, 0)))</f>
        <v>2.5628884588821732E-2</v>
      </c>
      <c r="G239" s="1115">
        <f t="shared" si="22"/>
        <v>106.6</v>
      </c>
      <c r="H239" s="1115">
        <f t="shared" si="22"/>
        <v>284.10000000000002</v>
      </c>
      <c r="U239" s="1103"/>
    </row>
    <row r="240" spans="1:21">
      <c r="A240" s="1112">
        <f t="shared" si="20"/>
        <v>43404</v>
      </c>
      <c r="B240" s="1113">
        <f t="shared" si="18"/>
        <v>2019</v>
      </c>
      <c r="C240" s="1281">
        <v>106.7</v>
      </c>
      <c r="D240" s="1281">
        <v>284.5</v>
      </c>
      <c r="E240" s="1114">
        <f>IF($A240&lt;DATE(2018,7,1),"-",INDEX('I1 - Universal Data'!$E$16:$V$16, MATCH(YEAR(EOMONTH($A240,6)), 'I1 - Universal Data'!$E$14:$V$14, 0)))</f>
        <v>1.7910205867057716E-2</v>
      </c>
      <c r="F240" s="1114">
        <f>IF($A240&lt;DATE(2018,7,1),"-",INDEX('I1 - Universal Data'!$E$15:$V$15, MATCH(YEAR(EOMONTH($A240,6)), 'I1 - Universal Data'!$E$14:$V$14, 0)))</f>
        <v>2.5628884588821732E-2</v>
      </c>
      <c r="G240" s="1115">
        <f t="shared" si="22"/>
        <v>106.7</v>
      </c>
      <c r="H240" s="1115">
        <f t="shared" si="22"/>
        <v>284.5</v>
      </c>
      <c r="U240" s="1103"/>
    </row>
    <row r="241" spans="1:21">
      <c r="A241" s="1112">
        <f t="shared" si="20"/>
        <v>43434</v>
      </c>
      <c r="B241" s="1113">
        <f t="shared" si="18"/>
        <v>2019</v>
      </c>
      <c r="C241" s="1281">
        <v>106.9</v>
      </c>
      <c r="D241" s="1281">
        <v>284.60000000000002</v>
      </c>
      <c r="E241" s="1114">
        <f>IF($A241&lt;DATE(2018,7,1),"-",INDEX('I1 - Universal Data'!$E$16:$V$16, MATCH(YEAR(EOMONTH($A241,6)), 'I1 - Universal Data'!$E$14:$V$14, 0)))</f>
        <v>1.7910205867057716E-2</v>
      </c>
      <c r="F241" s="1114">
        <f>IF($A241&lt;DATE(2018,7,1),"-",INDEX('I1 - Universal Data'!$E$15:$V$15, MATCH(YEAR(EOMONTH($A241,6)), 'I1 - Universal Data'!$E$14:$V$14, 0)))</f>
        <v>2.5628884588821732E-2</v>
      </c>
      <c r="G241" s="1115">
        <f t="shared" si="22"/>
        <v>106.9</v>
      </c>
      <c r="H241" s="1115">
        <f t="shared" si="22"/>
        <v>284.60000000000002</v>
      </c>
      <c r="U241" s="1103"/>
    </row>
    <row r="242" spans="1:21">
      <c r="A242" s="1112">
        <f t="shared" si="20"/>
        <v>43465</v>
      </c>
      <c r="B242" s="1113">
        <f t="shared" si="18"/>
        <v>2019</v>
      </c>
      <c r="C242" s="1281">
        <v>107.1</v>
      </c>
      <c r="D242" s="1281">
        <v>285.60000000000002</v>
      </c>
      <c r="E242" s="1114">
        <f>IF($A242&lt;DATE(2018,7,1),"-",INDEX('I1 - Universal Data'!$E$16:$V$16, MATCH(YEAR(EOMONTH($A242,6)), 'I1 - Universal Data'!$E$14:$V$14, 0)))</f>
        <v>1.7910205867057716E-2</v>
      </c>
      <c r="F242" s="1114">
        <f>IF($A242&lt;DATE(2018,7,1),"-",INDEX('I1 - Universal Data'!$E$15:$V$15, MATCH(YEAR(EOMONTH($A242,6)), 'I1 - Universal Data'!$E$14:$V$14, 0)))</f>
        <v>2.5628884588821732E-2</v>
      </c>
      <c r="G242" s="1115">
        <f t="shared" si="22"/>
        <v>107.1</v>
      </c>
      <c r="H242" s="1115">
        <f t="shared" si="22"/>
        <v>285.60000000000002</v>
      </c>
      <c r="U242" s="1103"/>
    </row>
    <row r="243" spans="1:21">
      <c r="A243" s="1112">
        <f t="shared" si="20"/>
        <v>43496</v>
      </c>
      <c r="B243" s="1113">
        <f t="shared" si="18"/>
        <v>2019</v>
      </c>
      <c r="C243" s="1281">
        <v>106.4</v>
      </c>
      <c r="D243" s="1281">
        <v>283</v>
      </c>
      <c r="E243" s="1114">
        <f>IF($A243&lt;DATE(2018,7,1),"-",INDEX('I1 - Universal Data'!$E$16:$V$16, MATCH(YEAR(EOMONTH($A243,6)), 'I1 - Universal Data'!$E$14:$V$14, 0)))</f>
        <v>1.7910205867057716E-2</v>
      </c>
      <c r="F243" s="1114">
        <f>IF($A243&lt;DATE(2018,7,1),"-",INDEX('I1 - Universal Data'!$E$15:$V$15, MATCH(YEAR(EOMONTH($A243,6)), 'I1 - Universal Data'!$E$14:$V$14, 0)))</f>
        <v>2.5628884588821732E-2</v>
      </c>
      <c r="G243" s="1115">
        <f t="shared" si="22"/>
        <v>106.4</v>
      </c>
      <c r="H243" s="1115">
        <f t="shared" si="22"/>
        <v>283</v>
      </c>
      <c r="U243" s="1103"/>
    </row>
    <row r="244" spans="1:21">
      <c r="A244" s="1112">
        <f t="shared" si="20"/>
        <v>43524</v>
      </c>
      <c r="B244" s="1113">
        <f t="shared" si="18"/>
        <v>2019</v>
      </c>
      <c r="C244" s="1281">
        <v>106.8</v>
      </c>
      <c r="D244" s="1281">
        <v>285</v>
      </c>
      <c r="E244" s="1114">
        <f>IF($A244&lt;DATE(2018,7,1),"-",INDEX('I1 - Universal Data'!$E$16:$V$16, MATCH(YEAR(EOMONTH($A244,6)), 'I1 - Universal Data'!$E$14:$V$14, 0)))</f>
        <v>1.7910205867057716E-2</v>
      </c>
      <c r="F244" s="1114">
        <f>IF($A244&lt;DATE(2018,7,1),"-",INDEX('I1 - Universal Data'!$E$15:$V$15, MATCH(YEAR(EOMONTH($A244,6)), 'I1 - Universal Data'!$E$14:$V$14, 0)))</f>
        <v>2.5628884588821732E-2</v>
      </c>
      <c r="G244" s="1115">
        <f t="shared" si="22"/>
        <v>106.8</v>
      </c>
      <c r="H244" s="1115">
        <f t="shared" si="22"/>
        <v>285</v>
      </c>
      <c r="U244" s="1103"/>
    </row>
    <row r="245" spans="1:21">
      <c r="A245" s="1112">
        <f t="shared" si="20"/>
        <v>43555</v>
      </c>
      <c r="B245" s="1113">
        <f t="shared" si="18"/>
        <v>2019</v>
      </c>
      <c r="C245" s="1281">
        <v>107</v>
      </c>
      <c r="D245" s="1281">
        <v>285.10000000000002</v>
      </c>
      <c r="E245" s="1114">
        <f>IF($A245&lt;DATE(2018,7,1),"-",INDEX('I1 - Universal Data'!$E$16:$V$16, MATCH(YEAR(EOMONTH($A245,6)), 'I1 - Universal Data'!$E$14:$V$14, 0)))</f>
        <v>1.7910205867057716E-2</v>
      </c>
      <c r="F245" s="1114">
        <f>IF($A245&lt;DATE(2018,7,1),"-",INDEX('I1 - Universal Data'!$E$15:$V$15, MATCH(YEAR(EOMONTH($A245,6)), 'I1 - Universal Data'!$E$14:$V$14, 0)))</f>
        <v>2.5628884588821732E-2</v>
      </c>
      <c r="G245" s="1115">
        <f t="shared" si="22"/>
        <v>107</v>
      </c>
      <c r="H245" s="1115">
        <f t="shared" si="22"/>
        <v>285.10000000000002</v>
      </c>
      <c r="U245" s="1103"/>
    </row>
    <row r="246" spans="1:21">
      <c r="A246" s="1112">
        <f t="shared" si="20"/>
        <v>43585</v>
      </c>
      <c r="B246" s="1113">
        <f t="shared" si="18"/>
        <v>2020</v>
      </c>
      <c r="C246" s="1281">
        <v>107.6</v>
      </c>
      <c r="D246" s="1281">
        <v>288.2</v>
      </c>
      <c r="E246" s="1114">
        <f>IF($A246&lt;DATE(2018,7,1),"-",INDEX('I1 - Universal Data'!$E$16:$V$16, MATCH(YEAR(EOMONTH($A246,6)), 'I1 - Universal Data'!$E$14:$V$14, 0)))</f>
        <v>1.7910205867057716E-2</v>
      </c>
      <c r="F246" s="1114">
        <f>IF($A246&lt;DATE(2018,7,1),"-",INDEX('I1 - Universal Data'!$E$15:$V$15, MATCH(YEAR(EOMONTH($A246,6)), 'I1 - Universal Data'!$E$14:$V$14, 0)))</f>
        <v>2.5628884588821732E-2</v>
      </c>
      <c r="G246" s="1115">
        <f t="shared" ref="G246:H261" si="23">IF(ISBLANK(C246),G245*((1+E246)^(1/12)),C246)</f>
        <v>107.6</v>
      </c>
      <c r="H246" s="1115">
        <f t="shared" si="23"/>
        <v>288.2</v>
      </c>
      <c r="T246" s="1104"/>
      <c r="U246" s="1103"/>
    </row>
    <row r="247" spans="1:21">
      <c r="A247" s="1112">
        <f t="shared" si="20"/>
        <v>43616</v>
      </c>
      <c r="B247" s="1113">
        <f t="shared" si="18"/>
        <v>2020</v>
      </c>
      <c r="C247" s="1281">
        <v>107.9</v>
      </c>
      <c r="D247" s="1281">
        <v>289.2</v>
      </c>
      <c r="E247" s="1114">
        <f>IF($A247&lt;DATE(2018,7,1),"-",INDEX('I1 - Universal Data'!$E$16:$V$16, MATCH(YEAR(EOMONTH($A247,6)), 'I1 - Universal Data'!$E$14:$V$14, 0)))</f>
        <v>1.7910205867057716E-2</v>
      </c>
      <c r="F247" s="1114">
        <f>IF($A247&lt;DATE(2018,7,1),"-",INDEX('I1 - Universal Data'!$E$15:$V$15, MATCH(YEAR(EOMONTH($A247,6)), 'I1 - Universal Data'!$E$14:$V$14, 0)))</f>
        <v>2.5628884588821732E-2</v>
      </c>
      <c r="G247" s="1115">
        <f t="shared" si="23"/>
        <v>107.9</v>
      </c>
      <c r="H247" s="1115">
        <f t="shared" si="23"/>
        <v>289.2</v>
      </c>
      <c r="T247" s="1104"/>
      <c r="U247" s="1103"/>
    </row>
    <row r="248" spans="1:21">
      <c r="A248" s="1112">
        <f t="shared" si="20"/>
        <v>43646</v>
      </c>
      <c r="B248" s="1113">
        <f t="shared" si="18"/>
        <v>2020</v>
      </c>
      <c r="C248" s="1281">
        <v>107.9</v>
      </c>
      <c r="D248" s="1281">
        <v>289.60000000000002</v>
      </c>
      <c r="E248" s="1114">
        <f>IF($A248&lt;DATE(2018,7,1),"-",INDEX('I1 - Universal Data'!$E$16:$V$16, MATCH(YEAR(EOMONTH($A248,6)), 'I1 - Universal Data'!$E$14:$V$14, 0)))</f>
        <v>1.7910205867057716E-2</v>
      </c>
      <c r="F248" s="1114">
        <f>IF($A248&lt;DATE(2018,7,1),"-",INDEX('I1 - Universal Data'!$E$15:$V$15, MATCH(YEAR(EOMONTH($A248,6)), 'I1 - Universal Data'!$E$14:$V$14, 0)))</f>
        <v>2.5628884588821732E-2</v>
      </c>
      <c r="G248" s="1115">
        <f t="shared" si="23"/>
        <v>107.9</v>
      </c>
      <c r="H248" s="1115">
        <f t="shared" si="23"/>
        <v>289.60000000000002</v>
      </c>
      <c r="T248" s="1104"/>
      <c r="U248" s="1103"/>
    </row>
    <row r="249" spans="1:21">
      <c r="A249" s="1112">
        <f t="shared" si="20"/>
        <v>43677</v>
      </c>
      <c r="B249" s="1113">
        <f t="shared" si="18"/>
        <v>2020</v>
      </c>
      <c r="C249" s="1281">
        <v>108</v>
      </c>
      <c r="D249" s="1281">
        <v>289.5</v>
      </c>
      <c r="E249" s="1114">
        <f>IF($A249&lt;DATE(2018,7,1),"-",INDEX('I1 - Universal Data'!$E$16:$V$16, MATCH(YEAR(EOMONTH($A249,6)), 'I1 - Universal Data'!$E$14:$V$14, 0)))</f>
        <v>8.5065402820156955E-3</v>
      </c>
      <c r="F249" s="1114">
        <f>IF($A249&lt;DATE(2018,7,1),"-",INDEX('I1 - Universal Data'!$E$15:$V$15, MATCH(YEAR(EOMONTH($A249,6)), 'I1 - Universal Data'!$E$14:$V$14, 0)))</f>
        <v>1.5033471260387898E-2</v>
      </c>
      <c r="G249" s="1115">
        <f t="shared" si="23"/>
        <v>108</v>
      </c>
      <c r="H249" s="1115">
        <f t="shared" si="23"/>
        <v>289.5</v>
      </c>
      <c r="T249" s="1104"/>
      <c r="U249" s="1103"/>
    </row>
    <row r="250" spans="1:21">
      <c r="A250" s="1112">
        <f t="shared" si="20"/>
        <v>43708</v>
      </c>
      <c r="B250" s="1113">
        <f t="shared" si="18"/>
        <v>2020</v>
      </c>
      <c r="C250" s="1281">
        <v>108.3</v>
      </c>
      <c r="D250" s="1281">
        <v>291.7</v>
      </c>
      <c r="E250" s="1114">
        <f>IF($A250&lt;DATE(2018,7,1),"-",INDEX('I1 - Universal Data'!$E$16:$V$16, MATCH(YEAR(EOMONTH($A250,6)), 'I1 - Universal Data'!$E$14:$V$14, 0)))</f>
        <v>8.5065402820156955E-3</v>
      </c>
      <c r="F250" s="1114">
        <f>IF($A250&lt;DATE(2018,7,1),"-",INDEX('I1 - Universal Data'!$E$15:$V$15, MATCH(YEAR(EOMONTH($A250,6)), 'I1 - Universal Data'!$E$14:$V$14, 0)))</f>
        <v>1.5033471260387898E-2</v>
      </c>
      <c r="G250" s="1115">
        <f t="shared" si="23"/>
        <v>108.3</v>
      </c>
      <c r="H250" s="1115">
        <f t="shared" si="23"/>
        <v>291.7</v>
      </c>
      <c r="T250" s="1104"/>
      <c r="U250" s="1103"/>
    </row>
    <row r="251" spans="1:21">
      <c r="A251" s="1112">
        <f t="shared" si="20"/>
        <v>43738</v>
      </c>
      <c r="B251" s="1113">
        <f t="shared" si="18"/>
        <v>2020</v>
      </c>
      <c r="C251" s="1281">
        <v>108.4</v>
      </c>
      <c r="D251" s="1281">
        <v>291</v>
      </c>
      <c r="E251" s="1114">
        <f>IF($A251&lt;DATE(2018,7,1),"-",INDEX('I1 - Universal Data'!$E$16:$V$16, MATCH(YEAR(EOMONTH($A251,6)), 'I1 - Universal Data'!$E$14:$V$14, 0)))</f>
        <v>8.5065402820156955E-3</v>
      </c>
      <c r="F251" s="1114">
        <f>IF($A251&lt;DATE(2018,7,1),"-",INDEX('I1 - Universal Data'!$E$15:$V$15, MATCH(YEAR(EOMONTH($A251,6)), 'I1 - Universal Data'!$E$14:$V$14, 0)))</f>
        <v>1.5033471260387898E-2</v>
      </c>
      <c r="G251" s="1115">
        <f t="shared" si="23"/>
        <v>108.4</v>
      </c>
      <c r="H251" s="1115">
        <f t="shared" si="23"/>
        <v>291</v>
      </c>
      <c r="T251" s="1104"/>
      <c r="U251" s="1103"/>
    </row>
    <row r="252" spans="1:21">
      <c r="A252" s="1112">
        <f t="shared" si="20"/>
        <v>43769</v>
      </c>
      <c r="B252" s="1113">
        <f t="shared" si="18"/>
        <v>2020</v>
      </c>
      <c r="C252" s="1281">
        <v>108.3</v>
      </c>
      <c r="D252" s="1281">
        <v>290.39999999999998</v>
      </c>
      <c r="E252" s="1114">
        <f>IF($A252&lt;DATE(2018,7,1),"-",INDEX('I1 - Universal Data'!$E$16:$V$16, MATCH(YEAR(EOMONTH($A252,6)), 'I1 - Universal Data'!$E$14:$V$14, 0)))</f>
        <v>8.5065402820156955E-3</v>
      </c>
      <c r="F252" s="1114">
        <f>IF($A252&lt;DATE(2018,7,1),"-",INDEX('I1 - Universal Data'!$E$15:$V$15, MATCH(YEAR(EOMONTH($A252,6)), 'I1 - Universal Data'!$E$14:$V$14, 0)))</f>
        <v>1.5033471260387898E-2</v>
      </c>
      <c r="G252" s="1115">
        <f t="shared" si="23"/>
        <v>108.3</v>
      </c>
      <c r="H252" s="1115">
        <f t="shared" si="23"/>
        <v>290.39999999999998</v>
      </c>
      <c r="T252" s="1104"/>
      <c r="U252" s="1103"/>
    </row>
    <row r="253" spans="1:21">
      <c r="A253" s="1112">
        <f t="shared" si="20"/>
        <v>43799</v>
      </c>
      <c r="B253" s="1113">
        <f t="shared" si="18"/>
        <v>2020</v>
      </c>
      <c r="C253" s="1281">
        <v>108.5</v>
      </c>
      <c r="D253" s="1281">
        <v>291</v>
      </c>
      <c r="E253" s="1114">
        <f>IF($A253&lt;DATE(2018,7,1),"-",INDEX('I1 - Universal Data'!$E$16:$V$16, MATCH(YEAR(EOMONTH($A253,6)), 'I1 - Universal Data'!$E$14:$V$14, 0)))</f>
        <v>8.5065402820156955E-3</v>
      </c>
      <c r="F253" s="1114">
        <f>IF($A253&lt;DATE(2018,7,1),"-",INDEX('I1 - Universal Data'!$E$15:$V$15, MATCH(YEAR(EOMONTH($A253,6)), 'I1 - Universal Data'!$E$14:$V$14, 0)))</f>
        <v>1.5033471260387898E-2</v>
      </c>
      <c r="G253" s="1115">
        <f t="shared" si="23"/>
        <v>108.5</v>
      </c>
      <c r="H253" s="1115">
        <f t="shared" si="23"/>
        <v>291</v>
      </c>
      <c r="T253" s="1104"/>
      <c r="U253" s="1103"/>
    </row>
    <row r="254" spans="1:21">
      <c r="A254" s="1112">
        <f t="shared" si="20"/>
        <v>43830</v>
      </c>
      <c r="B254" s="1113">
        <f t="shared" si="18"/>
        <v>2020</v>
      </c>
      <c r="C254" s="1281">
        <v>108.5</v>
      </c>
      <c r="D254" s="1281">
        <v>291.89999999999998</v>
      </c>
      <c r="E254" s="1114">
        <f>IF($A254&lt;DATE(2018,7,1),"-",INDEX('I1 - Universal Data'!$E$16:$V$16, MATCH(YEAR(EOMONTH($A254,6)), 'I1 - Universal Data'!$E$14:$V$14, 0)))</f>
        <v>8.5065402820156955E-3</v>
      </c>
      <c r="F254" s="1114">
        <f>IF($A254&lt;DATE(2018,7,1),"-",INDEX('I1 - Universal Data'!$E$15:$V$15, MATCH(YEAR(EOMONTH($A254,6)), 'I1 - Universal Data'!$E$14:$V$14, 0)))</f>
        <v>1.5033471260387898E-2</v>
      </c>
      <c r="G254" s="1115">
        <f t="shared" si="23"/>
        <v>108.5</v>
      </c>
      <c r="H254" s="1115">
        <f t="shared" si="23"/>
        <v>291.89999999999998</v>
      </c>
      <c r="T254" s="1104"/>
      <c r="U254" s="1103"/>
    </row>
    <row r="255" spans="1:21">
      <c r="A255" s="1112">
        <f t="shared" si="20"/>
        <v>43861</v>
      </c>
      <c r="B255" s="1113">
        <f t="shared" si="18"/>
        <v>2020</v>
      </c>
      <c r="C255" s="1281">
        <v>108.3</v>
      </c>
      <c r="D255" s="1281">
        <v>290.60000000000002</v>
      </c>
      <c r="E255" s="1114">
        <f>IF($A255&lt;DATE(2018,7,1),"-",INDEX('I1 - Universal Data'!$E$16:$V$16, MATCH(YEAR(EOMONTH($A255,6)), 'I1 - Universal Data'!$E$14:$V$14, 0)))</f>
        <v>8.5065402820156955E-3</v>
      </c>
      <c r="F255" s="1114">
        <f>IF($A255&lt;DATE(2018,7,1),"-",INDEX('I1 - Universal Data'!$E$15:$V$15, MATCH(YEAR(EOMONTH($A255,6)), 'I1 - Universal Data'!$E$14:$V$14, 0)))</f>
        <v>1.5033471260387898E-2</v>
      </c>
      <c r="G255" s="1115">
        <f t="shared" si="23"/>
        <v>108.3</v>
      </c>
      <c r="H255" s="1115">
        <f t="shared" si="23"/>
        <v>290.60000000000002</v>
      </c>
      <c r="T255" s="1104"/>
      <c r="U255" s="1103"/>
    </row>
    <row r="256" spans="1:21">
      <c r="A256" s="1112">
        <f t="shared" si="20"/>
        <v>43890</v>
      </c>
      <c r="B256" s="1113">
        <f t="shared" si="18"/>
        <v>2020</v>
      </c>
      <c r="C256" s="1281">
        <v>108.6</v>
      </c>
      <c r="D256" s="1281">
        <v>292</v>
      </c>
      <c r="E256" s="1114">
        <f>IF($A256&lt;DATE(2018,7,1),"-",INDEX('I1 - Universal Data'!$E$16:$V$16, MATCH(YEAR(EOMONTH($A256,6)), 'I1 - Universal Data'!$E$14:$V$14, 0)))</f>
        <v>8.5065402820156955E-3</v>
      </c>
      <c r="F256" s="1114">
        <f>IF($A256&lt;DATE(2018,7,1),"-",INDEX('I1 - Universal Data'!$E$15:$V$15, MATCH(YEAR(EOMONTH($A256,6)), 'I1 - Universal Data'!$E$14:$V$14, 0)))</f>
        <v>1.5033471260387898E-2</v>
      </c>
      <c r="G256" s="1115">
        <f t="shared" si="23"/>
        <v>108.6</v>
      </c>
      <c r="H256" s="1115">
        <f t="shared" si="23"/>
        <v>292</v>
      </c>
      <c r="T256" s="1104"/>
      <c r="U256" s="114"/>
    </row>
    <row r="257" spans="1:21">
      <c r="A257" s="1112">
        <f t="shared" si="20"/>
        <v>43921</v>
      </c>
      <c r="B257" s="1113">
        <f t="shared" si="18"/>
        <v>2020</v>
      </c>
      <c r="C257" s="1281">
        <v>108.6</v>
      </c>
      <c r="D257" s="1281">
        <v>292.60000000000002</v>
      </c>
      <c r="E257" s="1114">
        <f>IF($A257&lt;DATE(2018,7,1),"-",INDEX('I1 - Universal Data'!$E$16:$V$16, MATCH(YEAR(EOMONTH($A257,6)), 'I1 - Universal Data'!$E$14:$V$14, 0)))</f>
        <v>8.5065402820156955E-3</v>
      </c>
      <c r="F257" s="1114">
        <f>IF($A257&lt;DATE(2018,7,1),"-",INDEX('I1 - Universal Data'!$E$15:$V$15, MATCH(YEAR(EOMONTH($A257,6)), 'I1 - Universal Data'!$E$14:$V$14, 0)))</f>
        <v>1.5033471260387898E-2</v>
      </c>
      <c r="G257" s="1115">
        <f t="shared" si="23"/>
        <v>108.6</v>
      </c>
      <c r="H257" s="1115">
        <f t="shared" si="23"/>
        <v>292.60000000000002</v>
      </c>
      <c r="T257" s="1104"/>
      <c r="U257" s="114"/>
    </row>
    <row r="258" spans="1:21">
      <c r="A258" s="1112">
        <f t="shared" si="20"/>
        <v>43951</v>
      </c>
      <c r="B258" s="1113">
        <f t="shared" si="18"/>
        <v>2021</v>
      </c>
      <c r="C258" s="1281">
        <v>108.6</v>
      </c>
      <c r="D258" s="1281">
        <v>292.60000000000002</v>
      </c>
      <c r="E258" s="1114">
        <f>IF($A258&lt;DATE(2018,7,1),"-",INDEX('I1 - Universal Data'!$E$16:$V$16, MATCH(YEAR(EOMONTH($A258,6)), 'I1 - Universal Data'!$E$14:$V$14, 0)))</f>
        <v>8.5065402820156955E-3</v>
      </c>
      <c r="F258" s="1114">
        <f>IF($A258&lt;DATE(2018,7,1),"-",INDEX('I1 - Universal Data'!$E$15:$V$15, MATCH(YEAR(EOMONTH($A258,6)), 'I1 - Universal Data'!$E$14:$V$14, 0)))</f>
        <v>1.5033471260387898E-2</v>
      </c>
      <c r="G258" s="1115">
        <f t="shared" si="23"/>
        <v>108.6</v>
      </c>
      <c r="H258" s="1115">
        <f t="shared" si="23"/>
        <v>292.60000000000002</v>
      </c>
      <c r="T258" s="1104"/>
      <c r="U258" s="114"/>
    </row>
    <row r="259" spans="1:21">
      <c r="A259" s="1112">
        <f t="shared" si="20"/>
        <v>43982</v>
      </c>
      <c r="B259" s="1113">
        <f t="shared" si="18"/>
        <v>2021</v>
      </c>
      <c r="C259" s="1281">
        <v>108.6</v>
      </c>
      <c r="D259" s="1281">
        <v>292.2</v>
      </c>
      <c r="E259" s="1114">
        <f>IF($A259&lt;DATE(2018,7,1),"-",INDEX('I1 - Universal Data'!$E$16:$V$16, MATCH(YEAR(EOMONTH($A259,6)), 'I1 - Universal Data'!$E$14:$V$14, 0)))</f>
        <v>8.5065402820156955E-3</v>
      </c>
      <c r="F259" s="1114">
        <f>IF($A259&lt;DATE(2018,7,1),"-",INDEX('I1 - Universal Data'!$E$15:$V$15, MATCH(YEAR(EOMONTH($A259,6)), 'I1 - Universal Data'!$E$14:$V$14, 0)))</f>
        <v>1.5033471260387898E-2</v>
      </c>
      <c r="G259" s="1115">
        <f t="shared" si="23"/>
        <v>108.6</v>
      </c>
      <c r="H259" s="1115">
        <f t="shared" si="23"/>
        <v>292.2</v>
      </c>
      <c r="T259" s="1104"/>
      <c r="U259" s="114"/>
    </row>
    <row r="260" spans="1:21">
      <c r="A260" s="1112">
        <f t="shared" si="20"/>
        <v>44012</v>
      </c>
      <c r="B260" s="1113">
        <f t="shared" si="18"/>
        <v>2021</v>
      </c>
      <c r="C260" s="1281">
        <v>108.8</v>
      </c>
      <c r="D260" s="1281">
        <v>292.7</v>
      </c>
      <c r="E260" s="1114">
        <f>IF($A260&lt;DATE(2018,7,1),"-",INDEX('I1 - Universal Data'!$E$16:$V$16, MATCH(YEAR(EOMONTH($A260,6)), 'I1 - Universal Data'!$E$14:$V$14, 0)))</f>
        <v>8.5065402820156955E-3</v>
      </c>
      <c r="F260" s="1114">
        <f>IF($A260&lt;DATE(2018,7,1),"-",INDEX('I1 - Universal Data'!$E$15:$V$15, MATCH(YEAR(EOMONTH($A260,6)), 'I1 - Universal Data'!$E$14:$V$14, 0)))</f>
        <v>1.5033471260387898E-2</v>
      </c>
      <c r="G260" s="1115">
        <f t="shared" si="23"/>
        <v>108.8</v>
      </c>
      <c r="H260" s="1115">
        <f t="shared" si="23"/>
        <v>292.7</v>
      </c>
      <c r="T260" s="1104"/>
      <c r="U260" s="114"/>
    </row>
    <row r="261" spans="1:21">
      <c r="A261" s="1112">
        <f t="shared" si="20"/>
        <v>44043</v>
      </c>
      <c r="B261" s="1113">
        <f t="shared" si="18"/>
        <v>2021</v>
      </c>
      <c r="C261" s="1281">
        <v>109.2</v>
      </c>
      <c r="D261" s="1281">
        <v>294.2</v>
      </c>
      <c r="E261" s="1114">
        <f>IF($A261&lt;DATE(2018,7,1),"-",INDEX('I1 - Universal Data'!$E$16:$V$16, MATCH(YEAR(EOMONTH($A261,6)), 'I1 - Universal Data'!$E$14:$V$14, 0)))</f>
        <v>2.5882219500718229E-2</v>
      </c>
      <c r="F261" s="1114">
        <f>IF($A261&lt;DATE(2018,7,1),"-",INDEX('I1 - Universal Data'!$E$15:$V$15, MATCH(YEAR(EOMONTH($A261,6)), 'I1 - Universal Data'!$E$14:$V$14, 0)))</f>
        <v>4.0452569031158125E-2</v>
      </c>
      <c r="G261" s="1115">
        <f t="shared" si="23"/>
        <v>109.2</v>
      </c>
      <c r="H261" s="1115">
        <f t="shared" si="23"/>
        <v>294.2</v>
      </c>
      <c r="T261" s="1104"/>
      <c r="U261" s="114"/>
    </row>
    <row r="262" spans="1:21">
      <c r="A262" s="1112">
        <f t="shared" si="20"/>
        <v>44074</v>
      </c>
      <c r="B262" s="1113">
        <f t="shared" ref="B262:B325" si="24">IF(MONTH(A262)&gt;=4,YEAR(A262)+1,YEAR(A262))</f>
        <v>2021</v>
      </c>
      <c r="C262" s="1281">
        <v>108.8</v>
      </c>
      <c r="D262" s="1281">
        <v>293.3</v>
      </c>
      <c r="E262" s="1114">
        <f>IF($A262&lt;DATE(2018,7,1),"-",INDEX('I1 - Universal Data'!$E$16:$V$16, MATCH(YEAR(EOMONTH($A262,6)), 'I1 - Universal Data'!$E$14:$V$14, 0)))</f>
        <v>2.5882219500718229E-2</v>
      </c>
      <c r="F262" s="1114">
        <f>IF($A262&lt;DATE(2018,7,1),"-",INDEX('I1 - Universal Data'!$E$15:$V$15, MATCH(YEAR(EOMONTH($A262,6)), 'I1 - Universal Data'!$E$14:$V$14, 0)))</f>
        <v>4.0452569031158125E-2</v>
      </c>
      <c r="G262" s="1115">
        <f t="shared" ref="G262:H277" si="25">IF(ISBLANK(C262),G261*((1+E262)^(1/12)),C262)</f>
        <v>108.8</v>
      </c>
      <c r="H262" s="1115">
        <f t="shared" si="25"/>
        <v>293.3</v>
      </c>
      <c r="T262" s="1104"/>
      <c r="U262" s="114"/>
    </row>
    <row r="263" spans="1:21">
      <c r="A263" s="1112">
        <f t="shared" ref="A263:A326" si="26">IF(MONTH(A262) = 12, EOMONTH(DATE(YEAR(A262) + 1, 1, 1), 0), EOMONTH(DATE(YEAR(A262), MONTH(A262) + 1, 1), 0))</f>
        <v>44104</v>
      </c>
      <c r="B263" s="1113">
        <f t="shared" si="24"/>
        <v>2021</v>
      </c>
      <c r="C263" s="1281">
        <v>109.2</v>
      </c>
      <c r="D263" s="1281">
        <v>294.3</v>
      </c>
      <c r="E263" s="1114">
        <f>IF($A263&lt;DATE(2018,7,1),"-",INDEX('I1 - Universal Data'!$E$16:$V$16, MATCH(YEAR(EOMONTH($A263,6)), 'I1 - Universal Data'!$E$14:$V$14, 0)))</f>
        <v>2.5882219500718229E-2</v>
      </c>
      <c r="F263" s="1114">
        <f>IF($A263&lt;DATE(2018,7,1),"-",INDEX('I1 - Universal Data'!$E$15:$V$15, MATCH(YEAR(EOMONTH($A263,6)), 'I1 - Universal Data'!$E$14:$V$14, 0)))</f>
        <v>4.0452569031158125E-2</v>
      </c>
      <c r="G263" s="1115">
        <f t="shared" si="25"/>
        <v>109.2</v>
      </c>
      <c r="H263" s="1115">
        <f t="shared" si="25"/>
        <v>294.3</v>
      </c>
      <c r="T263" s="1104"/>
      <c r="U263" s="114"/>
    </row>
    <row r="264" spans="1:21">
      <c r="A264" s="1112">
        <f t="shared" si="26"/>
        <v>44135</v>
      </c>
      <c r="B264" s="1113">
        <f t="shared" si="24"/>
        <v>2021</v>
      </c>
      <c r="C264" s="1281">
        <v>109.2</v>
      </c>
      <c r="D264" s="1281">
        <v>294.3</v>
      </c>
      <c r="E264" s="1114">
        <f>IF($A264&lt;DATE(2018,7,1),"-",INDEX('I1 - Universal Data'!$E$16:$V$16, MATCH(YEAR(EOMONTH($A264,6)), 'I1 - Universal Data'!$E$14:$V$14, 0)))</f>
        <v>2.5882219500718229E-2</v>
      </c>
      <c r="F264" s="1114">
        <f>IF($A264&lt;DATE(2018,7,1),"-",INDEX('I1 - Universal Data'!$E$15:$V$15, MATCH(YEAR(EOMONTH($A264,6)), 'I1 - Universal Data'!$E$14:$V$14, 0)))</f>
        <v>4.0452569031158125E-2</v>
      </c>
      <c r="G264" s="1115">
        <f t="shared" si="25"/>
        <v>109.2</v>
      </c>
      <c r="H264" s="1115">
        <f t="shared" si="25"/>
        <v>294.3</v>
      </c>
      <c r="T264" s="1104"/>
      <c r="U264" s="114"/>
    </row>
    <row r="265" spans="1:21">
      <c r="A265" s="1112">
        <f t="shared" si="26"/>
        <v>44165</v>
      </c>
      <c r="B265" s="1113">
        <f t="shared" si="24"/>
        <v>2021</v>
      </c>
      <c r="C265" s="1281">
        <v>109.1</v>
      </c>
      <c r="D265" s="1281">
        <v>293.5</v>
      </c>
      <c r="E265" s="1114">
        <f>IF($A265&lt;DATE(2018,7,1),"-",INDEX('I1 - Universal Data'!$E$16:$V$16, MATCH(YEAR(EOMONTH($A265,6)), 'I1 - Universal Data'!$E$14:$V$14, 0)))</f>
        <v>2.5882219500718229E-2</v>
      </c>
      <c r="F265" s="1114">
        <f>IF($A265&lt;DATE(2018,7,1),"-",INDEX('I1 - Universal Data'!$E$15:$V$15, MATCH(YEAR(EOMONTH($A265,6)), 'I1 - Universal Data'!$E$14:$V$14, 0)))</f>
        <v>4.0452569031158125E-2</v>
      </c>
      <c r="G265" s="1115">
        <f t="shared" si="25"/>
        <v>109.1</v>
      </c>
      <c r="H265" s="1115">
        <f t="shared" si="25"/>
        <v>293.5</v>
      </c>
      <c r="T265" s="1104"/>
      <c r="U265" s="1105"/>
    </row>
    <row r="266" spans="1:21">
      <c r="A266" s="1112">
        <f t="shared" si="26"/>
        <v>44196</v>
      </c>
      <c r="B266" s="1113">
        <f t="shared" si="24"/>
        <v>2021</v>
      </c>
      <c r="C266" s="1281">
        <v>109.4</v>
      </c>
      <c r="D266" s="1281">
        <v>295.39999999999998</v>
      </c>
      <c r="E266" s="1114">
        <f>IF($A266&lt;DATE(2018,7,1),"-",INDEX('I1 - Universal Data'!$E$16:$V$16, MATCH(YEAR(EOMONTH($A266,6)), 'I1 - Universal Data'!$E$14:$V$14, 0)))</f>
        <v>2.5882219500718229E-2</v>
      </c>
      <c r="F266" s="1114">
        <f>IF($A266&lt;DATE(2018,7,1),"-",INDEX('I1 - Universal Data'!$E$15:$V$15, MATCH(YEAR(EOMONTH($A266,6)), 'I1 - Universal Data'!$E$14:$V$14, 0)))</f>
        <v>4.0452569031158125E-2</v>
      </c>
      <c r="G266" s="1115">
        <f t="shared" si="25"/>
        <v>109.4</v>
      </c>
      <c r="H266" s="1115">
        <f t="shared" si="25"/>
        <v>295.39999999999998</v>
      </c>
      <c r="T266" s="1104"/>
      <c r="U266" s="114"/>
    </row>
    <row r="267" spans="1:21">
      <c r="A267" s="1112">
        <f t="shared" si="26"/>
        <v>44227</v>
      </c>
      <c r="B267" s="1113">
        <f t="shared" si="24"/>
        <v>2021</v>
      </c>
      <c r="C267" s="1281">
        <v>109.3</v>
      </c>
      <c r="D267" s="1281">
        <v>294.60000000000002</v>
      </c>
      <c r="E267" s="1114">
        <f>IF($A267&lt;DATE(2018,7,1),"-",INDEX('I1 - Universal Data'!$E$16:$V$16, MATCH(YEAR(EOMONTH($A267,6)), 'I1 - Universal Data'!$E$14:$V$14, 0)))</f>
        <v>2.5882219500718229E-2</v>
      </c>
      <c r="F267" s="1114">
        <f>IF($A267&lt;DATE(2018,7,1),"-",INDEX('I1 - Universal Data'!$E$15:$V$15, MATCH(YEAR(EOMONTH($A267,6)), 'I1 - Universal Data'!$E$14:$V$14, 0)))</f>
        <v>4.0452569031158125E-2</v>
      </c>
      <c r="G267" s="1115">
        <f t="shared" si="25"/>
        <v>109.3</v>
      </c>
      <c r="H267" s="1115">
        <f t="shared" si="25"/>
        <v>294.60000000000002</v>
      </c>
      <c r="T267" s="1104"/>
      <c r="U267" s="114"/>
    </row>
    <row r="268" spans="1:21">
      <c r="A268" s="1112">
        <f t="shared" si="26"/>
        <v>44255</v>
      </c>
      <c r="B268" s="1113">
        <f t="shared" si="24"/>
        <v>2021</v>
      </c>
      <c r="C268" s="1281">
        <v>109.4</v>
      </c>
      <c r="D268" s="1281">
        <v>296</v>
      </c>
      <c r="E268" s="1114">
        <f>IF($A268&lt;DATE(2018,7,1),"-",INDEX('I1 - Universal Data'!$E$16:$V$16, MATCH(YEAR(EOMONTH($A268,6)), 'I1 - Universal Data'!$E$14:$V$14, 0)))</f>
        <v>2.5882219500718229E-2</v>
      </c>
      <c r="F268" s="1114">
        <f>IF($A268&lt;DATE(2018,7,1),"-",INDEX('I1 - Universal Data'!$E$15:$V$15, MATCH(YEAR(EOMONTH($A268,6)), 'I1 - Universal Data'!$E$14:$V$14, 0)))</f>
        <v>4.0452569031158125E-2</v>
      </c>
      <c r="G268" s="1115">
        <f t="shared" si="25"/>
        <v>109.4</v>
      </c>
      <c r="H268" s="1115">
        <f t="shared" si="25"/>
        <v>296</v>
      </c>
      <c r="I268" s="1106"/>
      <c r="T268" s="1104"/>
      <c r="U268" s="114"/>
    </row>
    <row r="269" spans="1:21">
      <c r="A269" s="1112">
        <f t="shared" si="26"/>
        <v>44286</v>
      </c>
      <c r="B269" s="1113">
        <f t="shared" si="24"/>
        <v>2021</v>
      </c>
      <c r="C269" s="1281">
        <v>109.7</v>
      </c>
      <c r="D269" s="1281">
        <v>296.89999999999998</v>
      </c>
      <c r="E269" s="1114">
        <f>IF($A269&lt;DATE(2018,7,1),"-",INDEX('I1 - Universal Data'!$E$16:$V$16, MATCH(YEAR(EOMONTH($A269,6)), 'I1 - Universal Data'!$E$14:$V$14, 0)))</f>
        <v>2.5882219500718229E-2</v>
      </c>
      <c r="F269" s="1114">
        <f>IF($A269&lt;DATE(2018,7,1),"-",INDEX('I1 - Universal Data'!$E$15:$V$15, MATCH(YEAR(EOMONTH($A269,6)), 'I1 - Universal Data'!$E$14:$V$14, 0)))</f>
        <v>4.0452569031158125E-2</v>
      </c>
      <c r="G269" s="1115">
        <f t="shared" si="25"/>
        <v>109.7</v>
      </c>
      <c r="H269" s="1115">
        <f t="shared" si="25"/>
        <v>296.89999999999998</v>
      </c>
      <c r="I269" s="1106"/>
      <c r="T269" s="1104"/>
      <c r="U269" s="114"/>
    </row>
    <row r="270" spans="1:21">
      <c r="A270" s="1112">
        <f t="shared" si="26"/>
        <v>44316</v>
      </c>
      <c r="B270" s="1113">
        <f t="shared" si="24"/>
        <v>2022</v>
      </c>
      <c r="C270" s="1281">
        <v>110.4</v>
      </c>
      <c r="D270" s="1281">
        <v>301.10000000000002</v>
      </c>
      <c r="E270" s="1114">
        <f>IF($A270&lt;DATE(2018,7,1),"-",INDEX('I1 - Universal Data'!$E$16:$V$16, MATCH(YEAR(EOMONTH($A270,6)), 'I1 - Universal Data'!$E$14:$V$14, 0)))</f>
        <v>2.5882219500718229E-2</v>
      </c>
      <c r="F270" s="1114">
        <f>IF($A270&lt;DATE(2018,7,1),"-",INDEX('I1 - Universal Data'!$E$15:$V$15, MATCH(YEAR(EOMONTH($A270,6)), 'I1 - Universal Data'!$E$14:$V$14, 0)))</f>
        <v>4.0452569031158125E-2</v>
      </c>
      <c r="G270" s="1115">
        <f t="shared" si="25"/>
        <v>110.4</v>
      </c>
      <c r="H270" s="1115">
        <f t="shared" si="25"/>
        <v>301.10000000000002</v>
      </c>
      <c r="I270" s="1106"/>
      <c r="T270" s="1104"/>
      <c r="U270" s="1105"/>
    </row>
    <row r="271" spans="1:21">
      <c r="A271" s="1112">
        <f t="shared" si="26"/>
        <v>44347</v>
      </c>
      <c r="B271" s="1113">
        <f t="shared" si="24"/>
        <v>2022</v>
      </c>
      <c r="C271" s="1281">
        <v>111</v>
      </c>
      <c r="D271" s="1281">
        <v>301.89999999999998</v>
      </c>
      <c r="E271" s="1114">
        <f>IF($A271&lt;DATE(2018,7,1),"-",INDEX('I1 - Universal Data'!$E$16:$V$16, MATCH(YEAR(EOMONTH($A271,6)), 'I1 - Universal Data'!$E$14:$V$14, 0)))</f>
        <v>2.5882219500718229E-2</v>
      </c>
      <c r="F271" s="1114">
        <f>IF($A271&lt;DATE(2018,7,1),"-",INDEX('I1 - Universal Data'!$E$15:$V$15, MATCH(YEAR(EOMONTH($A271,6)), 'I1 - Universal Data'!$E$14:$V$14, 0)))</f>
        <v>4.0452569031158125E-2</v>
      </c>
      <c r="G271" s="1115">
        <f t="shared" si="25"/>
        <v>111</v>
      </c>
      <c r="H271" s="1115">
        <f t="shared" si="25"/>
        <v>301.89999999999998</v>
      </c>
      <c r="I271" s="1106"/>
      <c r="T271" s="1104"/>
      <c r="U271" s="1105"/>
    </row>
    <row r="272" spans="1:21">
      <c r="A272" s="1112">
        <f t="shared" si="26"/>
        <v>44377</v>
      </c>
      <c r="B272" s="1113">
        <f t="shared" si="24"/>
        <v>2022</v>
      </c>
      <c r="C272" s="1281">
        <v>111.4</v>
      </c>
      <c r="D272" s="1281">
        <v>304</v>
      </c>
      <c r="E272" s="1114">
        <f>IF($A272&lt;DATE(2018,7,1),"-",INDEX('I1 - Universal Data'!$E$16:$V$16, MATCH(YEAR(EOMONTH($A272,6)), 'I1 - Universal Data'!$E$14:$V$14, 0)))</f>
        <v>2.5882219500718229E-2</v>
      </c>
      <c r="F272" s="1114">
        <f>IF($A272&lt;DATE(2018,7,1),"-",INDEX('I1 - Universal Data'!$E$15:$V$15, MATCH(YEAR(EOMONTH($A272,6)), 'I1 - Universal Data'!$E$14:$V$14, 0)))</f>
        <v>4.0452569031158125E-2</v>
      </c>
      <c r="G272" s="1115">
        <f t="shared" si="25"/>
        <v>111.4</v>
      </c>
      <c r="H272" s="1115">
        <f t="shared" si="25"/>
        <v>304</v>
      </c>
      <c r="I272" s="1106"/>
      <c r="U272" s="1105"/>
    </row>
    <row r="273" spans="1:21">
      <c r="A273" s="1112">
        <f t="shared" si="26"/>
        <v>44408</v>
      </c>
      <c r="B273" s="1113">
        <f t="shared" si="24"/>
        <v>2022</v>
      </c>
      <c r="C273" s="1281">
        <v>111.4</v>
      </c>
      <c r="D273" s="1281">
        <v>305.5</v>
      </c>
      <c r="E273" s="1114">
        <f>IF($A273&lt;DATE(2018,7,1),"-",INDEX('I1 - Universal Data'!$E$16:$V$16, MATCH(YEAR(EOMONTH($A273,6)), 'I1 - Universal Data'!$E$14:$V$14, 0)))</f>
        <v>9.0667455547039033E-2</v>
      </c>
      <c r="F273" s="1114">
        <f>IF($A273&lt;DATE(2018,7,1),"-",INDEX('I1 - Universal Data'!$E$15:$V$15, MATCH(YEAR(EOMONTH($A273,6)), 'I1 - Universal Data'!$E$14:$V$14, 0)))</f>
        <v>0.11584699426229506</v>
      </c>
      <c r="G273" s="1115">
        <f t="shared" si="25"/>
        <v>111.4</v>
      </c>
      <c r="H273" s="1115">
        <f t="shared" si="25"/>
        <v>305.5</v>
      </c>
      <c r="I273" s="1106"/>
      <c r="U273" s="1105"/>
    </row>
    <row r="274" spans="1:21">
      <c r="A274" s="1112">
        <f t="shared" si="26"/>
        <v>44439</v>
      </c>
      <c r="B274" s="1113">
        <f t="shared" si="24"/>
        <v>2022</v>
      </c>
      <c r="C274" s="1281">
        <v>112.1</v>
      </c>
      <c r="D274" s="1281">
        <v>307.39999999999998</v>
      </c>
      <c r="E274" s="1114">
        <f>IF($A274&lt;DATE(2018,7,1),"-",INDEX('I1 - Universal Data'!$E$16:$V$16, MATCH(YEAR(EOMONTH($A274,6)), 'I1 - Universal Data'!$E$14:$V$14, 0)))</f>
        <v>9.0667455547039033E-2</v>
      </c>
      <c r="F274" s="1114">
        <f>IF($A274&lt;DATE(2018,7,1),"-",INDEX('I1 - Universal Data'!$E$15:$V$15, MATCH(YEAR(EOMONTH($A274,6)), 'I1 - Universal Data'!$E$14:$V$14, 0)))</f>
        <v>0.11584699426229506</v>
      </c>
      <c r="G274" s="1115">
        <f t="shared" si="25"/>
        <v>112.1</v>
      </c>
      <c r="H274" s="1115">
        <f t="shared" si="25"/>
        <v>307.39999999999998</v>
      </c>
      <c r="I274" s="1106"/>
      <c r="U274" s="1105"/>
    </row>
    <row r="275" spans="1:21">
      <c r="A275" s="1112">
        <f t="shared" si="26"/>
        <v>44469</v>
      </c>
      <c r="B275" s="1113">
        <f t="shared" si="24"/>
        <v>2022</v>
      </c>
      <c r="C275" s="1281">
        <v>112.4</v>
      </c>
      <c r="D275" s="1281">
        <v>308.60000000000002</v>
      </c>
      <c r="E275" s="1114">
        <f>IF($A275&lt;DATE(2018,7,1),"-",INDEX('I1 - Universal Data'!$E$16:$V$16, MATCH(YEAR(EOMONTH($A275,6)), 'I1 - Universal Data'!$E$14:$V$14, 0)))</f>
        <v>9.0667455547039033E-2</v>
      </c>
      <c r="F275" s="1114">
        <f>IF($A275&lt;DATE(2018,7,1),"-",INDEX('I1 - Universal Data'!$E$15:$V$15, MATCH(YEAR(EOMONTH($A275,6)), 'I1 - Universal Data'!$E$14:$V$14, 0)))</f>
        <v>0.11584699426229506</v>
      </c>
      <c r="G275" s="1115">
        <f t="shared" si="25"/>
        <v>112.4</v>
      </c>
      <c r="H275" s="1115">
        <f t="shared" si="25"/>
        <v>308.60000000000002</v>
      </c>
      <c r="I275" s="1106"/>
      <c r="U275" s="1105"/>
    </row>
    <row r="276" spans="1:21">
      <c r="A276" s="1112">
        <f t="shared" si="26"/>
        <v>44500</v>
      </c>
      <c r="B276" s="1113">
        <f t="shared" si="24"/>
        <v>2022</v>
      </c>
      <c r="C276" s="1281">
        <v>113.4</v>
      </c>
      <c r="D276" s="1281">
        <v>312</v>
      </c>
      <c r="E276" s="1114">
        <f>IF($A276&lt;DATE(2018,7,1),"-",INDEX('I1 - Universal Data'!$E$16:$V$16, MATCH(YEAR(EOMONTH($A276,6)), 'I1 - Universal Data'!$E$14:$V$14, 0)))</f>
        <v>9.0667455547039033E-2</v>
      </c>
      <c r="F276" s="1114">
        <f>IF($A276&lt;DATE(2018,7,1),"-",INDEX('I1 - Universal Data'!$E$15:$V$15, MATCH(YEAR(EOMONTH($A276,6)), 'I1 - Universal Data'!$E$14:$V$14, 0)))</f>
        <v>0.11584699426229506</v>
      </c>
      <c r="G276" s="1115">
        <f t="shared" si="25"/>
        <v>113.4</v>
      </c>
      <c r="H276" s="1115">
        <f t="shared" si="25"/>
        <v>312</v>
      </c>
      <c r="I276" s="1106"/>
      <c r="U276" s="1105"/>
    </row>
    <row r="277" spans="1:21">
      <c r="A277" s="1112">
        <f t="shared" si="26"/>
        <v>44530</v>
      </c>
      <c r="B277" s="1113">
        <f t="shared" si="24"/>
        <v>2022</v>
      </c>
      <c r="C277" s="1281">
        <v>114.1</v>
      </c>
      <c r="D277" s="1281">
        <v>314.3</v>
      </c>
      <c r="E277" s="1114">
        <f>IF($A277&lt;DATE(2018,7,1),"-",INDEX('I1 - Universal Data'!$E$16:$V$16, MATCH(YEAR(EOMONTH($A277,6)), 'I1 - Universal Data'!$E$14:$V$14, 0)))</f>
        <v>9.0667455547039033E-2</v>
      </c>
      <c r="F277" s="1114">
        <f>IF($A277&lt;DATE(2018,7,1),"-",INDEX('I1 - Universal Data'!$E$15:$V$15, MATCH(YEAR(EOMONTH($A277,6)), 'I1 - Universal Data'!$E$14:$V$14, 0)))</f>
        <v>0.11584699426229506</v>
      </c>
      <c r="G277" s="1115">
        <f t="shared" si="25"/>
        <v>114.1</v>
      </c>
      <c r="H277" s="1115">
        <f t="shared" si="25"/>
        <v>314.3</v>
      </c>
      <c r="I277" s="1106"/>
      <c r="U277" s="1105"/>
    </row>
    <row r="278" spans="1:21">
      <c r="A278" s="1112">
        <f t="shared" si="26"/>
        <v>44561</v>
      </c>
      <c r="B278" s="1113">
        <f t="shared" si="24"/>
        <v>2022</v>
      </c>
      <c r="C278" s="1281">
        <v>114.7</v>
      </c>
      <c r="D278" s="1281">
        <v>317.7</v>
      </c>
      <c r="E278" s="1114">
        <f>IF($A278&lt;DATE(2018,7,1),"-",INDEX('I1 - Universal Data'!$E$16:$V$16, MATCH(YEAR(EOMONTH($A278,6)), 'I1 - Universal Data'!$E$14:$V$14, 0)))</f>
        <v>9.0667455547039033E-2</v>
      </c>
      <c r="F278" s="1114">
        <f>IF($A278&lt;DATE(2018,7,1),"-",INDEX('I1 - Universal Data'!$E$15:$V$15, MATCH(YEAR(EOMONTH($A278,6)), 'I1 - Universal Data'!$E$14:$V$14, 0)))</f>
        <v>0.11584699426229506</v>
      </c>
      <c r="G278" s="1115">
        <f t="shared" ref="G278:H293" si="27">IF(ISBLANK(C278),G277*((1+E278)^(1/12)),C278)</f>
        <v>114.7</v>
      </c>
      <c r="H278" s="1115">
        <f t="shared" si="27"/>
        <v>317.7</v>
      </c>
      <c r="I278" s="1106"/>
      <c r="U278" s="1105"/>
    </row>
    <row r="279" spans="1:21">
      <c r="A279" s="1112">
        <f t="shared" si="26"/>
        <v>44592</v>
      </c>
      <c r="B279" s="1113">
        <f t="shared" si="24"/>
        <v>2022</v>
      </c>
      <c r="C279" s="1281">
        <v>114.6</v>
      </c>
      <c r="D279" s="1281">
        <v>317.7</v>
      </c>
      <c r="E279" s="1114">
        <f>IF($A279&lt;DATE(2018,7,1),"-",INDEX('I1 - Universal Data'!$E$16:$V$16, MATCH(YEAR(EOMONTH($A279,6)), 'I1 - Universal Data'!$E$14:$V$14, 0)))</f>
        <v>9.0667455547039033E-2</v>
      </c>
      <c r="F279" s="1114">
        <f>IF($A279&lt;DATE(2018,7,1),"-",INDEX('I1 - Universal Data'!$E$15:$V$15, MATCH(YEAR(EOMONTH($A279,6)), 'I1 - Universal Data'!$E$14:$V$14, 0)))</f>
        <v>0.11584699426229506</v>
      </c>
      <c r="G279" s="1115">
        <f t="shared" si="27"/>
        <v>114.6</v>
      </c>
      <c r="H279" s="1115">
        <f t="shared" si="27"/>
        <v>317.7</v>
      </c>
      <c r="I279" s="1106"/>
      <c r="U279" s="1105"/>
    </row>
    <row r="280" spans="1:21">
      <c r="A280" s="1112">
        <f t="shared" si="26"/>
        <v>44620</v>
      </c>
      <c r="B280" s="1113">
        <f t="shared" si="24"/>
        <v>2022</v>
      </c>
      <c r="C280" s="1281">
        <v>115.4</v>
      </c>
      <c r="D280" s="1281">
        <v>320.2</v>
      </c>
      <c r="E280" s="1114">
        <f>IF($A280&lt;DATE(2018,7,1),"-",INDEX('I1 - Universal Data'!$E$16:$V$16, MATCH(YEAR(EOMONTH($A280,6)), 'I1 - Universal Data'!$E$14:$V$14, 0)))</f>
        <v>9.0667455547039033E-2</v>
      </c>
      <c r="F280" s="1114">
        <f>IF($A280&lt;DATE(2018,7,1),"-",INDEX('I1 - Universal Data'!$E$15:$V$15, MATCH(YEAR(EOMONTH($A280,6)), 'I1 - Universal Data'!$E$14:$V$14, 0)))</f>
        <v>0.11584699426229506</v>
      </c>
      <c r="G280" s="1115">
        <f t="shared" si="27"/>
        <v>115.4</v>
      </c>
      <c r="H280" s="1115">
        <f t="shared" si="27"/>
        <v>320.2</v>
      </c>
      <c r="U280" s="1105"/>
    </row>
    <row r="281" spans="1:21">
      <c r="A281" s="1112">
        <f t="shared" si="26"/>
        <v>44651</v>
      </c>
      <c r="B281" s="1113">
        <f t="shared" si="24"/>
        <v>2022</v>
      </c>
      <c r="C281" s="1281">
        <v>116.5</v>
      </c>
      <c r="D281" s="1281">
        <v>323.5</v>
      </c>
      <c r="E281" s="1114">
        <f>IF($A281&lt;DATE(2018,7,1),"-",INDEX('I1 - Universal Data'!$E$16:$V$16, MATCH(YEAR(EOMONTH($A281,6)), 'I1 - Universal Data'!$E$14:$V$14, 0)))</f>
        <v>9.0667455547039033E-2</v>
      </c>
      <c r="F281" s="1114">
        <f>IF($A281&lt;DATE(2018,7,1),"-",INDEX('I1 - Universal Data'!$E$15:$V$15, MATCH(YEAR(EOMONTH($A281,6)), 'I1 - Universal Data'!$E$14:$V$14, 0)))</f>
        <v>0.11584699426229506</v>
      </c>
      <c r="G281" s="1115">
        <f t="shared" si="27"/>
        <v>116.5</v>
      </c>
      <c r="H281" s="1115">
        <f t="shared" si="27"/>
        <v>323.5</v>
      </c>
      <c r="U281" s="1105"/>
    </row>
    <row r="282" spans="1:21">
      <c r="A282" s="1112">
        <f t="shared" si="26"/>
        <v>44681</v>
      </c>
      <c r="B282" s="1113">
        <f t="shared" si="24"/>
        <v>2023</v>
      </c>
      <c r="C282" s="1281">
        <v>119</v>
      </c>
      <c r="D282" s="1281">
        <v>334.6</v>
      </c>
      <c r="E282" s="1114">
        <f>IF($A282&lt;DATE(2018,7,1),"-",INDEX('I1 - Universal Data'!$E$16:$V$16, MATCH(YEAR(EOMONTH($A282,6)), 'I1 - Universal Data'!$E$14:$V$14, 0)))</f>
        <v>9.0667455547039033E-2</v>
      </c>
      <c r="F282" s="1114">
        <f>IF($A282&lt;DATE(2018,7,1),"-",INDEX('I1 - Universal Data'!$E$15:$V$15, MATCH(YEAR(EOMONTH($A282,6)), 'I1 - Universal Data'!$E$14:$V$14, 0)))</f>
        <v>0.11584699426229506</v>
      </c>
      <c r="G282" s="1115">
        <f t="shared" si="27"/>
        <v>119</v>
      </c>
      <c r="H282" s="1115">
        <f t="shared" si="27"/>
        <v>334.6</v>
      </c>
      <c r="U282" s="114"/>
    </row>
    <row r="283" spans="1:21">
      <c r="A283" s="1112">
        <f t="shared" si="26"/>
        <v>44712</v>
      </c>
      <c r="B283" s="1113">
        <f t="shared" si="24"/>
        <v>2023</v>
      </c>
      <c r="C283" s="1281">
        <v>119.7</v>
      </c>
      <c r="D283" s="1281">
        <v>337.1</v>
      </c>
      <c r="E283" s="1114">
        <f>IF($A283&lt;DATE(2018,7,1),"-",INDEX('I1 - Universal Data'!$E$16:$V$16, MATCH(YEAR(EOMONTH($A283,6)), 'I1 - Universal Data'!$E$14:$V$14, 0)))</f>
        <v>9.0667455547039033E-2</v>
      </c>
      <c r="F283" s="1114">
        <f>IF($A283&lt;DATE(2018,7,1),"-",INDEX('I1 - Universal Data'!$E$15:$V$15, MATCH(YEAR(EOMONTH($A283,6)), 'I1 - Universal Data'!$E$14:$V$14, 0)))</f>
        <v>0.11584699426229506</v>
      </c>
      <c r="G283" s="1115">
        <f t="shared" si="27"/>
        <v>119.7</v>
      </c>
      <c r="H283" s="1115">
        <f t="shared" si="27"/>
        <v>337.1</v>
      </c>
      <c r="U283" s="114"/>
    </row>
    <row r="284" spans="1:21">
      <c r="A284" s="1112">
        <f t="shared" si="26"/>
        <v>44742</v>
      </c>
      <c r="B284" s="1113">
        <f t="shared" si="24"/>
        <v>2023</v>
      </c>
      <c r="C284" s="1281">
        <v>120.5</v>
      </c>
      <c r="D284" s="1281">
        <v>340</v>
      </c>
      <c r="E284" s="1114">
        <f>IF($A284&lt;DATE(2018,7,1),"-",INDEX('I1 - Universal Data'!$E$16:$V$16, MATCH(YEAR(EOMONTH($A284,6)), 'I1 - Universal Data'!$E$14:$V$14, 0)))</f>
        <v>9.0667455547039033E-2</v>
      </c>
      <c r="F284" s="1114">
        <f>IF($A284&lt;DATE(2018,7,1),"-",INDEX('I1 - Universal Data'!$E$15:$V$15, MATCH(YEAR(EOMONTH($A284,6)), 'I1 - Universal Data'!$E$14:$V$14, 0)))</f>
        <v>0.11584699426229506</v>
      </c>
      <c r="G284" s="1115">
        <f t="shared" si="27"/>
        <v>120.5</v>
      </c>
      <c r="H284" s="1115">
        <f t="shared" si="27"/>
        <v>340</v>
      </c>
      <c r="U284" s="114"/>
    </row>
    <row r="285" spans="1:21">
      <c r="A285" s="1112">
        <f t="shared" si="26"/>
        <v>44773</v>
      </c>
      <c r="B285" s="1113">
        <f t="shared" si="24"/>
        <v>2023</v>
      </c>
      <c r="C285" s="1281">
        <v>121.2</v>
      </c>
      <c r="D285" s="1281">
        <v>343.2</v>
      </c>
      <c r="E285" s="1114">
        <f>IF($A285&lt;DATE(2018,7,1),"-",INDEX('I1 - Universal Data'!$E$16:$V$16, MATCH(YEAR(EOMONTH($A285,6)), 'I1 - Universal Data'!$E$14:$V$14, 0)))</f>
        <v>7.3032807433557098E-2</v>
      </c>
      <c r="F285" s="1114">
        <f>IF($A285&lt;DATE(2018,7,1),"-",INDEX('I1 - Universal Data'!$E$15:$V$15, MATCH(YEAR(EOMONTH($A285,6)), 'I1 - Universal Data'!$E$14:$V$14, 0)))</f>
        <v>9.6914789201007601E-2</v>
      </c>
      <c r="G285" s="1115">
        <f t="shared" si="27"/>
        <v>121.2</v>
      </c>
      <c r="H285" s="1115">
        <f t="shared" si="27"/>
        <v>343.2</v>
      </c>
      <c r="U285" s="114"/>
    </row>
    <row r="286" spans="1:21">
      <c r="A286" s="1112">
        <f t="shared" si="26"/>
        <v>44804</v>
      </c>
      <c r="B286" s="1113">
        <f t="shared" si="24"/>
        <v>2023</v>
      </c>
      <c r="C286" s="1281">
        <v>121.8</v>
      </c>
      <c r="D286" s="1281">
        <v>345.2</v>
      </c>
      <c r="E286" s="1114">
        <f>IF($A286&lt;DATE(2018,7,1),"-",INDEX('I1 - Universal Data'!$E$16:$V$16, MATCH(YEAR(EOMONTH($A286,6)), 'I1 - Universal Data'!$E$14:$V$14, 0)))</f>
        <v>7.3032807433557098E-2</v>
      </c>
      <c r="F286" s="1114">
        <f>IF($A286&lt;DATE(2018,7,1),"-",INDEX('I1 - Universal Data'!$E$15:$V$15, MATCH(YEAR(EOMONTH($A286,6)), 'I1 - Universal Data'!$E$14:$V$14, 0)))</f>
        <v>9.6914789201007601E-2</v>
      </c>
      <c r="G286" s="1115">
        <f t="shared" si="27"/>
        <v>121.8</v>
      </c>
      <c r="H286" s="1115">
        <f t="shared" si="27"/>
        <v>345.2</v>
      </c>
      <c r="U286" s="114"/>
    </row>
    <row r="287" spans="1:21">
      <c r="A287" s="1112">
        <f t="shared" si="26"/>
        <v>44834</v>
      </c>
      <c r="B287" s="1113">
        <f t="shared" si="24"/>
        <v>2023</v>
      </c>
      <c r="C287" s="1281">
        <v>122.3</v>
      </c>
      <c r="D287" s="1281">
        <v>347.6</v>
      </c>
      <c r="E287" s="1114">
        <f>IF($A287&lt;DATE(2018,7,1),"-",INDEX('I1 - Universal Data'!$E$16:$V$16, MATCH(YEAR(EOMONTH($A287,6)), 'I1 - Universal Data'!$E$14:$V$14, 0)))</f>
        <v>7.3032807433557098E-2</v>
      </c>
      <c r="F287" s="1114">
        <f>IF($A287&lt;DATE(2018,7,1),"-",INDEX('I1 - Universal Data'!$E$15:$V$15, MATCH(YEAR(EOMONTH($A287,6)), 'I1 - Universal Data'!$E$14:$V$14, 0)))</f>
        <v>9.6914789201007601E-2</v>
      </c>
      <c r="G287" s="1115">
        <f t="shared" si="27"/>
        <v>122.3</v>
      </c>
      <c r="H287" s="1115">
        <f t="shared" si="27"/>
        <v>347.6</v>
      </c>
      <c r="U287" s="114"/>
    </row>
    <row r="288" spans="1:21">
      <c r="A288" s="1112">
        <f t="shared" si="26"/>
        <v>44865</v>
      </c>
      <c r="B288" s="1113">
        <f t="shared" si="24"/>
        <v>2023</v>
      </c>
      <c r="C288" s="1281">
        <v>124.3</v>
      </c>
      <c r="D288" s="1281">
        <v>356.2</v>
      </c>
      <c r="E288" s="1114">
        <f>IF($A288&lt;DATE(2018,7,1),"-",INDEX('I1 - Universal Data'!$E$16:$V$16, MATCH(YEAR(EOMONTH($A288,6)), 'I1 - Universal Data'!$E$14:$V$14, 0)))</f>
        <v>7.3032807433557098E-2</v>
      </c>
      <c r="F288" s="1114">
        <f>IF($A288&lt;DATE(2018,7,1),"-",INDEX('I1 - Universal Data'!$E$15:$V$15, MATCH(YEAR(EOMONTH($A288,6)), 'I1 - Universal Data'!$E$14:$V$14, 0)))</f>
        <v>9.6914789201007601E-2</v>
      </c>
      <c r="G288" s="1115">
        <f t="shared" si="27"/>
        <v>124.3</v>
      </c>
      <c r="H288" s="1115">
        <f t="shared" si="27"/>
        <v>356.2</v>
      </c>
      <c r="U288" s="114"/>
    </row>
    <row r="289" spans="1:21">
      <c r="A289" s="1112">
        <f t="shared" si="26"/>
        <v>44895</v>
      </c>
      <c r="B289" s="1113">
        <f t="shared" si="24"/>
        <v>2023</v>
      </c>
      <c r="C289" s="1281">
        <v>124.8</v>
      </c>
      <c r="D289" s="1281">
        <v>358.3</v>
      </c>
      <c r="E289" s="1114">
        <f>IF($A289&lt;DATE(2018,7,1),"-",INDEX('I1 - Universal Data'!$E$16:$V$16, MATCH(YEAR(EOMONTH($A289,6)), 'I1 - Universal Data'!$E$14:$V$14, 0)))</f>
        <v>7.3032807433557098E-2</v>
      </c>
      <c r="F289" s="1114">
        <f>IF($A289&lt;DATE(2018,7,1),"-",INDEX('I1 - Universal Data'!$E$15:$V$15, MATCH(YEAR(EOMONTH($A289,6)), 'I1 - Universal Data'!$E$14:$V$14, 0)))</f>
        <v>9.6914789201007601E-2</v>
      </c>
      <c r="G289" s="1115">
        <f t="shared" si="27"/>
        <v>124.8</v>
      </c>
      <c r="H289" s="1115">
        <f t="shared" si="27"/>
        <v>358.3</v>
      </c>
      <c r="U289" s="114"/>
    </row>
    <row r="290" spans="1:21">
      <c r="A290" s="1112">
        <f t="shared" si="26"/>
        <v>44926</v>
      </c>
      <c r="B290" s="1113">
        <f t="shared" si="24"/>
        <v>2023</v>
      </c>
      <c r="C290" s="1281">
        <v>125.3</v>
      </c>
      <c r="D290" s="1281">
        <v>360.4</v>
      </c>
      <c r="E290" s="1114">
        <f>IF($A290&lt;DATE(2018,7,1),"-",INDEX('I1 - Universal Data'!$E$16:$V$16, MATCH(YEAR(EOMONTH($A290,6)), 'I1 - Universal Data'!$E$14:$V$14, 0)))</f>
        <v>7.3032807433557098E-2</v>
      </c>
      <c r="F290" s="1114">
        <f>IF($A290&lt;DATE(2018,7,1),"-",INDEX('I1 - Universal Data'!$E$15:$V$15, MATCH(YEAR(EOMONTH($A290,6)), 'I1 - Universal Data'!$E$14:$V$14, 0)))</f>
        <v>9.6914789201007601E-2</v>
      </c>
      <c r="G290" s="1115">
        <f t="shared" si="27"/>
        <v>125.3</v>
      </c>
      <c r="H290" s="1115">
        <f t="shared" si="27"/>
        <v>360.4</v>
      </c>
      <c r="U290" s="114"/>
    </row>
    <row r="291" spans="1:21">
      <c r="A291" s="1112">
        <f t="shared" si="26"/>
        <v>44957</v>
      </c>
      <c r="B291" s="1113">
        <f t="shared" si="24"/>
        <v>2023</v>
      </c>
      <c r="C291" s="1281">
        <v>124.8</v>
      </c>
      <c r="D291" s="1281">
        <v>360.3</v>
      </c>
      <c r="E291" s="1114">
        <f>IF($A291&lt;DATE(2018,7,1),"-",INDEX('I1 - Universal Data'!$E$16:$V$16, MATCH(YEAR(EOMONTH($A291,6)), 'I1 - Universal Data'!$E$14:$V$14, 0)))</f>
        <v>7.3032807433557098E-2</v>
      </c>
      <c r="F291" s="1114">
        <f>IF($A291&lt;DATE(2018,7,1),"-",INDEX('I1 - Universal Data'!$E$15:$V$15, MATCH(YEAR(EOMONTH($A291,6)), 'I1 - Universal Data'!$E$14:$V$14, 0)))</f>
        <v>9.6914789201007601E-2</v>
      </c>
      <c r="G291" s="1115">
        <f t="shared" si="27"/>
        <v>124.8</v>
      </c>
      <c r="H291" s="1115">
        <f t="shared" si="27"/>
        <v>360.3</v>
      </c>
      <c r="U291" s="114"/>
    </row>
    <row r="292" spans="1:21">
      <c r="A292" s="1112">
        <f t="shared" si="26"/>
        <v>44985</v>
      </c>
      <c r="B292" s="1113">
        <f t="shared" si="24"/>
        <v>2023</v>
      </c>
      <c r="C292" s="1281">
        <v>126</v>
      </c>
      <c r="D292" s="1281">
        <v>364.5</v>
      </c>
      <c r="E292" s="1114">
        <f>IF($A292&lt;DATE(2018,7,1),"-",INDEX('I1 - Universal Data'!$E$16:$V$16, MATCH(YEAR(EOMONTH($A292,6)), 'I1 - Universal Data'!$E$14:$V$14, 0)))</f>
        <v>7.3032807433557098E-2</v>
      </c>
      <c r="F292" s="1114">
        <f>IF($A292&lt;DATE(2018,7,1),"-",INDEX('I1 - Universal Data'!$E$15:$V$15, MATCH(YEAR(EOMONTH($A292,6)), 'I1 - Universal Data'!$E$14:$V$14, 0)))</f>
        <v>9.6914789201007601E-2</v>
      </c>
      <c r="G292" s="1115">
        <f t="shared" si="27"/>
        <v>126</v>
      </c>
      <c r="H292" s="1115">
        <f t="shared" si="27"/>
        <v>364.5</v>
      </c>
      <c r="U292" s="114"/>
    </row>
    <row r="293" spans="1:21">
      <c r="A293" s="1112">
        <f t="shared" si="26"/>
        <v>45016</v>
      </c>
      <c r="B293" s="1113">
        <f t="shared" si="24"/>
        <v>2023</v>
      </c>
      <c r="C293" s="1281">
        <v>126.8</v>
      </c>
      <c r="D293" s="1281">
        <v>367.2</v>
      </c>
      <c r="E293" s="1114">
        <f>IF($A293&lt;DATE(2018,7,1),"-",INDEX('I1 - Universal Data'!$E$16:$V$16, MATCH(YEAR(EOMONTH($A293,6)), 'I1 - Universal Data'!$E$14:$V$14, 0)))</f>
        <v>7.3032807433557098E-2</v>
      </c>
      <c r="F293" s="1114">
        <f>IF($A293&lt;DATE(2018,7,1),"-",INDEX('I1 - Universal Data'!$E$15:$V$15, MATCH(YEAR(EOMONTH($A293,6)), 'I1 - Universal Data'!$E$14:$V$14, 0)))</f>
        <v>9.6914789201007601E-2</v>
      </c>
      <c r="G293" s="1115">
        <f t="shared" si="27"/>
        <v>126.8</v>
      </c>
      <c r="H293" s="1115">
        <f t="shared" si="27"/>
        <v>367.2</v>
      </c>
      <c r="U293" s="114"/>
    </row>
    <row r="294" spans="1:21">
      <c r="A294" s="1112">
        <f t="shared" si="26"/>
        <v>45046</v>
      </c>
      <c r="B294" s="1113">
        <f t="shared" si="24"/>
        <v>2024</v>
      </c>
      <c r="C294" s="1281">
        <v>128.30000000000001</v>
      </c>
      <c r="D294" s="1281">
        <v>372.8</v>
      </c>
      <c r="E294" s="1114">
        <f>IF($A294&lt;DATE(2018,7,1),"-",INDEX('I1 - Universal Data'!$E$16:$V$16, MATCH(YEAR(EOMONTH($A294,6)), 'I1 - Universal Data'!$E$14:$V$14, 0)))</f>
        <v>7.3032807433557098E-2</v>
      </c>
      <c r="F294" s="1114">
        <f>IF($A294&lt;DATE(2018,7,1),"-",INDEX('I1 - Universal Data'!$E$15:$V$15, MATCH(YEAR(EOMONTH($A294,6)), 'I1 - Universal Data'!$E$14:$V$14, 0)))</f>
        <v>9.6914789201007601E-2</v>
      </c>
      <c r="G294" s="1115">
        <f t="shared" ref="G294:H309" si="28">IF(ISBLANK(C294),G293*((1+E294)^(1/12)),C294)</f>
        <v>128.30000000000001</v>
      </c>
      <c r="H294" s="1115">
        <f t="shared" si="28"/>
        <v>372.8</v>
      </c>
      <c r="U294" s="1103"/>
    </row>
    <row r="295" spans="1:21">
      <c r="A295" s="1112">
        <f t="shared" si="26"/>
        <v>45077</v>
      </c>
      <c r="B295" s="1113">
        <f t="shared" si="24"/>
        <v>2024</v>
      </c>
      <c r="C295" s="1281">
        <v>129.1</v>
      </c>
      <c r="D295" s="1281">
        <v>375.3</v>
      </c>
      <c r="E295" s="1114">
        <f>IF($A295&lt;DATE(2018,7,1),"-",INDEX('I1 - Universal Data'!$E$16:$V$16, MATCH(YEAR(EOMONTH($A295,6)), 'I1 - Universal Data'!$E$14:$V$14, 0)))</f>
        <v>7.3032807433557098E-2</v>
      </c>
      <c r="F295" s="1114">
        <f>IF($A295&lt;DATE(2018,7,1),"-",INDEX('I1 - Universal Data'!$E$15:$V$15, MATCH(YEAR(EOMONTH($A295,6)), 'I1 - Universal Data'!$E$14:$V$14, 0)))</f>
        <v>9.6914789201007601E-2</v>
      </c>
      <c r="G295" s="1115">
        <f t="shared" si="28"/>
        <v>129.1</v>
      </c>
      <c r="H295" s="1115">
        <f t="shared" si="28"/>
        <v>375.3</v>
      </c>
      <c r="U295" s="1103"/>
    </row>
    <row r="296" spans="1:21">
      <c r="A296" s="1112">
        <f t="shared" si="26"/>
        <v>45107</v>
      </c>
      <c r="B296" s="1113">
        <f t="shared" si="24"/>
        <v>2024</v>
      </c>
      <c r="C296" s="1281">
        <v>129.4</v>
      </c>
      <c r="D296" s="1281">
        <v>376.4</v>
      </c>
      <c r="E296" s="1114">
        <f>IF($A296&lt;DATE(2018,7,1),"-",INDEX('I1 - Universal Data'!$E$16:$V$16, MATCH(YEAR(EOMONTH($A296,6)), 'I1 - Universal Data'!$E$14:$V$14, 0)))</f>
        <v>7.3032807433557098E-2</v>
      </c>
      <c r="F296" s="1114">
        <f>IF($A296&lt;DATE(2018,7,1),"-",INDEX('I1 - Universal Data'!$E$15:$V$15, MATCH(YEAR(EOMONTH($A296,6)), 'I1 - Universal Data'!$E$14:$V$14, 0)))</f>
        <v>9.6914789201007601E-2</v>
      </c>
      <c r="G296" s="1115">
        <f t="shared" si="28"/>
        <v>129.4</v>
      </c>
      <c r="H296" s="1115">
        <f t="shared" si="28"/>
        <v>376.4</v>
      </c>
      <c r="U296" s="1103"/>
    </row>
    <row r="297" spans="1:21">
      <c r="A297" s="1112">
        <f t="shared" si="26"/>
        <v>45138</v>
      </c>
      <c r="B297" s="1113">
        <f t="shared" si="24"/>
        <v>2024</v>
      </c>
      <c r="C297" s="1281">
        <v>129</v>
      </c>
      <c r="D297" s="1281">
        <v>374.2</v>
      </c>
      <c r="E297" s="1114">
        <f>IF($A297&lt;DATE(2018,7,1),"-",INDEX('I1 - Universal Data'!$E$16:$V$16, MATCH(YEAR(EOMONTH($A297,6)), 'I1 - Universal Data'!$E$14:$V$14, 0)))</f>
        <v>2.1902133306788099E-2</v>
      </c>
      <c r="F297" s="1114">
        <f>IF($A297&lt;DATE(2018,7,1),"-",INDEX('I1 - Universal Data'!$E$15:$V$15, MATCH(YEAR(EOMONTH($A297,6)), 'I1 - Universal Data'!$E$14:$V$14, 0)))</f>
        <v>3.1356893625321E-2</v>
      </c>
      <c r="G297" s="1115">
        <f t="shared" si="28"/>
        <v>129</v>
      </c>
      <c r="H297" s="1115">
        <f t="shared" si="28"/>
        <v>374.2</v>
      </c>
      <c r="U297" s="1103"/>
    </row>
    <row r="298" spans="1:21">
      <c r="A298" s="1112">
        <f t="shared" si="26"/>
        <v>45169</v>
      </c>
      <c r="B298" s="1113">
        <f t="shared" si="24"/>
        <v>2024</v>
      </c>
      <c r="C298" s="1281">
        <v>129.4</v>
      </c>
      <c r="D298" s="1281">
        <v>376.6</v>
      </c>
      <c r="E298" s="1114">
        <f>IF($A298&lt;DATE(2018,7,1),"-",INDEX('I1 - Universal Data'!$E$16:$V$16, MATCH(YEAR(EOMONTH($A298,6)), 'I1 - Universal Data'!$E$14:$V$14, 0)))</f>
        <v>2.1902133306788099E-2</v>
      </c>
      <c r="F298" s="1114">
        <f>IF($A298&lt;DATE(2018,7,1),"-",INDEX('I1 - Universal Data'!$E$15:$V$15, MATCH(YEAR(EOMONTH($A298,6)), 'I1 - Universal Data'!$E$14:$V$14, 0)))</f>
        <v>3.1356893625321E-2</v>
      </c>
      <c r="G298" s="1115">
        <f t="shared" si="28"/>
        <v>129.4</v>
      </c>
      <c r="H298" s="1115">
        <f t="shared" si="28"/>
        <v>376.6</v>
      </c>
      <c r="U298" s="1103"/>
    </row>
    <row r="299" spans="1:21">
      <c r="A299" s="1112">
        <f t="shared" si="26"/>
        <v>45199</v>
      </c>
      <c r="B299" s="1113">
        <f t="shared" si="24"/>
        <v>2024</v>
      </c>
      <c r="C299" s="1281">
        <v>130.1</v>
      </c>
      <c r="D299" s="1281">
        <v>378.4</v>
      </c>
      <c r="E299" s="1114">
        <f>IF($A299&lt;DATE(2018,7,1),"-",INDEX('I1 - Universal Data'!$E$16:$V$16, MATCH(YEAR(EOMONTH($A299,6)), 'I1 - Universal Data'!$E$14:$V$14, 0)))</f>
        <v>2.1902133306788099E-2</v>
      </c>
      <c r="F299" s="1114">
        <f>IF($A299&lt;DATE(2018,7,1),"-",INDEX('I1 - Universal Data'!$E$15:$V$15, MATCH(YEAR(EOMONTH($A299,6)), 'I1 - Universal Data'!$E$14:$V$14, 0)))</f>
        <v>3.1356893625321E-2</v>
      </c>
      <c r="G299" s="1115">
        <f t="shared" si="28"/>
        <v>130.1</v>
      </c>
      <c r="H299" s="1115">
        <f t="shared" si="28"/>
        <v>378.4</v>
      </c>
      <c r="U299" s="1103"/>
    </row>
    <row r="300" spans="1:21">
      <c r="A300" s="1112">
        <f t="shared" si="26"/>
        <v>45230</v>
      </c>
      <c r="B300" s="1113">
        <f t="shared" si="24"/>
        <v>2024</v>
      </c>
      <c r="C300" s="1281">
        <v>130.19999999999999</v>
      </c>
      <c r="D300" s="1281">
        <v>377.8</v>
      </c>
      <c r="E300" s="1114">
        <f>IF($A300&lt;DATE(2018,7,1),"-",INDEX('I1 - Universal Data'!$E$16:$V$16, MATCH(YEAR(EOMONTH($A300,6)), 'I1 - Universal Data'!$E$14:$V$14, 0)))</f>
        <v>2.1902133306788099E-2</v>
      </c>
      <c r="F300" s="1114">
        <f>IF($A300&lt;DATE(2018,7,1),"-",INDEX('I1 - Universal Data'!$E$15:$V$15, MATCH(YEAR(EOMONTH($A300,6)), 'I1 - Universal Data'!$E$14:$V$14, 0)))</f>
        <v>3.1356893625321E-2</v>
      </c>
      <c r="G300" s="1115">
        <f t="shared" si="28"/>
        <v>130.19999999999999</v>
      </c>
      <c r="H300" s="1115">
        <f t="shared" si="28"/>
        <v>377.8</v>
      </c>
      <c r="U300" s="1103"/>
    </row>
    <row r="301" spans="1:21">
      <c r="A301" s="1112">
        <f t="shared" si="26"/>
        <v>45260</v>
      </c>
      <c r="B301" s="1113">
        <f t="shared" si="24"/>
        <v>2024</v>
      </c>
      <c r="C301" s="1281">
        <v>130</v>
      </c>
      <c r="D301" s="1281">
        <v>377.3</v>
      </c>
      <c r="E301" s="1114">
        <f>IF($A301&lt;DATE(2018,7,1),"-",INDEX('I1 - Universal Data'!$E$16:$V$16, MATCH(YEAR(EOMONTH($A301,6)), 'I1 - Universal Data'!$E$14:$V$14, 0)))</f>
        <v>2.1902133306788099E-2</v>
      </c>
      <c r="F301" s="1114">
        <f>IF($A301&lt;DATE(2018,7,1),"-",INDEX('I1 - Universal Data'!$E$15:$V$15, MATCH(YEAR(EOMONTH($A301,6)), 'I1 - Universal Data'!$E$14:$V$14, 0)))</f>
        <v>3.1356893625321E-2</v>
      </c>
      <c r="G301" s="1115">
        <f t="shared" si="28"/>
        <v>130</v>
      </c>
      <c r="H301" s="1115">
        <f t="shared" si="28"/>
        <v>377.3</v>
      </c>
      <c r="U301" s="1103"/>
    </row>
    <row r="302" spans="1:21">
      <c r="A302" s="1112">
        <f t="shared" si="26"/>
        <v>45291</v>
      </c>
      <c r="B302" s="1113">
        <f t="shared" si="24"/>
        <v>2024</v>
      </c>
      <c r="C302" s="1281">
        <v>130.5</v>
      </c>
      <c r="D302" s="1281">
        <v>379</v>
      </c>
      <c r="E302" s="1114">
        <f>IF($A302&lt;DATE(2018,7,1),"-",INDEX('I1 - Universal Data'!$E$16:$V$16, MATCH(YEAR(EOMONTH($A302,6)), 'I1 - Universal Data'!$E$14:$V$14, 0)))</f>
        <v>2.1902133306788099E-2</v>
      </c>
      <c r="F302" s="1114">
        <f>IF($A302&lt;DATE(2018,7,1),"-",INDEX('I1 - Universal Data'!$E$15:$V$15, MATCH(YEAR(EOMONTH($A302,6)), 'I1 - Universal Data'!$E$14:$V$14, 0)))</f>
        <v>3.1356893625321E-2</v>
      </c>
      <c r="G302" s="1115">
        <f t="shared" si="28"/>
        <v>130.5</v>
      </c>
      <c r="H302" s="1115">
        <f t="shared" si="28"/>
        <v>379</v>
      </c>
      <c r="U302" s="1103"/>
    </row>
    <row r="303" spans="1:21">
      <c r="A303" s="1112">
        <f t="shared" si="26"/>
        <v>45322</v>
      </c>
      <c r="B303" s="1113">
        <f t="shared" si="24"/>
        <v>2024</v>
      </c>
      <c r="C303" s="1281">
        <v>130</v>
      </c>
      <c r="D303" s="1281">
        <v>378</v>
      </c>
      <c r="E303" s="1114">
        <f>IF($A303&lt;DATE(2018,7,1),"-",INDEX('I1 - Universal Data'!$E$16:$V$16, MATCH(YEAR(EOMONTH($A303,6)), 'I1 - Universal Data'!$E$14:$V$14, 0)))</f>
        <v>2.1902133306788099E-2</v>
      </c>
      <c r="F303" s="1114">
        <f>IF($A303&lt;DATE(2018,7,1),"-",INDEX('I1 - Universal Data'!$E$15:$V$15, MATCH(YEAR(EOMONTH($A303,6)), 'I1 - Universal Data'!$E$14:$V$14, 0)))</f>
        <v>3.1356893625321E-2</v>
      </c>
      <c r="G303" s="1115">
        <f t="shared" si="28"/>
        <v>130</v>
      </c>
      <c r="H303" s="1115">
        <f t="shared" si="28"/>
        <v>378</v>
      </c>
      <c r="U303" s="1103"/>
    </row>
    <row r="304" spans="1:21">
      <c r="A304" s="1112">
        <f t="shared" si="26"/>
        <v>45351</v>
      </c>
      <c r="B304" s="1113">
        <f t="shared" si="24"/>
        <v>2024</v>
      </c>
      <c r="C304" s="1281">
        <v>130.80000000000001</v>
      </c>
      <c r="D304" s="1281">
        <v>381</v>
      </c>
      <c r="E304" s="1114">
        <f>IF($A304&lt;DATE(2018,7,1),"-",INDEX('I1 - Universal Data'!$E$16:$V$16, MATCH(YEAR(EOMONTH($A304,6)), 'I1 - Universal Data'!$E$14:$V$14, 0)))</f>
        <v>2.1902133306788099E-2</v>
      </c>
      <c r="F304" s="1114">
        <f>IF($A304&lt;DATE(2018,7,1),"-",INDEX('I1 - Universal Data'!$E$15:$V$15, MATCH(YEAR(EOMONTH($A304,6)), 'I1 - Universal Data'!$E$14:$V$14, 0)))</f>
        <v>3.1356893625321E-2</v>
      </c>
      <c r="G304" s="1115">
        <f t="shared" si="28"/>
        <v>130.80000000000001</v>
      </c>
      <c r="H304" s="1115">
        <f t="shared" si="28"/>
        <v>381</v>
      </c>
      <c r="U304" s="1103"/>
    </row>
    <row r="305" spans="1:21">
      <c r="A305" s="1112">
        <f t="shared" si="26"/>
        <v>45382</v>
      </c>
      <c r="B305" s="1113">
        <f t="shared" si="24"/>
        <v>2024</v>
      </c>
      <c r="C305" s="1281">
        <v>131.6</v>
      </c>
      <c r="D305" s="1281">
        <v>383</v>
      </c>
      <c r="E305" s="1114">
        <f>IF($A305&lt;DATE(2018,7,1),"-",INDEX('I1 - Universal Data'!$E$16:$V$16, MATCH(YEAR(EOMONTH($A305,6)), 'I1 - Universal Data'!$E$14:$V$14, 0)))</f>
        <v>2.1902133306788099E-2</v>
      </c>
      <c r="F305" s="1114">
        <f>IF($A305&lt;DATE(2018,7,1),"-",INDEX('I1 - Universal Data'!$E$15:$V$15, MATCH(YEAR(EOMONTH($A305,6)), 'I1 - Universal Data'!$E$14:$V$14, 0)))</f>
        <v>3.1356893625321E-2</v>
      </c>
      <c r="G305" s="1115">
        <f t="shared" si="28"/>
        <v>131.6</v>
      </c>
      <c r="H305" s="1115">
        <f t="shared" si="28"/>
        <v>383</v>
      </c>
      <c r="U305" s="1103"/>
    </row>
    <row r="306" spans="1:21">
      <c r="A306" s="1112">
        <f t="shared" si="26"/>
        <v>45412</v>
      </c>
      <c r="B306" s="1113">
        <f t="shared" si="24"/>
        <v>2025</v>
      </c>
      <c r="C306" s="1281"/>
      <c r="D306" s="1281"/>
      <c r="E306" s="1114">
        <f>IF($A306&lt;DATE(2018,7,1),"-",INDEX('I1 - Universal Data'!$E$16:$V$16, MATCH(YEAR(EOMONTH($A306,6)), 'I1 - Universal Data'!$E$14:$V$14, 0)))</f>
        <v>2.1902133306788099E-2</v>
      </c>
      <c r="F306" s="1114">
        <f>IF($A306&lt;DATE(2018,7,1),"-",INDEX('I1 - Universal Data'!$E$15:$V$15, MATCH(YEAR(EOMONTH($A306,6)), 'I1 - Universal Data'!$E$14:$V$14, 0)))</f>
        <v>3.1356893625321E-2</v>
      </c>
      <c r="G306" s="1115">
        <f t="shared" si="28"/>
        <v>131.83781542911365</v>
      </c>
      <c r="H306" s="1115">
        <f t="shared" si="28"/>
        <v>383.98670572883924</v>
      </c>
      <c r="U306" s="1103"/>
    </row>
    <row r="307" spans="1:21">
      <c r="A307" s="1112">
        <f t="shared" si="26"/>
        <v>45443</v>
      </c>
      <c r="B307" s="1113">
        <f t="shared" si="24"/>
        <v>2025</v>
      </c>
      <c r="C307" s="1281"/>
      <c r="D307" s="1281"/>
      <c r="E307" s="1114">
        <f>IF($A307&lt;DATE(2018,7,1),"-",INDEX('I1 - Universal Data'!$E$16:$V$16, MATCH(YEAR(EOMONTH($A307,6)), 'I1 - Universal Data'!$E$14:$V$14, 0)))</f>
        <v>2.1902133306788099E-2</v>
      </c>
      <c r="F307" s="1114">
        <f>IF($A307&lt;DATE(2018,7,1),"-",INDEX('I1 - Universal Data'!$E$15:$V$15, MATCH(YEAR(EOMONTH($A307,6)), 'I1 - Universal Data'!$E$14:$V$14, 0)))</f>
        <v>3.1356893625321E-2</v>
      </c>
      <c r="G307" s="1115">
        <f t="shared" si="28"/>
        <v>132.07606061642124</v>
      </c>
      <c r="H307" s="1115">
        <f t="shared" si="28"/>
        <v>384.97595346341041</v>
      </c>
      <c r="U307" s="1103"/>
    </row>
    <row r="308" spans="1:21">
      <c r="A308" s="1112">
        <f t="shared" si="26"/>
        <v>45473</v>
      </c>
      <c r="B308" s="1113">
        <f t="shared" si="24"/>
        <v>2025</v>
      </c>
      <c r="C308" s="1281"/>
      <c r="D308" s="1281"/>
      <c r="E308" s="1114">
        <f>IF($A308&lt;DATE(2018,7,1),"-",INDEX('I1 - Universal Data'!$E$16:$V$16, MATCH(YEAR(EOMONTH($A308,6)), 'I1 - Universal Data'!$E$14:$V$14, 0)))</f>
        <v>2.1902133306788099E-2</v>
      </c>
      <c r="F308" s="1114">
        <f>IF($A308&lt;DATE(2018,7,1),"-",INDEX('I1 - Universal Data'!$E$15:$V$15, MATCH(YEAR(EOMONTH($A308,6)), 'I1 - Universal Data'!$E$14:$V$14, 0)))</f>
        <v>3.1356893625321E-2</v>
      </c>
      <c r="G308" s="1115">
        <f t="shared" si="28"/>
        <v>132.31473633854233</v>
      </c>
      <c r="H308" s="1115">
        <f t="shared" si="28"/>
        <v>385.96774975256892</v>
      </c>
      <c r="U308" s="1103"/>
    </row>
    <row r="309" spans="1:21">
      <c r="A309" s="1112">
        <f t="shared" si="26"/>
        <v>45504</v>
      </c>
      <c r="B309" s="1113">
        <f t="shared" si="24"/>
        <v>2025</v>
      </c>
      <c r="C309" s="1281"/>
      <c r="D309" s="1281"/>
      <c r="E309" s="1114">
        <f>IF($A309&lt;DATE(2018,7,1),"-",INDEX('I1 - Universal Data'!$E$16:$V$16, MATCH(YEAR(EOMONTH($A309,6)), 'I1 - Universal Data'!$E$14:$V$14, 0)))</f>
        <v>1.47540195471507E-2</v>
      </c>
      <c r="F309" s="1114">
        <f>IF($A309&lt;DATE(2018,7,1),"-",INDEX('I1 - Universal Data'!$E$15:$V$15, MATCH(YEAR(EOMONTH($A309,6)), 'I1 - Universal Data'!$E$14:$V$14, 0)))</f>
        <v>2.0457266265074402E-2</v>
      </c>
      <c r="G309" s="1115">
        <f t="shared" si="28"/>
        <v>132.47632768949151</v>
      </c>
      <c r="H309" s="1115">
        <f t="shared" si="28"/>
        <v>386.61964683900982</v>
      </c>
      <c r="U309" s="1103"/>
    </row>
    <row r="310" spans="1:21">
      <c r="A310" s="1112">
        <f t="shared" si="26"/>
        <v>45535</v>
      </c>
      <c r="B310" s="1113">
        <f t="shared" si="24"/>
        <v>2025</v>
      </c>
      <c r="C310" s="1281"/>
      <c r="D310" s="1281"/>
      <c r="E310" s="1114">
        <f>IF($A310&lt;DATE(2018,7,1),"-",INDEX('I1 - Universal Data'!$E$16:$V$16, MATCH(YEAR(EOMONTH($A310,6)), 'I1 - Universal Data'!$E$14:$V$14, 0)))</f>
        <v>1.47540195471507E-2</v>
      </c>
      <c r="F310" s="1114">
        <f>IF($A310&lt;DATE(2018,7,1),"-",INDEX('I1 - Universal Data'!$E$15:$V$15, MATCH(YEAR(EOMONTH($A310,6)), 'I1 - Universal Data'!$E$14:$V$14, 0)))</f>
        <v>2.0457266265074402E-2</v>
      </c>
      <c r="G310" s="1115">
        <f t="shared" ref="G310:H325" si="29">IF(ISBLANK(C310),G309*((1+E310)^(1/12)),C310)</f>
        <v>132.63811638629517</v>
      </c>
      <c r="H310" s="1115">
        <f t="shared" si="29"/>
        <v>387.27264497550374</v>
      </c>
      <c r="U310" s="1103"/>
    </row>
    <row r="311" spans="1:21">
      <c r="A311" s="1112">
        <f t="shared" si="26"/>
        <v>45565</v>
      </c>
      <c r="B311" s="1113">
        <f t="shared" si="24"/>
        <v>2025</v>
      </c>
      <c r="C311" s="1281"/>
      <c r="D311" s="1281"/>
      <c r="E311" s="1114">
        <f>IF($A311&lt;DATE(2018,7,1),"-",INDEX('I1 - Universal Data'!$E$16:$V$16, MATCH(YEAR(EOMONTH($A311,6)), 'I1 - Universal Data'!$E$14:$V$14, 0)))</f>
        <v>1.47540195471507E-2</v>
      </c>
      <c r="F311" s="1114">
        <f>IF($A311&lt;DATE(2018,7,1),"-",INDEX('I1 - Universal Data'!$E$15:$V$15, MATCH(YEAR(EOMONTH($A311,6)), 'I1 - Universal Data'!$E$14:$V$14, 0)))</f>
        <v>2.0457266265074402E-2</v>
      </c>
      <c r="G311" s="1115">
        <f t="shared" si="29"/>
        <v>132.80010266996487</v>
      </c>
      <c r="H311" s="1115">
        <f t="shared" si="29"/>
        <v>387.92674602171718</v>
      </c>
      <c r="U311" s="1103"/>
    </row>
    <row r="312" spans="1:21">
      <c r="A312" s="1112">
        <f t="shared" si="26"/>
        <v>45596</v>
      </c>
      <c r="B312" s="1113">
        <f t="shared" si="24"/>
        <v>2025</v>
      </c>
      <c r="C312" s="1281"/>
      <c r="D312" s="1281"/>
      <c r="E312" s="1114">
        <f>IF($A312&lt;DATE(2018,7,1),"-",INDEX('I1 - Universal Data'!$E$16:$V$16, MATCH(YEAR(EOMONTH($A312,6)), 'I1 - Universal Data'!$E$14:$V$14, 0)))</f>
        <v>1.47540195471507E-2</v>
      </c>
      <c r="F312" s="1114">
        <f>IF($A312&lt;DATE(2018,7,1),"-",INDEX('I1 - Universal Data'!$E$15:$V$15, MATCH(YEAR(EOMONTH($A312,6)), 'I1 - Universal Data'!$E$14:$V$14, 0)))</f>
        <v>2.0457266265074402E-2</v>
      </c>
      <c r="G312" s="1115">
        <f t="shared" si="29"/>
        <v>132.96228678180654</v>
      </c>
      <c r="H312" s="1115">
        <f t="shared" si="29"/>
        <v>388.58195184045769</v>
      </c>
      <c r="U312" s="1103"/>
    </row>
    <row r="313" spans="1:21">
      <c r="A313" s="1112">
        <f t="shared" si="26"/>
        <v>45626</v>
      </c>
      <c r="B313" s="1113">
        <f t="shared" si="24"/>
        <v>2025</v>
      </c>
      <c r="C313" s="1281"/>
      <c r="D313" s="1281"/>
      <c r="E313" s="1114">
        <f>IF($A313&lt;DATE(2018,7,1),"-",INDEX('I1 - Universal Data'!$E$16:$V$16, MATCH(YEAR(EOMONTH($A313,6)), 'I1 - Universal Data'!$E$14:$V$14, 0)))</f>
        <v>1.47540195471507E-2</v>
      </c>
      <c r="F313" s="1114">
        <f>IF($A313&lt;DATE(2018,7,1),"-",INDEX('I1 - Universal Data'!$E$15:$V$15, MATCH(YEAR(EOMONTH($A313,6)), 'I1 - Universal Data'!$E$14:$V$14, 0)))</f>
        <v>2.0457266265074402E-2</v>
      </c>
      <c r="G313" s="1115">
        <f t="shared" si="29"/>
        <v>133.12466896342079</v>
      </c>
      <c r="H313" s="1115">
        <f t="shared" si="29"/>
        <v>389.23826429767911</v>
      </c>
      <c r="U313" s="1103"/>
    </row>
    <row r="314" spans="1:21">
      <c r="A314" s="1112">
        <f t="shared" si="26"/>
        <v>45657</v>
      </c>
      <c r="B314" s="1113">
        <f t="shared" si="24"/>
        <v>2025</v>
      </c>
      <c r="C314" s="1281"/>
      <c r="D314" s="1281"/>
      <c r="E314" s="1114">
        <f>IF($A314&lt;DATE(2018,7,1),"-",INDEX('I1 - Universal Data'!$E$16:$V$16, MATCH(YEAR(EOMONTH($A314,6)), 'I1 - Universal Data'!$E$14:$V$14, 0)))</f>
        <v>1.47540195471507E-2</v>
      </c>
      <c r="F314" s="1114">
        <f>IF($A314&lt;DATE(2018,7,1),"-",INDEX('I1 - Universal Data'!$E$15:$V$15, MATCH(YEAR(EOMONTH($A314,6)), 'I1 - Universal Data'!$E$14:$V$14, 0)))</f>
        <v>2.0457266265074402E-2</v>
      </c>
      <c r="G314" s="1115">
        <f t="shared" si="29"/>
        <v>133.28724945670328</v>
      </c>
      <c r="H314" s="1115">
        <f t="shared" si="29"/>
        <v>389.89568526248678</v>
      </c>
      <c r="U314" s="1103"/>
    </row>
    <row r="315" spans="1:21">
      <c r="A315" s="1112">
        <f t="shared" si="26"/>
        <v>45688</v>
      </c>
      <c r="B315" s="1113">
        <f t="shared" si="24"/>
        <v>2025</v>
      </c>
      <c r="C315" s="1281"/>
      <c r="D315" s="1281"/>
      <c r="E315" s="1114">
        <f>IF($A315&lt;DATE(2018,7,1),"-",INDEX('I1 - Universal Data'!$E$16:$V$16, MATCH(YEAR(EOMONTH($A315,6)), 'I1 - Universal Data'!$E$14:$V$14, 0)))</f>
        <v>1.47540195471507E-2</v>
      </c>
      <c r="F315" s="1114">
        <f>IF($A315&lt;DATE(2018,7,1),"-",INDEX('I1 - Universal Data'!$E$15:$V$15, MATCH(YEAR(EOMONTH($A315,6)), 'I1 - Universal Data'!$E$14:$V$14, 0)))</f>
        <v>2.0457266265074402E-2</v>
      </c>
      <c r="G315" s="1115">
        <f t="shared" si="29"/>
        <v>133.45002850384512</v>
      </c>
      <c r="H315" s="1115">
        <f t="shared" si="29"/>
        <v>390.55421660714302</v>
      </c>
      <c r="U315" s="1103"/>
    </row>
    <row r="316" spans="1:21">
      <c r="A316" s="1112">
        <f t="shared" si="26"/>
        <v>45716</v>
      </c>
      <c r="B316" s="1113">
        <f t="shared" si="24"/>
        <v>2025</v>
      </c>
      <c r="C316" s="1281"/>
      <c r="D316" s="1281"/>
      <c r="E316" s="1114">
        <f>IF($A316&lt;DATE(2018,7,1),"-",INDEX('I1 - Universal Data'!$E$16:$V$16, MATCH(YEAR(EOMONTH($A316,6)), 'I1 - Universal Data'!$E$14:$V$14, 0)))</f>
        <v>1.47540195471507E-2</v>
      </c>
      <c r="F316" s="1114">
        <f>IF($A316&lt;DATE(2018,7,1),"-",INDEX('I1 - Universal Data'!$E$15:$V$15, MATCH(YEAR(EOMONTH($A316,6)), 'I1 - Universal Data'!$E$14:$V$14, 0)))</f>
        <v>2.0457266265074402E-2</v>
      </c>
      <c r="G316" s="1115">
        <f t="shared" si="29"/>
        <v>133.61300634733317</v>
      </c>
      <c r="H316" s="1115">
        <f t="shared" si="29"/>
        <v>391.21386020707234</v>
      </c>
      <c r="U316" s="1103"/>
    </row>
    <row r="317" spans="1:21">
      <c r="A317" s="1112">
        <f t="shared" si="26"/>
        <v>45747</v>
      </c>
      <c r="B317" s="1113">
        <f t="shared" si="24"/>
        <v>2025</v>
      </c>
      <c r="C317" s="1281"/>
      <c r="D317" s="1281"/>
      <c r="E317" s="1114">
        <f>IF($A317&lt;DATE(2018,7,1),"-",INDEX('I1 - Universal Data'!$E$16:$V$16, MATCH(YEAR(EOMONTH($A317,6)), 'I1 - Universal Data'!$E$14:$V$14, 0)))</f>
        <v>1.47540195471507E-2</v>
      </c>
      <c r="F317" s="1114">
        <f>IF($A317&lt;DATE(2018,7,1),"-",INDEX('I1 - Universal Data'!$E$15:$V$15, MATCH(YEAR(EOMONTH($A317,6)), 'I1 - Universal Data'!$E$14:$V$14, 0)))</f>
        <v>2.0457266265074402E-2</v>
      </c>
      <c r="G317" s="1115">
        <f t="shared" si="29"/>
        <v>133.77618322995045</v>
      </c>
      <c r="H317" s="1115">
        <f t="shared" si="29"/>
        <v>391.87461794086693</v>
      </c>
      <c r="U317" s="1103"/>
    </row>
    <row r="318" spans="1:21">
      <c r="A318" s="1112">
        <f t="shared" si="26"/>
        <v>45777</v>
      </c>
      <c r="B318" s="1113">
        <f t="shared" si="24"/>
        <v>2026</v>
      </c>
      <c r="C318" s="1281"/>
      <c r="D318" s="1281"/>
      <c r="E318" s="1114">
        <f>IF($A318&lt;DATE(2018,7,1),"-",INDEX('I1 - Universal Data'!$E$16:$V$16, MATCH(YEAR(EOMONTH($A318,6)), 'I1 - Universal Data'!$E$14:$V$14, 0)))</f>
        <v>1.47540195471507E-2</v>
      </c>
      <c r="F318" s="1114">
        <f>IF($A318&lt;DATE(2018,7,1),"-",INDEX('I1 - Universal Data'!$E$15:$V$15, MATCH(YEAR(EOMONTH($A318,6)), 'I1 - Universal Data'!$E$14:$V$14, 0)))</f>
        <v>2.0457266265074402E-2</v>
      </c>
      <c r="G318" s="1115">
        <f t="shared" si="29"/>
        <v>133.93955939477644</v>
      </c>
      <c r="H318" s="1115">
        <f t="shared" si="29"/>
        <v>392.53649169029177</v>
      </c>
      <c r="U318" s="1103"/>
    </row>
    <row r="319" spans="1:21">
      <c r="A319" s="1112">
        <f t="shared" si="26"/>
        <v>45808</v>
      </c>
      <c r="B319" s="1113">
        <f t="shared" si="24"/>
        <v>2026</v>
      </c>
      <c r="C319" s="1281"/>
      <c r="D319" s="1281"/>
      <c r="E319" s="1114">
        <f>IF($A319&lt;DATE(2018,7,1),"-",INDEX('I1 - Universal Data'!$E$16:$V$16, MATCH(YEAR(EOMONTH($A319,6)), 'I1 - Universal Data'!$E$14:$V$14, 0)))</f>
        <v>1.47540195471507E-2</v>
      </c>
      <c r="F319" s="1114">
        <f>IF($A319&lt;DATE(2018,7,1),"-",INDEX('I1 - Universal Data'!$E$15:$V$15, MATCH(YEAR(EOMONTH($A319,6)), 'I1 - Universal Data'!$E$14:$V$14, 0)))</f>
        <v>2.0457266265074402E-2</v>
      </c>
      <c r="G319" s="1115">
        <f t="shared" si="29"/>
        <v>134.10313508518755</v>
      </c>
      <c r="H319" s="1115">
        <f t="shared" si="29"/>
        <v>393.19948334029021</v>
      </c>
      <c r="U319" s="1103"/>
    </row>
    <row r="320" spans="1:21">
      <c r="A320" s="1112">
        <f t="shared" si="26"/>
        <v>45838</v>
      </c>
      <c r="B320" s="1113">
        <f t="shared" si="24"/>
        <v>2026</v>
      </c>
      <c r="C320" s="1281"/>
      <c r="D320" s="1281"/>
      <c r="E320" s="1114">
        <f>IF($A320&lt;DATE(2018,7,1),"-",INDEX('I1 - Universal Data'!$E$16:$V$16, MATCH(YEAR(EOMONTH($A320,6)), 'I1 - Universal Data'!$E$14:$V$14, 0)))</f>
        <v>1.47540195471507E-2</v>
      </c>
      <c r="F320" s="1114">
        <f>IF($A320&lt;DATE(2018,7,1),"-",INDEX('I1 - Universal Data'!$E$15:$V$15, MATCH(YEAR(EOMONTH($A320,6)), 'I1 - Universal Data'!$E$14:$V$14, 0)))</f>
        <v>2.0457266265074402E-2</v>
      </c>
      <c r="G320" s="1115">
        <f t="shared" si="29"/>
        <v>134.26691054485738</v>
      </c>
      <c r="H320" s="1115">
        <f t="shared" si="29"/>
        <v>393.86359477898924</v>
      </c>
      <c r="U320" s="1103"/>
    </row>
    <row r="321" spans="1:21">
      <c r="A321" s="1112">
        <f t="shared" si="26"/>
        <v>45869</v>
      </c>
      <c r="B321" s="1113">
        <f t="shared" si="24"/>
        <v>2026</v>
      </c>
      <c r="C321" s="1281"/>
      <c r="D321" s="1281"/>
      <c r="E321" s="1114">
        <f>IF($A321&lt;DATE(2018,7,1),"-",INDEX('I1 - Universal Data'!$E$16:$V$16, MATCH(YEAR(EOMONTH($A321,6)), 'I1 - Universal Data'!$E$14:$V$14, 0)))</f>
        <v>1.62662132526732E-2</v>
      </c>
      <c r="F321" s="1114">
        <f>IF($A321&lt;DATE(2018,7,1),"-",INDEX('I1 - Universal Data'!$E$15:$V$15, MATCH(YEAR(EOMONTH($A321,6)), 'I1 - Universal Data'!$E$14:$V$14, 0)))</f>
        <v>2.4969908330546801E-2</v>
      </c>
      <c r="G321" s="1115">
        <f t="shared" si="29"/>
        <v>134.44756878203748</v>
      </c>
      <c r="H321" s="1115">
        <f t="shared" si="29"/>
        <v>394.67392372077853</v>
      </c>
      <c r="U321" s="1103"/>
    </row>
    <row r="322" spans="1:21">
      <c r="A322" s="1112">
        <f t="shared" si="26"/>
        <v>45900</v>
      </c>
      <c r="B322" s="1113">
        <f t="shared" si="24"/>
        <v>2026</v>
      </c>
      <c r="C322" s="1281"/>
      <c r="D322" s="1281"/>
      <c r="E322" s="1114">
        <f>IF($A322&lt;DATE(2018,7,1),"-",INDEX('I1 - Universal Data'!$E$16:$V$16, MATCH(YEAR(EOMONTH($A322,6)), 'I1 - Universal Data'!$E$14:$V$14, 0)))</f>
        <v>1.62662132526732E-2</v>
      </c>
      <c r="F322" s="1114">
        <f>IF($A322&lt;DATE(2018,7,1),"-",INDEX('I1 - Universal Data'!$E$15:$V$15, MATCH(YEAR(EOMONTH($A322,6)), 'I1 - Universal Data'!$E$14:$V$14, 0)))</f>
        <v>2.4969908330546801E-2</v>
      </c>
      <c r="G322" s="1115">
        <f t="shared" si="29"/>
        <v>134.62847009771346</v>
      </c>
      <c r="H322" s="1115">
        <f t="shared" si="29"/>
        <v>395.4859198209511</v>
      </c>
      <c r="U322" s="1103"/>
    </row>
    <row r="323" spans="1:21">
      <c r="A323" s="1112">
        <f t="shared" si="26"/>
        <v>45930</v>
      </c>
      <c r="B323" s="1113">
        <f t="shared" si="24"/>
        <v>2026</v>
      </c>
      <c r="C323" s="1281"/>
      <c r="D323" s="1281"/>
      <c r="E323" s="1114">
        <f>IF($A323&lt;DATE(2018,7,1),"-",INDEX('I1 - Universal Data'!$E$16:$V$16, MATCH(YEAR(EOMONTH($A323,6)), 'I1 - Universal Data'!$E$14:$V$14, 0)))</f>
        <v>1.62662132526732E-2</v>
      </c>
      <c r="F323" s="1114">
        <f>IF($A323&lt;DATE(2018,7,1),"-",INDEX('I1 - Universal Data'!$E$15:$V$15, MATCH(YEAR(EOMONTH($A323,6)), 'I1 - Universal Data'!$E$14:$V$14, 0)))</f>
        <v>2.4969908330546801E-2</v>
      </c>
      <c r="G323" s="1115">
        <f t="shared" si="29"/>
        <v>134.80961481895125</v>
      </c>
      <c r="H323" s="1115">
        <f t="shared" si="29"/>
        <v>396.29958650949311</v>
      </c>
      <c r="U323" s="1103"/>
    </row>
    <row r="324" spans="1:21">
      <c r="A324" s="1112">
        <f t="shared" si="26"/>
        <v>45961</v>
      </c>
      <c r="B324" s="1113">
        <f t="shared" si="24"/>
        <v>2026</v>
      </c>
      <c r="C324" s="1281"/>
      <c r="D324" s="1281"/>
      <c r="E324" s="1114">
        <f>IF($A324&lt;DATE(2018,7,1),"-",INDEX('I1 - Universal Data'!$E$16:$V$16, MATCH(YEAR(EOMONTH($A324,6)), 'I1 - Universal Data'!$E$14:$V$14, 0)))</f>
        <v>1.62662132526732E-2</v>
      </c>
      <c r="F324" s="1114">
        <f>IF($A324&lt;DATE(2018,7,1),"-",INDEX('I1 - Universal Data'!$E$15:$V$15, MATCH(YEAR(EOMONTH($A324,6)), 'I1 - Universal Data'!$E$14:$V$14, 0)))</f>
        <v>2.4969908330546801E-2</v>
      </c>
      <c r="G324" s="1115">
        <f t="shared" si="29"/>
        <v>134.99100327325687</v>
      </c>
      <c r="H324" s="1115">
        <f t="shared" si="29"/>
        <v>397.11492722344758</v>
      </c>
      <c r="U324" s="1103"/>
    </row>
    <row r="325" spans="1:21">
      <c r="A325" s="1112">
        <f t="shared" si="26"/>
        <v>45991</v>
      </c>
      <c r="B325" s="1113">
        <f t="shared" si="24"/>
        <v>2026</v>
      </c>
      <c r="C325" s="1281"/>
      <c r="D325" s="1281"/>
      <c r="E325" s="1114">
        <f>IF($A325&lt;DATE(2018,7,1),"-",INDEX('I1 - Universal Data'!$E$16:$V$16, MATCH(YEAR(EOMONTH($A325,6)), 'I1 - Universal Data'!$E$14:$V$14, 0)))</f>
        <v>1.62662132526732E-2</v>
      </c>
      <c r="F325" s="1114">
        <f>IF($A325&lt;DATE(2018,7,1),"-",INDEX('I1 - Universal Data'!$E$15:$V$15, MATCH(YEAR(EOMONTH($A325,6)), 'I1 - Universal Data'!$E$14:$V$14, 0)))</f>
        <v>2.4969908330546801E-2</v>
      </c>
      <c r="G325" s="1115">
        <f t="shared" si="29"/>
        <v>135.17263578857697</v>
      </c>
      <c r="H325" s="1115">
        <f t="shared" si="29"/>
        <v>397.93194540692878</v>
      </c>
      <c r="U325" s="1103"/>
    </row>
    <row r="326" spans="1:21">
      <c r="A326" s="1112">
        <f t="shared" si="26"/>
        <v>46022</v>
      </c>
      <c r="B326" s="1113">
        <f t="shared" ref="B326:B389" si="30">IF(MONTH(A326)&gt;=4,YEAR(A326)+1,YEAR(A326))</f>
        <v>2026</v>
      </c>
      <c r="C326" s="1281"/>
      <c r="D326" s="1281"/>
      <c r="E326" s="1114">
        <f>IF($A326&lt;DATE(2018,7,1),"-",INDEX('I1 - Universal Data'!$E$16:$V$16, MATCH(YEAR(EOMONTH($A326,6)), 'I1 - Universal Data'!$E$14:$V$14, 0)))</f>
        <v>1.62662132526732E-2</v>
      </c>
      <c r="F326" s="1114">
        <f>IF($A326&lt;DATE(2018,7,1),"-",INDEX('I1 - Universal Data'!$E$15:$V$15, MATCH(YEAR(EOMONTH($A326,6)), 'I1 - Universal Data'!$E$14:$V$14, 0)))</f>
        <v>2.4969908330546801E-2</v>
      </c>
      <c r="G326" s="1115">
        <f t="shared" ref="G326:H341" si="31">IF(ISBLANK(C326),G325*((1+E326)^(1/12)),C326)</f>
        <v>135.35451269329948</v>
      </c>
      <c r="H326" s="1115">
        <f t="shared" si="31"/>
        <v>398.7506445111369</v>
      </c>
      <c r="U326" s="1103"/>
    </row>
    <row r="327" spans="1:21">
      <c r="A327" s="1112">
        <f t="shared" ref="A327:A390" si="32">IF(MONTH(A326) = 12, EOMONTH(DATE(YEAR(A326) + 1, 1, 1), 0), EOMONTH(DATE(YEAR(A326), MONTH(A326) + 1, 1), 0))</f>
        <v>46053</v>
      </c>
      <c r="B327" s="1113">
        <f t="shared" si="30"/>
        <v>2026</v>
      </c>
      <c r="C327" s="1281"/>
      <c r="D327" s="1281"/>
      <c r="E327" s="1114">
        <f>IF($A327&lt;DATE(2018,7,1),"-",INDEX('I1 - Universal Data'!$E$16:$V$16, MATCH(YEAR(EOMONTH($A327,6)), 'I1 - Universal Data'!$E$14:$V$14, 0)))</f>
        <v>1.62662132526732E-2</v>
      </c>
      <c r="F327" s="1114">
        <f>IF($A327&lt;DATE(2018,7,1),"-",INDEX('I1 - Universal Data'!$E$15:$V$15, MATCH(YEAR(EOMONTH($A327,6)), 'I1 - Universal Data'!$E$14:$V$14, 0)))</f>
        <v>2.4969908330546801E-2</v>
      </c>
      <c r="G327" s="1115">
        <f t="shared" si="31"/>
        <v>135.53663431625418</v>
      </c>
      <c r="H327" s="1115">
        <f t="shared" si="31"/>
        <v>399.57102799437257</v>
      </c>
      <c r="U327" s="1103"/>
    </row>
    <row r="328" spans="1:21">
      <c r="A328" s="1112">
        <f t="shared" si="32"/>
        <v>46081</v>
      </c>
      <c r="B328" s="1113">
        <f t="shared" si="30"/>
        <v>2026</v>
      </c>
      <c r="C328" s="1281"/>
      <c r="D328" s="1281"/>
      <c r="E328" s="1114">
        <f>IF($A328&lt;DATE(2018,7,1),"-",INDEX('I1 - Universal Data'!$E$16:$V$16, MATCH(YEAR(EOMONTH($A328,6)), 'I1 - Universal Data'!$E$14:$V$14, 0)))</f>
        <v>1.62662132526732E-2</v>
      </c>
      <c r="F328" s="1114">
        <f>IF($A328&lt;DATE(2018,7,1),"-",INDEX('I1 - Universal Data'!$E$15:$V$15, MATCH(YEAR(EOMONTH($A328,6)), 'I1 - Universal Data'!$E$14:$V$14, 0)))</f>
        <v>2.4969908330546801E-2</v>
      </c>
      <c r="G328" s="1115">
        <f t="shared" si="31"/>
        <v>135.7190009867133</v>
      </c>
      <c r="H328" s="1115">
        <f t="shared" si="31"/>
        <v>400.39309932205146</v>
      </c>
      <c r="U328" s="1103"/>
    </row>
    <row r="329" spans="1:21">
      <c r="A329" s="1112">
        <f t="shared" si="32"/>
        <v>46112</v>
      </c>
      <c r="B329" s="1113">
        <f t="shared" si="30"/>
        <v>2026</v>
      </c>
      <c r="C329" s="1281"/>
      <c r="D329" s="1281"/>
      <c r="E329" s="1114">
        <f>IF($A329&lt;DATE(2018,7,1),"-",INDEX('I1 - Universal Data'!$E$16:$V$16, MATCH(YEAR(EOMONTH($A329,6)), 'I1 - Universal Data'!$E$14:$V$14, 0)))</f>
        <v>1.62662132526732E-2</v>
      </c>
      <c r="F329" s="1114">
        <f>IF($A329&lt;DATE(2018,7,1),"-",INDEX('I1 - Universal Data'!$E$15:$V$15, MATCH(YEAR(EOMONTH($A329,6)), 'I1 - Universal Data'!$E$14:$V$14, 0)))</f>
        <v>2.4969908330546801E-2</v>
      </c>
      <c r="G329" s="1115">
        <f t="shared" si="31"/>
        <v>135.90161303439211</v>
      </c>
      <c r="H329" s="1115">
        <f t="shared" si="31"/>
        <v>401.21686196671891</v>
      </c>
      <c r="U329" s="1103"/>
    </row>
    <row r="330" spans="1:21">
      <c r="A330" s="1112">
        <f t="shared" si="32"/>
        <v>46142</v>
      </c>
      <c r="B330" s="1113">
        <f t="shared" si="30"/>
        <v>2027</v>
      </c>
      <c r="C330" s="1281"/>
      <c r="D330" s="1281"/>
      <c r="E330" s="1114">
        <f>IF($A330&lt;DATE(2018,7,1),"-",INDEX('I1 - Universal Data'!$E$16:$V$16, MATCH(YEAR(EOMONTH($A330,6)), 'I1 - Universal Data'!$E$14:$V$14, 0)))</f>
        <v>1.62662132526732E-2</v>
      </c>
      <c r="F330" s="1114">
        <f>IF($A330&lt;DATE(2018,7,1),"-",INDEX('I1 - Universal Data'!$E$15:$V$15, MATCH(YEAR(EOMONTH($A330,6)), 'I1 - Universal Data'!$E$14:$V$14, 0)))</f>
        <v>2.4969908330546801E-2</v>
      </c>
      <c r="G330" s="1115">
        <f t="shared" si="31"/>
        <v>136.08447078944951</v>
      </c>
      <c r="H330" s="1115">
        <f t="shared" si="31"/>
        <v>402.04231940806471</v>
      </c>
      <c r="U330" s="1103"/>
    </row>
    <row r="331" spans="1:21">
      <c r="A331" s="1112">
        <f t="shared" si="32"/>
        <v>46173</v>
      </c>
      <c r="B331" s="1113">
        <f t="shared" si="30"/>
        <v>2027</v>
      </c>
      <c r="C331" s="1281"/>
      <c r="D331" s="1281"/>
      <c r="E331" s="1114">
        <f>IF($A331&lt;DATE(2018,7,1),"-",INDEX('I1 - Universal Data'!$E$16:$V$16, MATCH(YEAR(EOMONTH($A331,6)), 'I1 - Universal Data'!$E$14:$V$14, 0)))</f>
        <v>1.62662132526732E-2</v>
      </c>
      <c r="F331" s="1114">
        <f>IF($A331&lt;DATE(2018,7,1),"-",INDEX('I1 - Universal Data'!$E$15:$V$15, MATCH(YEAR(EOMONTH($A331,6)), 'I1 - Universal Data'!$E$14:$V$14, 0)))</f>
        <v>2.4969908330546801E-2</v>
      </c>
      <c r="G331" s="1115">
        <f t="shared" si="31"/>
        <v>136.26757458248866</v>
      </c>
      <c r="H331" s="1115">
        <f t="shared" si="31"/>
        <v>402.86947513293762</v>
      </c>
      <c r="U331" s="1103"/>
    </row>
    <row r="332" spans="1:21">
      <c r="A332" s="1112">
        <f t="shared" si="32"/>
        <v>46203</v>
      </c>
      <c r="B332" s="1113">
        <f t="shared" si="30"/>
        <v>2027</v>
      </c>
      <c r="C332" s="1281"/>
      <c r="D332" s="1281"/>
      <c r="E332" s="1114">
        <f>IF($A332&lt;DATE(2018,7,1),"-",INDEX('I1 - Universal Data'!$E$16:$V$16, MATCH(YEAR(EOMONTH($A332,6)), 'I1 - Universal Data'!$E$14:$V$14, 0)))</f>
        <v>1.62662132526732E-2</v>
      </c>
      <c r="F332" s="1114">
        <f>IF($A332&lt;DATE(2018,7,1),"-",INDEX('I1 - Universal Data'!$E$15:$V$15, MATCH(YEAR(EOMONTH($A332,6)), 'I1 - Universal Data'!$E$14:$V$14, 0)))</f>
        <v>2.4969908330546801E-2</v>
      </c>
      <c r="G332" s="1115">
        <f t="shared" si="31"/>
        <v>136.45092474455751</v>
      </c>
      <c r="H332" s="1115">
        <f t="shared" si="31"/>
        <v>403.6983326353602</v>
      </c>
      <c r="U332" s="1103"/>
    </row>
    <row r="333" spans="1:21">
      <c r="A333" s="1112">
        <f t="shared" si="32"/>
        <v>46234</v>
      </c>
      <c r="B333" s="1113">
        <f t="shared" si="30"/>
        <v>2027</v>
      </c>
      <c r="C333" s="1281"/>
      <c r="D333" s="1281"/>
      <c r="E333" s="1114">
        <f>IF($A333&lt;DATE(2018,7,1),"-",INDEX('I1 - Universal Data'!$E$16:$V$16, MATCH(YEAR(EOMONTH($A333,6)), 'I1 - Universal Data'!$E$14:$V$14, 0)))</f>
        <v>0.02</v>
      </c>
      <c r="F333" s="1114">
        <f>IF($A333&lt;DATE(2018,7,1),"-",INDEX('I1 - Universal Data'!$E$15:$V$15, MATCH(YEAR(EOMONTH($A333,6)), 'I1 - Universal Data'!$E$14:$V$14, 0)))</f>
        <v>0.03</v>
      </c>
      <c r="G333" s="1115">
        <f t="shared" si="31"/>
        <v>136.67628454049535</v>
      </c>
      <c r="H333" s="1115">
        <f t="shared" si="31"/>
        <v>404.69396163026818</v>
      </c>
      <c r="U333" s="1103"/>
    </row>
    <row r="334" spans="1:21">
      <c r="A334" s="1112">
        <f t="shared" si="32"/>
        <v>46265</v>
      </c>
      <c r="B334" s="1113">
        <f t="shared" si="30"/>
        <v>2027</v>
      </c>
      <c r="C334" s="1281"/>
      <c r="D334" s="1281"/>
      <c r="E334" s="1114">
        <f>IF($A334&lt;DATE(2018,7,1),"-",INDEX('I1 - Universal Data'!$E$16:$V$16, MATCH(YEAR(EOMONTH($A334,6)), 'I1 - Universal Data'!$E$14:$V$14, 0)))</f>
        <v>0.02</v>
      </c>
      <c r="F334" s="1114">
        <f>IF($A334&lt;DATE(2018,7,1),"-",INDEX('I1 - Universal Data'!$E$15:$V$15, MATCH(YEAR(EOMONTH($A334,6)), 'I1 - Universal Data'!$E$14:$V$14, 0)))</f>
        <v>0.03</v>
      </c>
      <c r="G334" s="1115">
        <f t="shared" si="31"/>
        <v>136.90201653645835</v>
      </c>
      <c r="H334" s="1115">
        <f t="shared" si="31"/>
        <v>405.69204611487072</v>
      </c>
      <c r="U334" s="1103"/>
    </row>
    <row r="335" spans="1:21">
      <c r="A335" s="1112">
        <f t="shared" si="32"/>
        <v>46295</v>
      </c>
      <c r="B335" s="1113">
        <f t="shared" si="30"/>
        <v>2027</v>
      </c>
      <c r="C335" s="1281"/>
      <c r="D335" s="1281"/>
      <c r="E335" s="1114">
        <f>IF($A335&lt;DATE(2018,7,1),"-",INDEX('I1 - Universal Data'!$E$16:$V$16, MATCH(YEAR(EOMONTH($A335,6)), 'I1 - Universal Data'!$E$14:$V$14, 0)))</f>
        <v>0.02</v>
      </c>
      <c r="F335" s="1114">
        <f>IF($A335&lt;DATE(2018,7,1),"-",INDEX('I1 - Universal Data'!$E$15:$V$15, MATCH(YEAR(EOMONTH($A335,6)), 'I1 - Universal Data'!$E$14:$V$14, 0)))</f>
        <v>0.03</v>
      </c>
      <c r="G335" s="1115">
        <f t="shared" si="31"/>
        <v>137.12812134716515</v>
      </c>
      <c r="H335" s="1115">
        <f t="shared" si="31"/>
        <v>406.69259214506786</v>
      </c>
      <c r="U335" s="1103"/>
    </row>
    <row r="336" spans="1:21">
      <c r="A336" s="1112">
        <f t="shared" si="32"/>
        <v>46326</v>
      </c>
      <c r="B336" s="1113">
        <f t="shared" si="30"/>
        <v>2027</v>
      </c>
      <c r="C336" s="1281"/>
      <c r="D336" s="1281"/>
      <c r="E336" s="1114">
        <f>IF($A336&lt;DATE(2018,7,1),"-",INDEX('I1 - Universal Data'!$E$16:$V$16, MATCH(YEAR(EOMONTH($A336,6)), 'I1 - Universal Data'!$E$14:$V$14, 0)))</f>
        <v>0.02</v>
      </c>
      <c r="F336" s="1114">
        <f>IF($A336&lt;DATE(2018,7,1),"-",INDEX('I1 - Universal Data'!$E$15:$V$15, MATCH(YEAR(EOMONTH($A336,6)), 'I1 - Universal Data'!$E$14:$V$14, 0)))</f>
        <v>0.03</v>
      </c>
      <c r="G336" s="1115">
        <f t="shared" si="31"/>
        <v>137.35459958834957</v>
      </c>
      <c r="H336" s="1115">
        <f t="shared" si="31"/>
        <v>407.69560579169507</v>
      </c>
      <c r="U336" s="1103"/>
    </row>
    <row r="337" spans="1:21">
      <c r="A337" s="1112">
        <f t="shared" si="32"/>
        <v>46356</v>
      </c>
      <c r="B337" s="1113">
        <f t="shared" si="30"/>
        <v>2027</v>
      </c>
      <c r="C337" s="1281"/>
      <c r="D337" s="1281"/>
      <c r="E337" s="1114">
        <f>IF($A337&lt;DATE(2018,7,1),"-",INDEX('I1 - Universal Data'!$E$16:$V$16, MATCH(YEAR(EOMONTH($A337,6)), 'I1 - Universal Data'!$E$14:$V$14, 0)))</f>
        <v>0.02</v>
      </c>
      <c r="F337" s="1114">
        <f>IF($A337&lt;DATE(2018,7,1),"-",INDEX('I1 - Universal Data'!$E$15:$V$15, MATCH(YEAR(EOMONTH($A337,6)), 'I1 - Universal Data'!$E$14:$V$14, 0)))</f>
        <v>0.03</v>
      </c>
      <c r="G337" s="1115">
        <f t="shared" si="31"/>
        <v>137.58145187676243</v>
      </c>
      <c r="H337" s="1115">
        <f t="shared" si="31"/>
        <v>408.70109314056015</v>
      </c>
      <c r="U337" s="1103"/>
    </row>
    <row r="338" spans="1:21">
      <c r="A338" s="1112">
        <f t="shared" si="32"/>
        <v>46387</v>
      </c>
      <c r="B338" s="1113">
        <f t="shared" si="30"/>
        <v>2027</v>
      </c>
      <c r="C338" s="1281"/>
      <c r="D338" s="1281"/>
      <c r="E338" s="1114">
        <f>IF($A338&lt;DATE(2018,7,1),"-",INDEX('I1 - Universal Data'!$E$16:$V$16, MATCH(YEAR(EOMONTH($A338,6)), 'I1 - Universal Data'!$E$14:$V$14, 0)))</f>
        <v>0.02</v>
      </c>
      <c r="F338" s="1114">
        <f>IF($A338&lt;DATE(2018,7,1),"-",INDEX('I1 - Universal Data'!$E$15:$V$15, MATCH(YEAR(EOMONTH($A338,6)), 'I1 - Universal Data'!$E$14:$V$14, 0)))</f>
        <v>0.03</v>
      </c>
      <c r="G338" s="1115">
        <f t="shared" si="31"/>
        <v>137.80867883017314</v>
      </c>
      <c r="H338" s="1115">
        <f t="shared" si="31"/>
        <v>409.70906029248016</v>
      </c>
      <c r="U338" s="1103"/>
    </row>
    <row r="339" spans="1:21">
      <c r="A339" s="1112">
        <f t="shared" si="32"/>
        <v>46418</v>
      </c>
      <c r="B339" s="1113">
        <f t="shared" si="30"/>
        <v>2027</v>
      </c>
      <c r="C339" s="1281"/>
      <c r="D339" s="1281"/>
      <c r="E339" s="1114">
        <f>IF($A339&lt;DATE(2018,7,1),"-",INDEX('I1 - Universal Data'!$E$16:$V$16, MATCH(YEAR(EOMONTH($A339,6)), 'I1 - Universal Data'!$E$14:$V$14, 0)))</f>
        <v>0.02</v>
      </c>
      <c r="F339" s="1114">
        <f>IF($A339&lt;DATE(2018,7,1),"-",INDEX('I1 - Universal Data'!$E$15:$V$15, MATCH(YEAR(EOMONTH($A339,6)), 'I1 - Universal Data'!$E$14:$V$14, 0)))</f>
        <v>0.03</v>
      </c>
      <c r="G339" s="1115">
        <f t="shared" si="31"/>
        <v>138.03628106737139</v>
      </c>
      <c r="H339" s="1115">
        <f t="shared" si="31"/>
        <v>410.71951336331847</v>
      </c>
    </row>
    <row r="340" spans="1:21">
      <c r="A340" s="1112">
        <f t="shared" si="32"/>
        <v>46446</v>
      </c>
      <c r="B340" s="1113">
        <f t="shared" si="30"/>
        <v>2027</v>
      </c>
      <c r="C340" s="1281"/>
      <c r="D340" s="1281"/>
      <c r="E340" s="1114">
        <f>IF($A340&lt;DATE(2018,7,1),"-",INDEX('I1 - Universal Data'!$E$16:$V$16, MATCH(YEAR(EOMONTH($A340,6)), 'I1 - Universal Data'!$E$14:$V$14, 0)))</f>
        <v>0.02</v>
      </c>
      <c r="F340" s="1114">
        <f>IF($A340&lt;DATE(2018,7,1),"-",INDEX('I1 - Universal Data'!$E$15:$V$15, MATCH(YEAR(EOMONTH($A340,6)), 'I1 - Universal Data'!$E$14:$V$14, 0)))</f>
        <v>0.03</v>
      </c>
      <c r="G340" s="1115">
        <f t="shared" si="31"/>
        <v>138.26425920816885</v>
      </c>
      <c r="H340" s="1115">
        <f t="shared" si="31"/>
        <v>411.73245848402172</v>
      </c>
    </row>
    <row r="341" spans="1:21" s="412" customFormat="1">
      <c r="A341" s="1112">
        <f t="shared" si="32"/>
        <v>46477</v>
      </c>
      <c r="B341" s="1113">
        <f t="shared" si="30"/>
        <v>2027</v>
      </c>
      <c r="C341" s="1281"/>
      <c r="D341" s="1281"/>
      <c r="E341" s="1114">
        <f>IF($A341&lt;DATE(2018,7,1),"-",INDEX('I1 - Universal Data'!$E$16:$V$16, MATCH(YEAR(EOMONTH($A341,6)), 'I1 - Universal Data'!$E$14:$V$14, 0)))</f>
        <v>0.02</v>
      </c>
      <c r="F341" s="1114">
        <f>IF($A341&lt;DATE(2018,7,1),"-",INDEX('I1 - Universal Data'!$E$15:$V$15, MATCH(YEAR(EOMONTH($A341,6)), 'I1 - Universal Data'!$E$14:$V$14, 0)))</f>
        <v>0.03</v>
      </c>
      <c r="G341" s="1115">
        <f t="shared" si="31"/>
        <v>138.49261387340093</v>
      </c>
      <c r="H341" s="1115">
        <f t="shared" si="31"/>
        <v>412.74790180065713</v>
      </c>
      <c r="T341" s="114"/>
      <c r="U341" s="411"/>
    </row>
    <row r="342" spans="1:21" s="412" customFormat="1">
      <c r="A342" s="1112">
        <f t="shared" si="32"/>
        <v>46507</v>
      </c>
      <c r="B342" s="1113">
        <f t="shared" si="30"/>
        <v>2028</v>
      </c>
      <c r="C342" s="1281"/>
      <c r="D342" s="1281"/>
      <c r="E342" s="1114">
        <f>IF($A342&lt;DATE(2018,7,1),"-",INDEX('I1 - Universal Data'!$E$16:$V$16, MATCH(YEAR(EOMONTH($A342,6)), 'I1 - Universal Data'!$E$14:$V$14, 0)))</f>
        <v>0.02</v>
      </c>
      <c r="F342" s="1114">
        <f>IF($A342&lt;DATE(2018,7,1),"-",INDEX('I1 - Universal Data'!$E$15:$V$15, MATCH(YEAR(EOMONTH($A342,6)), 'I1 - Universal Data'!$E$14:$V$14, 0)))</f>
        <v>0.03</v>
      </c>
      <c r="G342" s="1115">
        <f t="shared" ref="G342:H357" si="33">IF(ISBLANK(C342),G341*((1+E342)^(1/12)),C342)</f>
        <v>138.72134568492828</v>
      </c>
      <c r="H342" s="1115">
        <f t="shared" si="33"/>
        <v>413.76584947444985</v>
      </c>
      <c r="T342" s="114"/>
      <c r="U342" s="411"/>
    </row>
    <row r="343" spans="1:21" s="412" customFormat="1">
      <c r="A343" s="1112">
        <f t="shared" si="32"/>
        <v>46538</v>
      </c>
      <c r="B343" s="1113">
        <f t="shared" si="30"/>
        <v>2028</v>
      </c>
      <c r="C343" s="1281"/>
      <c r="D343" s="1281"/>
      <c r="E343" s="1114">
        <f>IF($A343&lt;DATE(2018,7,1),"-",INDEX('I1 - Universal Data'!$E$16:$V$16, MATCH(YEAR(EOMONTH($A343,6)), 'I1 - Universal Data'!$E$14:$V$14, 0)))</f>
        <v>0.02</v>
      </c>
      <c r="F343" s="1114">
        <f>IF($A343&lt;DATE(2018,7,1),"-",INDEX('I1 - Universal Data'!$E$15:$V$15, MATCH(YEAR(EOMONTH($A343,6)), 'I1 - Universal Data'!$E$14:$V$14, 0)))</f>
        <v>0.03</v>
      </c>
      <c r="G343" s="1115">
        <f t="shared" si="33"/>
        <v>138.95045526563871</v>
      </c>
      <c r="H343" s="1115">
        <f t="shared" si="33"/>
        <v>414.78630768182023</v>
      </c>
      <c r="T343" s="114"/>
      <c r="U343" s="411"/>
    </row>
    <row r="344" spans="1:21" s="412" customFormat="1">
      <c r="A344" s="1112">
        <f t="shared" si="32"/>
        <v>46568</v>
      </c>
      <c r="B344" s="1113">
        <f t="shared" si="30"/>
        <v>2028</v>
      </c>
      <c r="C344" s="1281"/>
      <c r="D344" s="1281"/>
      <c r="E344" s="1114">
        <f>IF($A344&lt;DATE(2018,7,1),"-",INDEX('I1 - Universal Data'!$E$16:$V$16, MATCH(YEAR(EOMONTH($A344,6)), 'I1 - Universal Data'!$E$14:$V$14, 0)))</f>
        <v>0.02</v>
      </c>
      <c r="F344" s="1114">
        <f>IF($A344&lt;DATE(2018,7,1),"-",INDEX('I1 - Universal Data'!$E$15:$V$15, MATCH(YEAR(EOMONTH($A344,6)), 'I1 - Universal Data'!$E$14:$V$14, 0)))</f>
        <v>0.03</v>
      </c>
      <c r="G344" s="1115">
        <f t="shared" si="33"/>
        <v>139.17994323944873</v>
      </c>
      <c r="H344" s="1115">
        <f t="shared" si="33"/>
        <v>415.80928261442136</v>
      </c>
      <c r="T344" s="114"/>
      <c r="U344" s="411"/>
    </row>
    <row r="345" spans="1:21" s="412" customFormat="1">
      <c r="A345" s="1112">
        <f t="shared" si="32"/>
        <v>46599</v>
      </c>
      <c r="B345" s="1113">
        <f t="shared" si="30"/>
        <v>2028</v>
      </c>
      <c r="C345" s="1281"/>
      <c r="D345" s="1281"/>
      <c r="E345" s="1114">
        <f>IF($A345&lt;DATE(2018,7,1),"-",INDEX('I1 - Universal Data'!$E$16:$V$16, MATCH(YEAR(EOMONTH($A345,6)), 'I1 - Universal Data'!$E$14:$V$14, 0)))</f>
        <v>0.02</v>
      </c>
      <c r="F345" s="1114">
        <f>IF($A345&lt;DATE(2018,7,1),"-",INDEX('I1 - Universal Data'!$E$15:$V$15, MATCH(YEAR(EOMONTH($A345,6)), 'I1 - Universal Data'!$E$14:$V$14, 0)))</f>
        <v>0.03</v>
      </c>
      <c r="G345" s="1115">
        <f t="shared" si="33"/>
        <v>139.40981023130533</v>
      </c>
      <c r="H345" s="1115">
        <f t="shared" si="33"/>
        <v>416.83478047917657</v>
      </c>
      <c r="T345" s="114"/>
      <c r="U345" s="411"/>
    </row>
    <row r="346" spans="1:21" s="412" customFormat="1">
      <c r="A346" s="1112">
        <f t="shared" si="32"/>
        <v>46630</v>
      </c>
      <c r="B346" s="1113">
        <f t="shared" si="30"/>
        <v>2028</v>
      </c>
      <c r="C346" s="1281"/>
      <c r="D346" s="1281"/>
      <c r="E346" s="1114">
        <f>IF($A346&lt;DATE(2018,7,1),"-",INDEX('I1 - Universal Data'!$E$16:$V$16, MATCH(YEAR(EOMONTH($A346,6)), 'I1 - Universal Data'!$E$14:$V$14, 0)))</f>
        <v>0.02</v>
      </c>
      <c r="F346" s="1114">
        <f>IF($A346&lt;DATE(2018,7,1),"-",INDEX('I1 - Universal Data'!$E$15:$V$15, MATCH(YEAR(EOMONTH($A346,6)), 'I1 - Universal Data'!$E$14:$V$14, 0)))</f>
        <v>0.03</v>
      </c>
      <c r="G346" s="1115">
        <f t="shared" si="33"/>
        <v>139.64005686718761</v>
      </c>
      <c r="H346" s="1115">
        <f t="shared" si="33"/>
        <v>417.86280749831718</v>
      </c>
      <c r="T346" s="114"/>
      <c r="U346" s="411"/>
    </row>
    <row r="347" spans="1:21" s="412" customFormat="1">
      <c r="A347" s="1112">
        <f t="shared" si="32"/>
        <v>46660</v>
      </c>
      <c r="B347" s="1113">
        <f t="shared" si="30"/>
        <v>2028</v>
      </c>
      <c r="C347" s="1281"/>
      <c r="D347" s="1281"/>
      <c r="E347" s="1114">
        <f>IF($A347&lt;DATE(2018,7,1),"-",INDEX('I1 - Universal Data'!$E$16:$V$16, MATCH(YEAR(EOMONTH($A347,6)), 'I1 - Universal Data'!$E$14:$V$14, 0)))</f>
        <v>0.02</v>
      </c>
      <c r="F347" s="1114">
        <f>IF($A347&lt;DATE(2018,7,1),"-",INDEX('I1 - Universal Data'!$E$15:$V$15, MATCH(YEAR(EOMONTH($A347,6)), 'I1 - Universal Data'!$E$14:$V$14, 0)))</f>
        <v>0.03</v>
      </c>
      <c r="G347" s="1115">
        <f t="shared" si="33"/>
        <v>139.87068377410853</v>
      </c>
      <c r="H347" s="1115">
        <f t="shared" si="33"/>
        <v>418.89336990942024</v>
      </c>
      <c r="T347" s="114"/>
      <c r="U347" s="411"/>
    </row>
    <row r="348" spans="1:21" s="412" customFormat="1">
      <c r="A348" s="1112">
        <f t="shared" si="32"/>
        <v>46691</v>
      </c>
      <c r="B348" s="1113">
        <f t="shared" si="30"/>
        <v>2028</v>
      </c>
      <c r="C348" s="1281"/>
      <c r="D348" s="1281"/>
      <c r="E348" s="1114">
        <f>IF($A348&lt;DATE(2018,7,1),"-",INDEX('I1 - Universal Data'!$E$16:$V$16, MATCH(YEAR(EOMONTH($A348,6)), 'I1 - Universal Data'!$E$14:$V$14, 0)))</f>
        <v>0.02</v>
      </c>
      <c r="F348" s="1114">
        <f>IF($A348&lt;DATE(2018,7,1),"-",INDEX('I1 - Universal Data'!$E$15:$V$15, MATCH(YEAR(EOMONTH($A348,6)), 'I1 - Universal Data'!$E$14:$V$14, 0)))</f>
        <v>0.03</v>
      </c>
      <c r="G348" s="1115">
        <f t="shared" si="33"/>
        <v>140.10169158011664</v>
      </c>
      <c r="H348" s="1115">
        <f t="shared" si="33"/>
        <v>419.92647396544629</v>
      </c>
      <c r="T348" s="114"/>
      <c r="U348" s="411"/>
    </row>
    <row r="349" spans="1:21" s="412" customFormat="1">
      <c r="A349" s="1112">
        <f t="shared" si="32"/>
        <v>46721</v>
      </c>
      <c r="B349" s="1113">
        <f t="shared" si="30"/>
        <v>2028</v>
      </c>
      <c r="C349" s="1281"/>
      <c r="D349" s="1281"/>
      <c r="E349" s="1114">
        <f>IF($A349&lt;DATE(2018,7,1),"-",INDEX('I1 - Universal Data'!$E$16:$V$16, MATCH(YEAR(EOMONTH($A349,6)), 'I1 - Universal Data'!$E$14:$V$14, 0)))</f>
        <v>0.02</v>
      </c>
      <c r="F349" s="1114">
        <f>IF($A349&lt;DATE(2018,7,1),"-",INDEX('I1 - Universal Data'!$E$15:$V$15, MATCH(YEAR(EOMONTH($A349,6)), 'I1 - Universal Data'!$E$14:$V$14, 0)))</f>
        <v>0.03</v>
      </c>
      <c r="G349" s="1115">
        <f t="shared" si="33"/>
        <v>140.33308091429774</v>
      </c>
      <c r="H349" s="1115">
        <f t="shared" si="33"/>
        <v>420.96212593477736</v>
      </c>
      <c r="T349" s="114"/>
      <c r="U349" s="411"/>
    </row>
    <row r="350" spans="1:21" s="412" customFormat="1">
      <c r="A350" s="1112">
        <f t="shared" si="32"/>
        <v>46752</v>
      </c>
      <c r="B350" s="1113">
        <f t="shared" si="30"/>
        <v>2028</v>
      </c>
      <c r="C350" s="1281"/>
      <c r="D350" s="1281"/>
      <c r="E350" s="1114">
        <f>IF($A350&lt;DATE(2018,7,1),"-",INDEX('I1 - Universal Data'!$E$16:$V$16, MATCH(YEAR(EOMONTH($A350,6)), 'I1 - Universal Data'!$E$14:$V$14, 0)))</f>
        <v>0.02</v>
      </c>
      <c r="F350" s="1114">
        <f>IF($A350&lt;DATE(2018,7,1),"-",INDEX('I1 - Universal Data'!$E$15:$V$15, MATCH(YEAR(EOMONTH($A350,6)), 'I1 - Universal Data'!$E$14:$V$14, 0)))</f>
        <v>0.03</v>
      </c>
      <c r="G350" s="1115">
        <f t="shared" si="33"/>
        <v>140.56485240677665</v>
      </c>
      <c r="H350" s="1115">
        <f t="shared" si="33"/>
        <v>422.00033210125503</v>
      </c>
      <c r="T350" s="114"/>
      <c r="U350" s="411"/>
    </row>
    <row r="351" spans="1:21" s="412" customFormat="1">
      <c r="A351" s="1112">
        <f t="shared" si="32"/>
        <v>46783</v>
      </c>
      <c r="B351" s="1113">
        <f t="shared" si="30"/>
        <v>2028</v>
      </c>
      <c r="C351" s="1281"/>
      <c r="D351" s="1281"/>
      <c r="E351" s="1114">
        <f>IF($A351&lt;DATE(2018,7,1),"-",INDEX('I1 - Universal Data'!$E$16:$V$16, MATCH(YEAR(EOMONTH($A351,6)), 'I1 - Universal Data'!$E$14:$V$14, 0)))</f>
        <v>0.02</v>
      </c>
      <c r="F351" s="1114">
        <f>IF($A351&lt;DATE(2018,7,1),"-",INDEX('I1 - Universal Data'!$E$15:$V$15, MATCH(YEAR(EOMONTH($A351,6)), 'I1 - Universal Data'!$E$14:$V$14, 0)))</f>
        <v>0.03</v>
      </c>
      <c r="G351" s="1115">
        <f t="shared" si="33"/>
        <v>140.79700668871885</v>
      </c>
      <c r="H351" s="1115">
        <f t="shared" si="33"/>
        <v>423.04109876421848</v>
      </c>
      <c r="T351" s="114"/>
      <c r="U351" s="411"/>
    </row>
    <row r="352" spans="1:21" s="412" customFormat="1">
      <c r="A352" s="1112">
        <f t="shared" si="32"/>
        <v>46812</v>
      </c>
      <c r="B352" s="1113">
        <f t="shared" si="30"/>
        <v>2028</v>
      </c>
      <c r="C352" s="1281"/>
      <c r="D352" s="1281"/>
      <c r="E352" s="1114">
        <f>IF($A352&lt;DATE(2018,7,1),"-",INDEX('I1 - Universal Data'!$E$16:$V$16, MATCH(YEAR(EOMONTH($A352,6)), 'I1 - Universal Data'!$E$14:$V$14, 0)))</f>
        <v>0.02</v>
      </c>
      <c r="F352" s="1114">
        <f>IF($A352&lt;DATE(2018,7,1),"-",INDEX('I1 - Universal Data'!$E$15:$V$15, MATCH(YEAR(EOMONTH($A352,6)), 'I1 - Universal Data'!$E$14:$V$14, 0)))</f>
        <v>0.03</v>
      </c>
      <c r="G352" s="1115">
        <f t="shared" si="33"/>
        <v>141.02954439233227</v>
      </c>
      <c r="H352" s="1115">
        <f t="shared" si="33"/>
        <v>424.08443223854283</v>
      </c>
      <c r="T352" s="114"/>
      <c r="U352" s="411"/>
    </row>
    <row r="353" spans="1:21" s="412" customFormat="1">
      <c r="A353" s="1112">
        <f t="shared" si="32"/>
        <v>46843</v>
      </c>
      <c r="B353" s="1113">
        <f t="shared" si="30"/>
        <v>2028</v>
      </c>
      <c r="C353" s="1281"/>
      <c r="D353" s="1281"/>
      <c r="E353" s="1114">
        <f>IF($A353&lt;DATE(2018,7,1),"-",INDEX('I1 - Universal Data'!$E$16:$V$16, MATCH(YEAR(EOMONTH($A353,6)), 'I1 - Universal Data'!$E$14:$V$14, 0)))</f>
        <v>0.02</v>
      </c>
      <c r="F353" s="1114">
        <f>IF($A353&lt;DATE(2018,7,1),"-",INDEX('I1 - Universal Data'!$E$15:$V$15, MATCH(YEAR(EOMONTH($A353,6)), 'I1 - Universal Data'!$E$14:$V$14, 0)))</f>
        <v>0.03</v>
      </c>
      <c r="G353" s="1115">
        <f t="shared" si="33"/>
        <v>141.26246615086896</v>
      </c>
      <c r="H353" s="1115">
        <f t="shared" si="33"/>
        <v>425.13033885467735</v>
      </c>
      <c r="T353" s="114"/>
      <c r="U353" s="411"/>
    </row>
    <row r="354" spans="1:21" s="412" customFormat="1">
      <c r="A354" s="1112">
        <f t="shared" si="32"/>
        <v>46873</v>
      </c>
      <c r="B354" s="1113">
        <f t="shared" si="30"/>
        <v>2029</v>
      </c>
      <c r="C354" s="1281"/>
      <c r="D354" s="1281"/>
      <c r="E354" s="1114">
        <f>IF($A354&lt;DATE(2018,7,1),"-",INDEX('I1 - Universal Data'!$E$16:$V$16, MATCH(YEAR(EOMONTH($A354,6)), 'I1 - Universal Data'!$E$14:$V$14, 0)))</f>
        <v>0.02</v>
      </c>
      <c r="F354" s="1114">
        <f>IF($A354&lt;DATE(2018,7,1),"-",INDEX('I1 - Universal Data'!$E$15:$V$15, MATCH(YEAR(EOMONTH($A354,6)), 'I1 - Universal Data'!$E$14:$V$14, 0)))</f>
        <v>0.03</v>
      </c>
      <c r="G354" s="1115">
        <f t="shared" si="33"/>
        <v>141.49577259862687</v>
      </c>
      <c r="H354" s="1115">
        <f t="shared" si="33"/>
        <v>426.17882495868389</v>
      </c>
      <c r="T354" s="114"/>
      <c r="U354" s="411"/>
    </row>
    <row r="355" spans="1:21" s="412" customFormat="1">
      <c r="A355" s="1112">
        <f t="shared" si="32"/>
        <v>46904</v>
      </c>
      <c r="B355" s="1113">
        <f t="shared" si="30"/>
        <v>2029</v>
      </c>
      <c r="C355" s="1281"/>
      <c r="D355" s="1281"/>
      <c r="E355" s="1114">
        <f>IF($A355&lt;DATE(2018,7,1),"-",INDEX('I1 - Universal Data'!$E$16:$V$16, MATCH(YEAR(EOMONTH($A355,6)), 'I1 - Universal Data'!$E$14:$V$14, 0)))</f>
        <v>0.02</v>
      </c>
      <c r="F355" s="1114">
        <f>IF($A355&lt;DATE(2018,7,1),"-",INDEX('I1 - Universal Data'!$E$15:$V$15, MATCH(YEAR(EOMONTH($A355,6)), 'I1 - Universal Data'!$E$14:$V$14, 0)))</f>
        <v>0.03</v>
      </c>
      <c r="G355" s="1115">
        <f t="shared" si="33"/>
        <v>141.72946437095152</v>
      </c>
      <c r="H355" s="1115">
        <f t="shared" si="33"/>
        <v>427.22989691227542</v>
      </c>
      <c r="T355" s="114"/>
      <c r="U355" s="411"/>
    </row>
    <row r="356" spans="1:21" s="412" customFormat="1">
      <c r="A356" s="1112">
        <f t="shared" si="32"/>
        <v>46934</v>
      </c>
      <c r="B356" s="1113">
        <f t="shared" si="30"/>
        <v>2029</v>
      </c>
      <c r="C356" s="1281"/>
      <c r="D356" s="1281"/>
      <c r="E356" s="1114">
        <f>IF($A356&lt;DATE(2018,7,1),"-",INDEX('I1 - Universal Data'!$E$16:$V$16, MATCH(YEAR(EOMONTH($A356,6)), 'I1 - Universal Data'!$E$14:$V$14, 0)))</f>
        <v>0.02</v>
      </c>
      <c r="F356" s="1114">
        <f>IF($A356&lt;DATE(2018,7,1),"-",INDEX('I1 - Universal Data'!$E$15:$V$15, MATCH(YEAR(EOMONTH($A356,6)), 'I1 - Universal Data'!$E$14:$V$14, 0)))</f>
        <v>0.03</v>
      </c>
      <c r="G356" s="1115">
        <f t="shared" si="33"/>
        <v>141.96354210423775</v>
      </c>
      <c r="H356" s="1115">
        <f t="shared" si="33"/>
        <v>428.2835610928546</v>
      </c>
      <c r="T356" s="114"/>
      <c r="U356" s="411"/>
    </row>
    <row r="357" spans="1:21">
      <c r="A357" s="1112">
        <f t="shared" si="32"/>
        <v>46965</v>
      </c>
      <c r="B357" s="1113">
        <f t="shared" si="30"/>
        <v>2029</v>
      </c>
      <c r="C357" s="1281"/>
      <c r="D357" s="1281"/>
      <c r="E357" s="1114">
        <f>IF($A357&lt;DATE(2018,7,1),"-",INDEX('I1 - Universal Data'!$E$16:$V$16, MATCH(YEAR(EOMONTH($A357,6)), 'I1 - Universal Data'!$E$14:$V$14, 0)))</f>
        <v>0.02</v>
      </c>
      <c r="F357" s="1114">
        <f>IF($A357&lt;DATE(2018,7,1),"-",INDEX('I1 - Universal Data'!$E$15:$V$15, MATCH(YEAR(EOMONTH($A357,6)), 'I1 - Universal Data'!$E$14:$V$14, 0)))</f>
        <v>0.03</v>
      </c>
      <c r="G357" s="1115">
        <f t="shared" si="33"/>
        <v>142.19800643593146</v>
      </c>
      <c r="H357" s="1115">
        <f t="shared" si="33"/>
        <v>429.33982389355248</v>
      </c>
    </row>
    <row r="358" spans="1:21">
      <c r="A358" s="1112">
        <f t="shared" si="32"/>
        <v>46996</v>
      </c>
      <c r="B358" s="1113">
        <f t="shared" si="30"/>
        <v>2029</v>
      </c>
      <c r="C358" s="1281"/>
      <c r="D358" s="1281"/>
      <c r="E358" s="1114">
        <f>IF($A358&lt;DATE(2018,7,1),"-",INDEX('I1 - Universal Data'!$E$16:$V$16, MATCH(YEAR(EOMONTH($A358,6)), 'I1 - Universal Data'!$E$14:$V$14, 0)))</f>
        <v>0.02</v>
      </c>
      <c r="F358" s="1114">
        <f>IF($A358&lt;DATE(2018,7,1),"-",INDEX('I1 - Universal Data'!$E$15:$V$15, MATCH(YEAR(EOMONTH($A358,6)), 'I1 - Universal Data'!$E$14:$V$14, 0)))</f>
        <v>0.03</v>
      </c>
      <c r="G358" s="1115">
        <f t="shared" ref="G358:H373" si="34">IF(ISBLANK(C358),G357*((1+E358)^(1/12)),C358)</f>
        <v>142.43285800453137</v>
      </c>
      <c r="H358" s="1115">
        <f t="shared" si="34"/>
        <v>430.39869172326735</v>
      </c>
    </row>
    <row r="359" spans="1:21">
      <c r="A359" s="1112">
        <f t="shared" si="32"/>
        <v>47026</v>
      </c>
      <c r="B359" s="1113">
        <f t="shared" si="30"/>
        <v>2029</v>
      </c>
      <c r="C359" s="1281"/>
      <c r="D359" s="1281"/>
      <c r="E359" s="1114">
        <f>IF($A359&lt;DATE(2018,7,1),"-",INDEX('I1 - Universal Data'!$E$16:$V$16, MATCH(YEAR(EOMONTH($A359,6)), 'I1 - Universal Data'!$E$14:$V$14, 0)))</f>
        <v>0.02</v>
      </c>
      <c r="F359" s="1114">
        <f>IF($A359&lt;DATE(2018,7,1),"-",INDEX('I1 - Universal Data'!$E$15:$V$15, MATCH(YEAR(EOMONTH($A359,6)), 'I1 - Universal Data'!$E$14:$V$14, 0)))</f>
        <v>0.03</v>
      </c>
      <c r="G359" s="1115">
        <f t="shared" si="34"/>
        <v>142.6680974495907</v>
      </c>
      <c r="H359" s="1115">
        <f t="shared" si="34"/>
        <v>431.46017100670349</v>
      </c>
    </row>
    <row r="360" spans="1:21">
      <c r="A360" s="1112">
        <f t="shared" si="32"/>
        <v>47057</v>
      </c>
      <c r="B360" s="1113">
        <f t="shared" si="30"/>
        <v>2029</v>
      </c>
      <c r="C360" s="1281"/>
      <c r="D360" s="1281"/>
      <c r="E360" s="1114">
        <f>IF($A360&lt;DATE(2018,7,1),"-",INDEX('I1 - Universal Data'!$E$16:$V$16, MATCH(YEAR(EOMONTH($A360,6)), 'I1 - Universal Data'!$E$14:$V$14, 0)))</f>
        <v>0.02</v>
      </c>
      <c r="F360" s="1114">
        <f>IF($A360&lt;DATE(2018,7,1),"-",INDEX('I1 - Universal Data'!$E$15:$V$15, MATCH(YEAR(EOMONTH($A360,6)), 'I1 - Universal Data'!$E$14:$V$14, 0)))</f>
        <v>0.03</v>
      </c>
      <c r="G360" s="1115">
        <f t="shared" si="34"/>
        <v>142.90372541171897</v>
      </c>
      <c r="H360" s="1115">
        <f t="shared" si="34"/>
        <v>432.52426818441029</v>
      </c>
    </row>
    <row r="361" spans="1:21">
      <c r="A361" s="1112">
        <f t="shared" si="32"/>
        <v>47087</v>
      </c>
      <c r="B361" s="1113">
        <f t="shared" si="30"/>
        <v>2029</v>
      </c>
      <c r="C361" s="1281"/>
      <c r="D361" s="1281"/>
      <c r="E361" s="1114">
        <f>IF($A361&lt;DATE(2018,7,1),"-",INDEX('I1 - Universal Data'!$E$16:$V$16, MATCH(YEAR(EOMONTH($A361,6)), 'I1 - Universal Data'!$E$14:$V$14, 0)))</f>
        <v>0.02</v>
      </c>
      <c r="F361" s="1114">
        <f>IF($A361&lt;DATE(2018,7,1),"-",INDEX('I1 - Universal Data'!$E$15:$V$15, MATCH(YEAR(EOMONTH($A361,6)), 'I1 - Universal Data'!$E$14:$V$14, 0)))</f>
        <v>0.03</v>
      </c>
      <c r="G361" s="1115">
        <f t="shared" si="34"/>
        <v>143.13974253258371</v>
      </c>
      <c r="H361" s="1115">
        <f t="shared" si="34"/>
        <v>433.59098971282128</v>
      </c>
    </row>
    <row r="362" spans="1:21">
      <c r="A362" s="1112">
        <f t="shared" si="32"/>
        <v>47118</v>
      </c>
      <c r="B362" s="1113">
        <f t="shared" si="30"/>
        <v>2029</v>
      </c>
      <c r="C362" s="1281"/>
      <c r="D362" s="1281"/>
      <c r="E362" s="1114">
        <f>IF($A362&lt;DATE(2018,7,1),"-",INDEX('I1 - Universal Data'!$E$16:$V$16, MATCH(YEAR(EOMONTH($A362,6)), 'I1 - Universal Data'!$E$14:$V$14, 0)))</f>
        <v>0.02</v>
      </c>
      <c r="F362" s="1114">
        <f>IF($A362&lt;DATE(2018,7,1),"-",INDEX('I1 - Universal Data'!$E$15:$V$15, MATCH(YEAR(EOMONTH($A362,6)), 'I1 - Universal Data'!$E$14:$V$14, 0)))</f>
        <v>0.03</v>
      </c>
      <c r="G362" s="1115">
        <f t="shared" si="34"/>
        <v>143.37614945491219</v>
      </c>
      <c r="H362" s="1115">
        <f t="shared" si="34"/>
        <v>434.66034206429327</v>
      </c>
    </row>
    <row r="363" spans="1:21">
      <c r="A363" s="1112">
        <f t="shared" si="32"/>
        <v>47149</v>
      </c>
      <c r="B363" s="1113">
        <f t="shared" si="30"/>
        <v>2029</v>
      </c>
      <c r="C363" s="1281"/>
      <c r="D363" s="1281"/>
      <c r="E363" s="1114">
        <f>IF($A363&lt;DATE(2018,7,1),"-",INDEX('I1 - Universal Data'!$E$16:$V$16, MATCH(YEAR(EOMONTH($A363,6)), 'I1 - Universal Data'!$E$14:$V$14, 0)))</f>
        <v>0.02</v>
      </c>
      <c r="F363" s="1114">
        <f>IF($A363&lt;DATE(2018,7,1),"-",INDEX('I1 - Universal Data'!$E$15:$V$15, MATCH(YEAR(EOMONTH($A363,6)), 'I1 - Universal Data'!$E$14:$V$14, 0)))</f>
        <v>0.03</v>
      </c>
      <c r="G363" s="1115">
        <f t="shared" si="34"/>
        <v>143.61294682249326</v>
      </c>
      <c r="H363" s="1115">
        <f t="shared" si="34"/>
        <v>435.73233172714561</v>
      </c>
    </row>
    <row r="364" spans="1:21">
      <c r="A364" s="1112">
        <f t="shared" si="32"/>
        <v>47177</v>
      </c>
      <c r="B364" s="1113">
        <f t="shared" si="30"/>
        <v>2029</v>
      </c>
      <c r="C364" s="1281"/>
      <c r="D364" s="1281"/>
      <c r="E364" s="1114">
        <f>IF($A364&lt;DATE(2018,7,1),"-",INDEX('I1 - Universal Data'!$E$16:$V$16, MATCH(YEAR(EOMONTH($A364,6)), 'I1 - Universal Data'!$E$14:$V$14, 0)))</f>
        <v>0.02</v>
      </c>
      <c r="F364" s="1114">
        <f>IF($A364&lt;DATE(2018,7,1),"-",INDEX('I1 - Universal Data'!$E$15:$V$15, MATCH(YEAR(EOMONTH($A364,6)), 'I1 - Universal Data'!$E$14:$V$14, 0)))</f>
        <v>0.03</v>
      </c>
      <c r="G364" s="1115">
        <f t="shared" si="34"/>
        <v>143.85013528017896</v>
      </c>
      <c r="H364" s="1115">
        <f t="shared" si="34"/>
        <v>436.80696520569967</v>
      </c>
    </row>
    <row r="365" spans="1:21">
      <c r="A365" s="1112">
        <f t="shared" si="32"/>
        <v>47208</v>
      </c>
      <c r="B365" s="1113">
        <f t="shared" si="30"/>
        <v>2029</v>
      </c>
      <c r="C365" s="1281"/>
      <c r="D365" s="1281"/>
      <c r="E365" s="1114">
        <f>IF($A365&lt;DATE(2018,7,1),"-",INDEX('I1 - Universal Data'!$E$16:$V$16, MATCH(YEAR(EOMONTH($A365,6)), 'I1 - Universal Data'!$E$14:$V$14, 0)))</f>
        <v>0.02</v>
      </c>
      <c r="F365" s="1114">
        <f>IF($A365&lt;DATE(2018,7,1),"-",INDEX('I1 - Universal Data'!$E$15:$V$15, MATCH(YEAR(EOMONTH($A365,6)), 'I1 - Universal Data'!$E$14:$V$14, 0)))</f>
        <v>0.03</v>
      </c>
      <c r="G365" s="1115">
        <f t="shared" si="34"/>
        <v>144.08771547388639</v>
      </c>
      <c r="H365" s="1115">
        <f t="shared" si="34"/>
        <v>437.88424902031818</v>
      </c>
    </row>
    <row r="366" spans="1:21">
      <c r="A366" s="1112">
        <f t="shared" si="32"/>
        <v>47238</v>
      </c>
      <c r="B366" s="1113">
        <f t="shared" si="30"/>
        <v>2030</v>
      </c>
      <c r="C366" s="1281"/>
      <c r="D366" s="1281"/>
      <c r="E366" s="1114">
        <f>IF($A366&lt;DATE(2018,7,1),"-",INDEX('I1 - Universal Data'!$E$16:$V$16, MATCH(YEAR(EOMONTH($A366,6)), 'I1 - Universal Data'!$E$14:$V$14, 0)))</f>
        <v>0.02</v>
      </c>
      <c r="F366" s="1114">
        <f>IF($A366&lt;DATE(2018,7,1),"-",INDEX('I1 - Universal Data'!$E$15:$V$15, MATCH(YEAR(EOMONTH($A366,6)), 'I1 - Universal Data'!$E$14:$V$14, 0)))</f>
        <v>0.03</v>
      </c>
      <c r="G366" s="1115">
        <f t="shared" si="34"/>
        <v>144.32568805059947</v>
      </c>
      <c r="H366" s="1115">
        <f t="shared" si="34"/>
        <v>438.96418970744492</v>
      </c>
    </row>
    <row r="367" spans="1:21">
      <c r="A367" s="1112">
        <f t="shared" si="32"/>
        <v>47269</v>
      </c>
      <c r="B367" s="1113">
        <f t="shared" si="30"/>
        <v>2030</v>
      </c>
      <c r="C367" s="1281"/>
      <c r="D367" s="1281"/>
      <c r="E367" s="1114">
        <f>IF($A367&lt;DATE(2018,7,1),"-",INDEX('I1 - Universal Data'!$E$16:$V$16, MATCH(YEAR(EOMONTH($A367,6)), 'I1 - Universal Data'!$E$14:$V$14, 0)))</f>
        <v>0.02</v>
      </c>
      <c r="F367" s="1114">
        <f>IF($A367&lt;DATE(2018,7,1),"-",INDEX('I1 - Universal Data'!$E$15:$V$15, MATCH(YEAR(EOMONTH($A367,6)), 'I1 - Universal Data'!$E$14:$V$14, 0)))</f>
        <v>0.03</v>
      </c>
      <c r="G367" s="1115">
        <f t="shared" si="34"/>
        <v>144.5640536583706</v>
      </c>
      <c r="H367" s="1115">
        <f t="shared" si="34"/>
        <v>440.04679381964417</v>
      </c>
    </row>
    <row r="368" spans="1:21">
      <c r="A368" s="1112">
        <f t="shared" si="32"/>
        <v>47299</v>
      </c>
      <c r="B368" s="1113">
        <f t="shared" si="30"/>
        <v>2030</v>
      </c>
      <c r="C368" s="1281"/>
      <c r="D368" s="1281"/>
      <c r="E368" s="1114">
        <f>IF($A368&lt;DATE(2018,7,1),"-",INDEX('I1 - Universal Data'!$E$16:$V$16, MATCH(YEAR(EOMONTH($A368,6)), 'I1 - Universal Data'!$E$14:$V$14, 0)))</f>
        <v>0.02</v>
      </c>
      <c r="F368" s="1114">
        <f>IF($A368&lt;DATE(2018,7,1),"-",INDEX('I1 - Universal Data'!$E$15:$V$15, MATCH(YEAR(EOMONTH($A368,6)), 'I1 - Universal Data'!$E$14:$V$14, 0)))</f>
        <v>0.03</v>
      </c>
      <c r="G368" s="1115">
        <f t="shared" si="34"/>
        <v>144.80281294632255</v>
      </c>
      <c r="H368" s="1115">
        <f t="shared" si="34"/>
        <v>441.13206792564068</v>
      </c>
    </row>
    <row r="369" spans="1:8">
      <c r="A369" s="1112">
        <f t="shared" si="32"/>
        <v>47330</v>
      </c>
      <c r="B369" s="1113">
        <f t="shared" si="30"/>
        <v>2030</v>
      </c>
      <c r="C369" s="1281"/>
      <c r="D369" s="1281"/>
      <c r="E369" s="1114">
        <f>IF($A369&lt;DATE(2018,7,1),"-",INDEX('I1 - Universal Data'!$E$16:$V$16, MATCH(YEAR(EOMONTH($A369,6)), 'I1 - Universal Data'!$E$14:$V$14, 0)))</f>
        <v>0.02</v>
      </c>
      <c r="F369" s="1114">
        <f>IF($A369&lt;DATE(2018,7,1),"-",INDEX('I1 - Universal Data'!$E$15:$V$15, MATCH(YEAR(EOMONTH($A369,6)), 'I1 - Universal Data'!$E$14:$V$14, 0)))</f>
        <v>0.03</v>
      </c>
      <c r="G369" s="1115">
        <f t="shared" si="34"/>
        <v>145.04196656465015</v>
      </c>
      <c r="H369" s="1115">
        <f t="shared" si="34"/>
        <v>442.22001861035949</v>
      </c>
    </row>
    <row r="370" spans="1:8">
      <c r="A370" s="1112">
        <f t="shared" si="32"/>
        <v>47361</v>
      </c>
      <c r="B370" s="1113">
        <f t="shared" si="30"/>
        <v>2030</v>
      </c>
      <c r="C370" s="1281"/>
      <c r="D370" s="1281"/>
      <c r="E370" s="1114">
        <f>IF($A370&lt;DATE(2018,7,1),"-",INDEX('I1 - Universal Data'!$E$16:$V$16, MATCH(YEAR(EOMONTH($A370,6)), 'I1 - Universal Data'!$E$14:$V$14, 0)))</f>
        <v>0.02</v>
      </c>
      <c r="F370" s="1114">
        <f>IF($A370&lt;DATE(2018,7,1),"-",INDEX('I1 - Universal Data'!$E$15:$V$15, MATCH(YEAR(EOMONTH($A370,6)), 'I1 - Universal Data'!$E$14:$V$14, 0)))</f>
        <v>0.03</v>
      </c>
      <c r="G370" s="1115">
        <f t="shared" si="34"/>
        <v>145.28151516462208</v>
      </c>
      <c r="H370" s="1115">
        <f t="shared" si="34"/>
        <v>443.31065247496576</v>
      </c>
    </row>
    <row r="371" spans="1:8">
      <c r="A371" s="1112">
        <f t="shared" si="32"/>
        <v>47391</v>
      </c>
      <c r="B371" s="1113">
        <f t="shared" si="30"/>
        <v>2030</v>
      </c>
      <c r="C371" s="1281"/>
      <c r="D371" s="1281"/>
      <c r="E371" s="1114">
        <f>IF($A371&lt;DATE(2018,7,1),"-",INDEX('I1 - Universal Data'!$E$16:$V$16, MATCH(YEAR(EOMONTH($A371,6)), 'I1 - Universal Data'!$E$14:$V$14, 0)))</f>
        <v>0.02</v>
      </c>
      <c r="F371" s="1114">
        <f>IF($A371&lt;DATE(2018,7,1),"-",INDEX('I1 - Universal Data'!$E$15:$V$15, MATCH(YEAR(EOMONTH($A371,6)), 'I1 - Universal Data'!$E$14:$V$14, 0)))</f>
        <v>0.03</v>
      </c>
      <c r="G371" s="1115">
        <f t="shared" si="34"/>
        <v>145.52145939858261</v>
      </c>
      <c r="H371" s="1115">
        <f t="shared" si="34"/>
        <v>444.40397613690499</v>
      </c>
    </row>
    <row r="372" spans="1:8">
      <c r="A372" s="1112">
        <f t="shared" si="32"/>
        <v>47422</v>
      </c>
      <c r="B372" s="1113">
        <f t="shared" si="30"/>
        <v>2030</v>
      </c>
      <c r="C372" s="1281"/>
      <c r="D372" s="1281"/>
      <c r="E372" s="1114">
        <f>IF($A372&lt;DATE(2018,7,1),"-",INDEX('I1 - Universal Data'!$E$16:$V$16, MATCH(YEAR(EOMONTH($A372,6)), 'I1 - Universal Data'!$E$14:$V$14, 0)))</f>
        <v>0.02</v>
      </c>
      <c r="F372" s="1114">
        <f>IF($A372&lt;DATE(2018,7,1),"-",INDEX('I1 - Universal Data'!$E$15:$V$15, MATCH(YEAR(EOMONTH($A372,6)), 'I1 - Universal Data'!$E$14:$V$14, 0)))</f>
        <v>0.03</v>
      </c>
      <c r="G372" s="1115">
        <f t="shared" si="34"/>
        <v>145.76179991995346</v>
      </c>
      <c r="H372" s="1115">
        <f t="shared" si="34"/>
        <v>445.49999622994301</v>
      </c>
    </row>
    <row r="373" spans="1:8">
      <c r="A373" s="1112">
        <f t="shared" si="32"/>
        <v>47452</v>
      </c>
      <c r="B373" s="1113">
        <f t="shared" si="30"/>
        <v>2030</v>
      </c>
      <c r="C373" s="1281"/>
      <c r="D373" s="1281"/>
      <c r="E373" s="1114">
        <f>IF($A373&lt;DATE(2018,7,1),"-",INDEX('I1 - Universal Data'!$E$16:$V$16, MATCH(YEAR(EOMONTH($A373,6)), 'I1 - Universal Data'!$E$14:$V$14, 0)))</f>
        <v>0.02</v>
      </c>
      <c r="F373" s="1114">
        <f>IF($A373&lt;DATE(2018,7,1),"-",INDEX('I1 - Universal Data'!$E$15:$V$15, MATCH(YEAR(EOMONTH($A373,6)), 'I1 - Universal Data'!$E$14:$V$14, 0)))</f>
        <v>0.03</v>
      </c>
      <c r="G373" s="1115">
        <f t="shared" si="34"/>
        <v>146.00253738323551</v>
      </c>
      <c r="H373" s="1115">
        <f t="shared" si="34"/>
        <v>446.59871940420635</v>
      </c>
    </row>
    <row r="374" spans="1:8">
      <c r="A374" s="1112">
        <f t="shared" si="32"/>
        <v>47483</v>
      </c>
      <c r="B374" s="1113">
        <f t="shared" si="30"/>
        <v>2030</v>
      </c>
      <c r="C374" s="1281"/>
      <c r="D374" s="1281"/>
      <c r="E374" s="1114">
        <f>IF($A374&lt;DATE(2018,7,1),"-",INDEX('I1 - Universal Data'!$E$16:$V$16, MATCH(YEAR(EOMONTH($A374,6)), 'I1 - Universal Data'!$E$14:$V$14, 0)))</f>
        <v>0.02</v>
      </c>
      <c r="F374" s="1114">
        <f>IF($A374&lt;DATE(2018,7,1),"-",INDEX('I1 - Universal Data'!$E$15:$V$15, MATCH(YEAR(EOMONTH($A374,6)), 'I1 - Universal Data'!$E$14:$V$14, 0)))</f>
        <v>0.03</v>
      </c>
      <c r="G374" s="1115">
        <f t="shared" ref="G374:H389" si="35">IF(ISBLANK(C374),G373*((1+E374)^(1/12)),C374)</f>
        <v>146.24367244401057</v>
      </c>
      <c r="H374" s="1115">
        <f t="shared" si="35"/>
        <v>447.70015232622245</v>
      </c>
    </row>
    <row r="375" spans="1:8">
      <c r="A375" s="1112">
        <f t="shared" si="32"/>
        <v>47514</v>
      </c>
      <c r="B375" s="1113">
        <f t="shared" si="30"/>
        <v>2030</v>
      </c>
      <c r="C375" s="1281"/>
      <c r="D375" s="1281"/>
      <c r="E375" s="1114">
        <f>IF($A375&lt;DATE(2018,7,1),"-",INDEX('I1 - Universal Data'!$E$16:$V$16, MATCH(YEAR(EOMONTH($A375,6)), 'I1 - Universal Data'!$E$14:$V$14, 0)))</f>
        <v>0.02</v>
      </c>
      <c r="F375" s="1114">
        <f>IF($A375&lt;DATE(2018,7,1),"-",INDEX('I1 - Universal Data'!$E$15:$V$15, MATCH(YEAR(EOMONTH($A375,6)), 'I1 - Universal Data'!$E$14:$V$14, 0)))</f>
        <v>0.03</v>
      </c>
      <c r="G375" s="1115">
        <f t="shared" si="35"/>
        <v>146.48520575894324</v>
      </c>
      <c r="H375" s="1115">
        <f t="shared" si="35"/>
        <v>448.80430167896037</v>
      </c>
    </row>
    <row r="376" spans="1:8">
      <c r="A376" s="1112">
        <f t="shared" si="32"/>
        <v>47542</v>
      </c>
      <c r="B376" s="1113">
        <f t="shared" si="30"/>
        <v>2030</v>
      </c>
      <c r="C376" s="1281"/>
      <c r="D376" s="1281"/>
      <c r="E376" s="1114">
        <f>IF($A376&lt;DATE(2018,7,1),"-",INDEX('I1 - Universal Data'!$E$16:$V$16, MATCH(YEAR(EOMONTH($A376,6)), 'I1 - Universal Data'!$E$14:$V$14, 0)))</f>
        <v>0.02</v>
      </c>
      <c r="F376" s="1114">
        <f>IF($A376&lt;DATE(2018,7,1),"-",INDEX('I1 - Universal Data'!$E$15:$V$15, MATCH(YEAR(EOMONTH($A376,6)), 'I1 - Universal Data'!$E$14:$V$14, 0)))</f>
        <v>0.03</v>
      </c>
      <c r="G376" s="1115">
        <f t="shared" si="35"/>
        <v>146.72713798578263</v>
      </c>
      <c r="H376" s="1115">
        <f t="shared" si="35"/>
        <v>449.91117416187103</v>
      </c>
    </row>
    <row r="377" spans="1:8">
      <c r="A377" s="1112">
        <f t="shared" si="32"/>
        <v>47573</v>
      </c>
      <c r="B377" s="1113">
        <f t="shared" si="30"/>
        <v>2030</v>
      </c>
      <c r="C377" s="1281"/>
      <c r="D377" s="1281"/>
      <c r="E377" s="1114">
        <f>IF($A377&lt;DATE(2018,7,1),"-",INDEX('I1 - Universal Data'!$E$16:$V$16, MATCH(YEAR(EOMONTH($A377,6)), 'I1 - Universal Data'!$E$14:$V$14, 0)))</f>
        <v>0.02</v>
      </c>
      <c r="F377" s="1114">
        <f>IF($A377&lt;DATE(2018,7,1),"-",INDEX('I1 - Universal Data'!$E$15:$V$15, MATCH(YEAR(EOMONTH($A377,6)), 'I1 - Universal Data'!$E$14:$V$14, 0)))</f>
        <v>0.03</v>
      </c>
      <c r="G377" s="1115">
        <f t="shared" si="35"/>
        <v>146.96946978336422</v>
      </c>
      <c r="H377" s="1115">
        <f t="shared" si="35"/>
        <v>451.02077649092809</v>
      </c>
    </row>
    <row r="378" spans="1:8">
      <c r="A378" s="1112">
        <f t="shared" si="32"/>
        <v>47603</v>
      </c>
      <c r="B378" s="1113">
        <f t="shared" si="30"/>
        <v>2031</v>
      </c>
      <c r="C378" s="1281"/>
      <c r="D378" s="1281"/>
      <c r="E378" s="1114">
        <f>IF($A378&lt;DATE(2018,7,1),"-",INDEX('I1 - Universal Data'!$E$16:$V$16, MATCH(YEAR(EOMONTH($A378,6)), 'I1 - Universal Data'!$E$14:$V$14, 0)))</f>
        <v>0.02</v>
      </c>
      <c r="F378" s="1114">
        <f>IF($A378&lt;DATE(2018,7,1),"-",INDEX('I1 - Universal Data'!$E$15:$V$15, MATCH(YEAR(EOMONTH($A378,6)), 'I1 - Universal Data'!$E$14:$V$14, 0)))</f>
        <v>0.03</v>
      </c>
      <c r="G378" s="1115">
        <f t="shared" si="35"/>
        <v>147.21220181161155</v>
      </c>
      <c r="H378" s="1115">
        <f t="shared" si="35"/>
        <v>452.13311539866862</v>
      </c>
    </row>
    <row r="379" spans="1:8">
      <c r="A379" s="1112">
        <f t="shared" si="32"/>
        <v>47634</v>
      </c>
      <c r="B379" s="1113">
        <f t="shared" si="30"/>
        <v>2031</v>
      </c>
      <c r="C379" s="1281"/>
      <c r="D379" s="1281"/>
      <c r="E379" s="1114">
        <f>IF($A379&lt;DATE(2018,7,1),"-",INDEX('I1 - Universal Data'!$E$16:$V$16, MATCH(YEAR(EOMONTH($A379,6)), 'I1 - Universal Data'!$E$14:$V$14, 0)))</f>
        <v>0.02</v>
      </c>
      <c r="F379" s="1114">
        <f>IF($A379&lt;DATE(2018,7,1),"-",INDEX('I1 - Universal Data'!$E$15:$V$15, MATCH(YEAR(EOMONTH($A379,6)), 'I1 - Universal Data'!$E$14:$V$14, 0)))</f>
        <v>0.03</v>
      </c>
      <c r="G379" s="1115">
        <f t="shared" si="35"/>
        <v>147.4553347315381</v>
      </c>
      <c r="H379" s="1115">
        <f t="shared" si="35"/>
        <v>453.24819763423386</v>
      </c>
    </row>
    <row r="380" spans="1:8">
      <c r="A380" s="1112">
        <f t="shared" si="32"/>
        <v>47664</v>
      </c>
      <c r="B380" s="1113">
        <f t="shared" si="30"/>
        <v>2031</v>
      </c>
      <c r="C380" s="1281"/>
      <c r="D380" s="1281"/>
      <c r="E380" s="1114">
        <f>IF($A380&lt;DATE(2018,7,1),"-",INDEX('I1 - Universal Data'!$E$16:$V$16, MATCH(YEAR(EOMONTH($A380,6)), 'I1 - Universal Data'!$E$14:$V$14, 0)))</f>
        <v>0.02</v>
      </c>
      <c r="F380" s="1114">
        <f>IF($A380&lt;DATE(2018,7,1),"-",INDEX('I1 - Universal Data'!$E$15:$V$15, MATCH(YEAR(EOMONTH($A380,6)), 'I1 - Universal Data'!$E$14:$V$14, 0)))</f>
        <v>0.03</v>
      </c>
      <c r="G380" s="1115">
        <f t="shared" si="35"/>
        <v>147.69886920524911</v>
      </c>
      <c r="H380" s="1115">
        <f t="shared" si="35"/>
        <v>454.36602996341031</v>
      </c>
    </row>
    <row r="381" spans="1:8">
      <c r="A381" s="1112">
        <f t="shared" si="32"/>
        <v>47695</v>
      </c>
      <c r="B381" s="1113">
        <f t="shared" si="30"/>
        <v>2031</v>
      </c>
      <c r="C381" s="1281"/>
      <c r="D381" s="1281"/>
      <c r="E381" s="1114">
        <f>IF($A381&lt;DATE(2018,7,1),"-",INDEX('I1 - Universal Data'!$E$16:$V$16, MATCH(YEAR(EOMONTH($A381,6)), 'I1 - Universal Data'!$E$14:$V$14, 0)))</f>
        <v>0.02</v>
      </c>
      <c r="F381" s="1114">
        <f>IF($A381&lt;DATE(2018,7,1),"-",INDEX('I1 - Universal Data'!$E$15:$V$15, MATCH(YEAR(EOMONTH($A381,6)), 'I1 - Universal Data'!$E$14:$V$14, 0)))</f>
        <v>0.03</v>
      </c>
      <c r="G381" s="1115">
        <f t="shared" si="35"/>
        <v>147.94280589594325</v>
      </c>
      <c r="H381" s="1115">
        <f t="shared" si="35"/>
        <v>455.4866191686707</v>
      </c>
    </row>
    <row r="382" spans="1:8">
      <c r="A382" s="1112">
        <f t="shared" si="32"/>
        <v>47726</v>
      </c>
      <c r="B382" s="1113">
        <f t="shared" si="30"/>
        <v>2031</v>
      </c>
      <c r="C382" s="1281"/>
      <c r="D382" s="1281"/>
      <c r="E382" s="1114">
        <f>IF($A382&lt;DATE(2018,7,1),"-",INDEX('I1 - Universal Data'!$E$16:$V$16, MATCH(YEAR(EOMONTH($A382,6)), 'I1 - Universal Data'!$E$14:$V$14, 0)))</f>
        <v>0.02</v>
      </c>
      <c r="F382" s="1114">
        <f>IF($A382&lt;DATE(2018,7,1),"-",INDEX('I1 - Universal Data'!$E$15:$V$15, MATCH(YEAR(EOMONTH($A382,6)), 'I1 - Universal Data'!$E$14:$V$14, 0)))</f>
        <v>0.03</v>
      </c>
      <c r="G382" s="1115">
        <f t="shared" si="35"/>
        <v>148.1871454679146</v>
      </c>
      <c r="H382" s="1115">
        <f t="shared" si="35"/>
        <v>456.60997204921517</v>
      </c>
    </row>
    <row r="383" spans="1:8">
      <c r="A383" s="1112">
        <f t="shared" si="32"/>
        <v>47756</v>
      </c>
      <c r="B383" s="1113">
        <f t="shared" si="30"/>
        <v>2031</v>
      </c>
      <c r="C383" s="1281"/>
      <c r="D383" s="1281"/>
      <c r="E383" s="1114">
        <f>IF($A383&lt;DATE(2018,7,1),"-",INDEX('I1 - Universal Data'!$E$16:$V$16, MATCH(YEAR(EOMONTH($A383,6)), 'I1 - Universal Data'!$E$14:$V$14, 0)))</f>
        <v>0.02</v>
      </c>
      <c r="F383" s="1114">
        <f>IF($A383&lt;DATE(2018,7,1),"-",INDEX('I1 - Universal Data'!$E$15:$V$15, MATCH(YEAR(EOMONTH($A383,6)), 'I1 - Universal Data'!$E$14:$V$14, 0)))</f>
        <v>0.03</v>
      </c>
      <c r="G383" s="1115">
        <f t="shared" si="35"/>
        <v>148.43188858655435</v>
      </c>
      <c r="H383" s="1115">
        <f t="shared" si="35"/>
        <v>457.73609542101258</v>
      </c>
    </row>
    <row r="384" spans="1:8">
      <c r="A384" s="1112">
        <f t="shared" si="32"/>
        <v>47787</v>
      </c>
      <c r="B384" s="1113">
        <f t="shared" si="30"/>
        <v>2031</v>
      </c>
      <c r="C384" s="1281"/>
      <c r="D384" s="1281"/>
      <c r="E384" s="1114">
        <f>IF($A384&lt;DATE(2018,7,1),"-",INDEX('I1 - Universal Data'!$E$16:$V$16, MATCH(YEAR(EOMONTH($A384,6)), 'I1 - Universal Data'!$E$14:$V$14, 0)))</f>
        <v>0.02</v>
      </c>
      <c r="F384" s="1114">
        <f>IF($A384&lt;DATE(2018,7,1),"-",INDEX('I1 - Universal Data'!$E$15:$V$15, MATCH(YEAR(EOMONTH($A384,6)), 'I1 - Universal Data'!$E$14:$V$14, 0)))</f>
        <v>0.03</v>
      </c>
      <c r="G384" s="1115">
        <f t="shared" si="35"/>
        <v>148.6770359183526</v>
      </c>
      <c r="H384" s="1115">
        <f t="shared" si="35"/>
        <v>458.86499611684172</v>
      </c>
    </row>
    <row r="385" spans="1:8">
      <c r="A385" s="1112">
        <f t="shared" si="32"/>
        <v>47817</v>
      </c>
      <c r="B385" s="1113">
        <f t="shared" si="30"/>
        <v>2031</v>
      </c>
      <c r="C385" s="1281"/>
      <c r="D385" s="1281"/>
      <c r="E385" s="1114">
        <f>IF($A385&lt;DATE(2018,7,1),"-",INDEX('I1 - Universal Data'!$E$16:$V$16, MATCH(YEAR(EOMONTH($A385,6)), 'I1 - Universal Data'!$E$14:$V$14, 0)))</f>
        <v>0.02</v>
      </c>
      <c r="F385" s="1114">
        <f>IF($A385&lt;DATE(2018,7,1),"-",INDEX('I1 - Universal Data'!$E$15:$V$15, MATCH(YEAR(EOMONTH($A385,6)), 'I1 - Universal Data'!$E$14:$V$14, 0)))</f>
        <v>0.03</v>
      </c>
      <c r="G385" s="1115">
        <f t="shared" si="35"/>
        <v>148.92258813090027</v>
      </c>
      <c r="H385" s="1115">
        <f t="shared" si="35"/>
        <v>459.99668098633293</v>
      </c>
    </row>
    <row r="386" spans="1:8">
      <c r="A386" s="1112">
        <f t="shared" si="32"/>
        <v>47848</v>
      </c>
      <c r="B386" s="1113">
        <f t="shared" si="30"/>
        <v>2031</v>
      </c>
      <c r="C386" s="1281"/>
      <c r="D386" s="1281"/>
      <c r="E386" s="1114">
        <f>IF($A386&lt;DATE(2018,7,1),"-",INDEX('I1 - Universal Data'!$E$16:$V$16, MATCH(YEAR(EOMONTH($A386,6)), 'I1 - Universal Data'!$E$14:$V$14, 0)))</f>
        <v>0.02</v>
      </c>
      <c r="F386" s="1114">
        <f>IF($A386&lt;DATE(2018,7,1),"-",INDEX('I1 - Universal Data'!$E$15:$V$15, MATCH(YEAR(EOMONTH($A386,6)), 'I1 - Universal Data'!$E$14:$V$14, 0)))</f>
        <v>0.03</v>
      </c>
      <c r="G386" s="1115">
        <f t="shared" si="35"/>
        <v>149.16854589289082</v>
      </c>
      <c r="H386" s="1115">
        <f t="shared" si="35"/>
        <v>461.13115689600954</v>
      </c>
    </row>
    <row r="387" spans="1:8">
      <c r="A387" s="1112">
        <f t="shared" si="32"/>
        <v>47879</v>
      </c>
      <c r="B387" s="1113">
        <f t="shared" si="30"/>
        <v>2031</v>
      </c>
      <c r="C387" s="1281"/>
      <c r="D387" s="1281"/>
      <c r="E387" s="1114">
        <f>IF($A387&lt;DATE(2018,7,1),"-",INDEX('I1 - Universal Data'!$E$16:$V$16, MATCH(YEAR(EOMONTH($A387,6)), 'I1 - Universal Data'!$E$14:$V$14, 0)))</f>
        <v>0.02</v>
      </c>
      <c r="F387" s="1114">
        <f>IF($A387&lt;DATE(2018,7,1),"-",INDEX('I1 - Universal Data'!$E$15:$V$15, MATCH(YEAR(EOMONTH($A387,6)), 'I1 - Universal Data'!$E$14:$V$14, 0)))</f>
        <v>0.03</v>
      </c>
      <c r="G387" s="1115">
        <f t="shared" si="35"/>
        <v>149.41490987412215</v>
      </c>
      <c r="H387" s="1115">
        <f t="shared" si="35"/>
        <v>462.26843072932962</v>
      </c>
    </row>
    <row r="388" spans="1:8">
      <c r="A388" s="1112">
        <f t="shared" si="32"/>
        <v>47907</v>
      </c>
      <c r="B388" s="1113">
        <f t="shared" si="30"/>
        <v>2031</v>
      </c>
      <c r="C388" s="1281"/>
      <c r="D388" s="1281"/>
      <c r="E388" s="1114">
        <f>IF($A388&lt;DATE(2018,7,1),"-",INDEX('I1 - Universal Data'!$E$16:$V$16, MATCH(YEAR(EOMONTH($A388,6)), 'I1 - Universal Data'!$E$14:$V$14, 0)))</f>
        <v>0.02</v>
      </c>
      <c r="F388" s="1114">
        <f>IF($A388&lt;DATE(2018,7,1),"-",INDEX('I1 - Universal Data'!$E$15:$V$15, MATCH(YEAR(EOMONTH($A388,6)), 'I1 - Universal Data'!$E$14:$V$14, 0)))</f>
        <v>0.03</v>
      </c>
      <c r="G388" s="1115">
        <f t="shared" si="35"/>
        <v>149.66168074549833</v>
      </c>
      <c r="H388" s="1115">
        <f t="shared" si="35"/>
        <v>463.40850938672764</v>
      </c>
    </row>
    <row r="389" spans="1:8">
      <c r="A389" s="1112">
        <f t="shared" si="32"/>
        <v>47938</v>
      </c>
      <c r="B389" s="1113">
        <f t="shared" si="30"/>
        <v>2031</v>
      </c>
      <c r="C389" s="1281"/>
      <c r="D389" s="1281"/>
      <c r="E389" s="1114">
        <f>IF($A389&lt;DATE(2018,7,1),"-",INDEX('I1 - Universal Data'!$E$16:$V$16, MATCH(YEAR(EOMONTH($A389,6)), 'I1 - Universal Data'!$E$14:$V$14, 0)))</f>
        <v>0.02</v>
      </c>
      <c r="F389" s="1114">
        <f>IF($A389&lt;DATE(2018,7,1),"-",INDEX('I1 - Universal Data'!$E$15:$V$15, MATCH(YEAR(EOMONTH($A389,6)), 'I1 - Universal Data'!$E$14:$V$14, 0)))</f>
        <v>0.03</v>
      </c>
      <c r="G389" s="1115">
        <f t="shared" si="35"/>
        <v>149.90885917903154</v>
      </c>
      <c r="H389" s="1115">
        <f t="shared" si="35"/>
        <v>464.55139978565643</v>
      </c>
    </row>
    <row r="390" spans="1:8">
      <c r="A390" s="1112">
        <f t="shared" si="32"/>
        <v>47968</v>
      </c>
      <c r="B390" s="1113">
        <f t="shared" ref="B390:B413" si="36">IF(MONTH(A390)&gt;=4,YEAR(A390)+1,YEAR(A390))</f>
        <v>2032</v>
      </c>
      <c r="C390" s="1281"/>
      <c r="D390" s="1281"/>
      <c r="E390" s="1114">
        <f>IF($A390&lt;DATE(2018,7,1),"-",INDEX('I1 - Universal Data'!$E$16:$V$16, MATCH(YEAR(EOMONTH($A390,6)), 'I1 - Universal Data'!$E$14:$V$14, 0)))</f>
        <v>0.02</v>
      </c>
      <c r="F390" s="1114">
        <f>IF($A390&lt;DATE(2018,7,1),"-",INDEX('I1 - Universal Data'!$E$15:$V$15, MATCH(YEAR(EOMONTH($A390,6)), 'I1 - Universal Data'!$E$14:$V$14, 0)))</f>
        <v>0.03</v>
      </c>
      <c r="G390" s="1115">
        <f t="shared" ref="G390:H405" si="37">IF(ISBLANK(C390),G389*((1+E390)^(1/12)),C390)</f>
        <v>150.15644584784383</v>
      </c>
      <c r="H390" s="1115">
        <f t="shared" si="37"/>
        <v>465.69710886062916</v>
      </c>
    </row>
    <row r="391" spans="1:8">
      <c r="A391" s="1112">
        <f t="shared" ref="A391:A413" si="38">IF(MONTH(A390) = 12, EOMONTH(DATE(YEAR(A390) + 1, 1, 1), 0), EOMONTH(DATE(YEAR(A390), MONTH(A390) + 1, 1), 0))</f>
        <v>47999</v>
      </c>
      <c r="B391" s="1113">
        <f t="shared" si="36"/>
        <v>2032</v>
      </c>
      <c r="C391" s="1281"/>
      <c r="D391" s="1281"/>
      <c r="E391" s="1114">
        <f>IF($A391&lt;DATE(2018,7,1),"-",INDEX('I1 - Universal Data'!$E$16:$V$16, MATCH(YEAR(EOMONTH($A391,6)), 'I1 - Universal Data'!$E$14:$V$14, 0)))</f>
        <v>0.02</v>
      </c>
      <c r="F391" s="1114">
        <f>IF($A391&lt;DATE(2018,7,1),"-",INDEX('I1 - Universal Data'!$E$15:$V$15, MATCH(YEAR(EOMONTH($A391,6)), 'I1 - Universal Data'!$E$14:$V$14, 0)))</f>
        <v>0.03</v>
      </c>
      <c r="G391" s="1115">
        <f t="shared" si="37"/>
        <v>150.40444142616892</v>
      </c>
      <c r="H391" s="1115">
        <f t="shared" si="37"/>
        <v>466.84564356326132</v>
      </c>
    </row>
    <row r="392" spans="1:8">
      <c r="A392" s="1112">
        <f t="shared" si="38"/>
        <v>48029</v>
      </c>
      <c r="B392" s="1113">
        <f t="shared" si="36"/>
        <v>2032</v>
      </c>
      <c r="C392" s="1281"/>
      <c r="D392" s="1281"/>
      <c r="E392" s="1114">
        <f>IF($A392&lt;DATE(2018,7,1),"-",INDEX('I1 - Universal Data'!$E$16:$V$16, MATCH(YEAR(EOMONTH($A392,6)), 'I1 - Universal Data'!$E$14:$V$14, 0)))</f>
        <v>0.02</v>
      </c>
      <c r="F392" s="1114">
        <f>IF($A392&lt;DATE(2018,7,1),"-",INDEX('I1 - Universal Data'!$E$15:$V$15, MATCH(YEAR(EOMONTH($A392,6)), 'I1 - Universal Data'!$E$14:$V$14, 0)))</f>
        <v>0.03</v>
      </c>
      <c r="G392" s="1115">
        <f t="shared" si="37"/>
        <v>150.65284658935414</v>
      </c>
      <c r="H392" s="1115">
        <f t="shared" si="37"/>
        <v>467.99701086231306</v>
      </c>
    </row>
    <row r="393" spans="1:8">
      <c r="A393" s="1112">
        <f t="shared" si="38"/>
        <v>48060</v>
      </c>
      <c r="B393" s="1113">
        <f t="shared" si="36"/>
        <v>2032</v>
      </c>
      <c r="C393" s="1281"/>
      <c r="D393" s="1281"/>
      <c r="E393" s="1114">
        <f>IF($A393&lt;DATE(2018,7,1),"-",INDEX('I1 - Universal Data'!$E$16:$V$16, MATCH(YEAR(EOMONTH($A393,6)), 'I1 - Universal Data'!$E$14:$V$14, 0)))</f>
        <v>0.02</v>
      </c>
      <c r="F393" s="1114">
        <f>IF($A393&lt;DATE(2018,7,1),"-",INDEX('I1 - Universal Data'!$E$15:$V$15, MATCH(YEAR(EOMONTH($A393,6)), 'I1 - Universal Data'!$E$14:$V$14, 0)))</f>
        <v>0.03</v>
      </c>
      <c r="G393" s="1115">
        <f t="shared" si="37"/>
        <v>150.90166201386216</v>
      </c>
      <c r="H393" s="1115">
        <f t="shared" si="37"/>
        <v>469.15121774373125</v>
      </c>
    </row>
    <row r="394" spans="1:8">
      <c r="A394" s="1112">
        <f t="shared" si="38"/>
        <v>48091</v>
      </c>
      <c r="B394" s="1113">
        <f t="shared" si="36"/>
        <v>2032</v>
      </c>
      <c r="C394" s="1281"/>
      <c r="D394" s="1281"/>
      <c r="E394" s="1114">
        <f>IF($A394&lt;DATE(2018,7,1),"-",INDEX('I1 - Universal Data'!$E$16:$V$16, MATCH(YEAR(EOMONTH($A394,6)), 'I1 - Universal Data'!$E$14:$V$14, 0)))</f>
        <v>0.02</v>
      </c>
      <c r="F394" s="1114">
        <f>IF($A394&lt;DATE(2018,7,1),"-",INDEX('I1 - Universal Data'!$E$15:$V$15, MATCH(YEAR(EOMONTH($A394,6)), 'I1 - Universal Data'!$E$14:$V$14, 0)))</f>
        <v>0.03</v>
      </c>
      <c r="G394" s="1115">
        <f t="shared" si="37"/>
        <v>151.15088837727293</v>
      </c>
      <c r="H394" s="1115">
        <f t="shared" si="37"/>
        <v>470.30827121069206</v>
      </c>
    </row>
    <row r="395" spans="1:8">
      <c r="A395" s="1112">
        <f t="shared" si="38"/>
        <v>48121</v>
      </c>
      <c r="B395" s="1113">
        <f t="shared" si="36"/>
        <v>2032</v>
      </c>
      <c r="C395" s="1281"/>
      <c r="D395" s="1281"/>
      <c r="E395" s="1114">
        <f>IF($A395&lt;DATE(2018,7,1),"-",INDEX('I1 - Universal Data'!$E$16:$V$16, MATCH(YEAR(EOMONTH($A395,6)), 'I1 - Universal Data'!$E$14:$V$14, 0)))</f>
        <v>0.02</v>
      </c>
      <c r="F395" s="1114">
        <f>IF($A395&lt;DATE(2018,7,1),"-",INDEX('I1 - Universal Data'!$E$15:$V$15, MATCH(YEAR(EOMONTH($A395,6)), 'I1 - Universal Data'!$E$14:$V$14, 0)))</f>
        <v>0.03</v>
      </c>
      <c r="G395" s="1115">
        <f t="shared" si="37"/>
        <v>151.40052635828548</v>
      </c>
      <c r="H395" s="1115">
        <f t="shared" si="37"/>
        <v>471.4681782836434</v>
      </c>
    </row>
    <row r="396" spans="1:8">
      <c r="A396" s="1112">
        <f t="shared" si="38"/>
        <v>48152</v>
      </c>
      <c r="B396" s="1113">
        <f t="shared" si="36"/>
        <v>2032</v>
      </c>
      <c r="C396" s="1281"/>
      <c r="D396" s="1281"/>
      <c r="E396" s="1114">
        <f>IF($A396&lt;DATE(2018,7,1),"-",INDEX('I1 - Universal Data'!$E$16:$V$16, MATCH(YEAR(EOMONTH($A396,6)), 'I1 - Universal Data'!$E$14:$V$14, 0)))</f>
        <v>0.02</v>
      </c>
      <c r="F396" s="1114">
        <f>IF($A396&lt;DATE(2018,7,1),"-",INDEX('I1 - Universal Data'!$E$15:$V$15, MATCH(YEAR(EOMONTH($A396,6)), 'I1 - Universal Data'!$E$14:$V$14, 0)))</f>
        <v>0.03</v>
      </c>
      <c r="G396" s="1115">
        <f t="shared" si="37"/>
        <v>151.65057663671971</v>
      </c>
      <c r="H396" s="1115">
        <f t="shared" si="37"/>
        <v>472.63094600034742</v>
      </c>
    </row>
    <row r="397" spans="1:8">
      <c r="A397" s="1112">
        <f t="shared" si="38"/>
        <v>48182</v>
      </c>
      <c r="B397" s="1113">
        <f t="shared" si="36"/>
        <v>2032</v>
      </c>
      <c r="C397" s="1281"/>
      <c r="D397" s="1281"/>
      <c r="E397" s="1114">
        <f>IF($A397&lt;DATE(2018,7,1),"-",INDEX('I1 - Universal Data'!$E$16:$V$16, MATCH(YEAR(EOMONTH($A397,6)), 'I1 - Universal Data'!$E$14:$V$14, 0)))</f>
        <v>0.02</v>
      </c>
      <c r="F397" s="1114">
        <f>IF($A397&lt;DATE(2018,7,1),"-",INDEX('I1 - Universal Data'!$E$15:$V$15, MATCH(YEAR(EOMONTH($A397,6)), 'I1 - Universal Data'!$E$14:$V$14, 0)))</f>
        <v>0.03</v>
      </c>
      <c r="G397" s="1115">
        <f t="shared" si="37"/>
        <v>151.90103989351834</v>
      </c>
      <c r="H397" s="1115">
        <f t="shared" si="37"/>
        <v>473.79658141592336</v>
      </c>
    </row>
    <row r="398" spans="1:8">
      <c r="A398" s="1112">
        <f t="shared" si="38"/>
        <v>48213</v>
      </c>
      <c r="B398" s="1113">
        <f t="shared" si="36"/>
        <v>2032</v>
      </c>
      <c r="C398" s="1281"/>
      <c r="D398" s="1281"/>
      <c r="E398" s="1114">
        <f>IF($A398&lt;DATE(2018,7,1),"-",INDEX('I1 - Universal Data'!$E$16:$V$16, MATCH(YEAR(EOMONTH($A398,6)), 'I1 - Universal Data'!$E$14:$V$14, 0)))</f>
        <v>0.02</v>
      </c>
      <c r="F398" s="1114">
        <f>IF($A398&lt;DATE(2018,7,1),"-",INDEX('I1 - Universal Data'!$E$15:$V$15, MATCH(YEAR(EOMONTH($A398,6)), 'I1 - Universal Data'!$E$14:$V$14, 0)))</f>
        <v>0.03</v>
      </c>
      <c r="G398" s="1115">
        <f t="shared" si="37"/>
        <v>152.15191681074873</v>
      </c>
      <c r="H398" s="1115">
        <f t="shared" si="37"/>
        <v>474.96509160289025</v>
      </c>
    </row>
    <row r="399" spans="1:8">
      <c r="A399" s="1112">
        <f t="shared" si="38"/>
        <v>48244</v>
      </c>
      <c r="B399" s="1113">
        <f t="shared" si="36"/>
        <v>2032</v>
      </c>
      <c r="C399" s="1281"/>
      <c r="D399" s="1281"/>
      <c r="E399" s="1114">
        <f>IF($A399&lt;DATE(2018,7,1),"-",INDEX('I1 - Universal Data'!$E$16:$V$16, MATCH(YEAR(EOMONTH($A399,6)), 'I1 - Universal Data'!$E$14:$V$14, 0)))</f>
        <v>0.02</v>
      </c>
      <c r="F399" s="1114">
        <f>IF($A399&lt;DATE(2018,7,1),"-",INDEX('I1 - Universal Data'!$E$15:$V$15, MATCH(YEAR(EOMONTH($A399,6)), 'I1 - Universal Data'!$E$14:$V$14, 0)))</f>
        <v>0.03</v>
      </c>
      <c r="G399" s="1115">
        <f t="shared" si="37"/>
        <v>152.40320807160469</v>
      </c>
      <c r="H399" s="1115">
        <f t="shared" si="37"/>
        <v>476.13648365120991</v>
      </c>
    </row>
    <row r="400" spans="1:8">
      <c r="A400" s="1112">
        <f t="shared" si="38"/>
        <v>48273</v>
      </c>
      <c r="B400" s="1113">
        <f t="shared" si="36"/>
        <v>2032</v>
      </c>
      <c r="C400" s="1281"/>
      <c r="D400" s="1281"/>
      <c r="E400" s="1114">
        <f>IF($A400&lt;DATE(2018,7,1),"-",INDEX('I1 - Universal Data'!$E$16:$V$16, MATCH(YEAR(EOMONTH($A400,6)), 'I1 - Universal Data'!$E$14:$V$14, 0)))</f>
        <v>0.02</v>
      </c>
      <c r="F400" s="1114">
        <f>IF($A400&lt;DATE(2018,7,1),"-",INDEX('I1 - Universal Data'!$E$15:$V$15, MATCH(YEAR(EOMONTH($A400,6)), 'I1 - Universal Data'!$E$14:$V$14, 0)))</f>
        <v>0.03</v>
      </c>
      <c r="G400" s="1115">
        <f t="shared" si="37"/>
        <v>152.65491436040841</v>
      </c>
      <c r="H400" s="1115">
        <f t="shared" si="37"/>
        <v>477.31076466832985</v>
      </c>
    </row>
    <row r="401" spans="1:8">
      <c r="A401" s="1112">
        <f t="shared" si="38"/>
        <v>48304</v>
      </c>
      <c r="B401" s="1113">
        <f t="shared" si="36"/>
        <v>2032</v>
      </c>
      <c r="C401" s="1281"/>
      <c r="D401" s="1281"/>
      <c r="E401" s="1114">
        <f>IF($A401&lt;DATE(2018,7,1),"-",INDEX('I1 - Universal Data'!$E$16:$V$16, MATCH(YEAR(EOMONTH($A401,6)), 'I1 - Universal Data'!$E$14:$V$14, 0)))</f>
        <v>0.02</v>
      </c>
      <c r="F401" s="1114">
        <f>IF($A401&lt;DATE(2018,7,1),"-",INDEX('I1 - Universal Data'!$E$15:$V$15, MATCH(YEAR(EOMONTH($A401,6)), 'I1 - Universal Data'!$E$14:$V$14, 0)))</f>
        <v>0.03</v>
      </c>
      <c r="G401" s="1115">
        <f t="shared" si="37"/>
        <v>152.9070363626123</v>
      </c>
      <c r="H401" s="1115">
        <f t="shared" si="37"/>
        <v>478.4879417792265</v>
      </c>
    </row>
    <row r="402" spans="1:8">
      <c r="A402" s="1112">
        <f t="shared" si="38"/>
        <v>48334</v>
      </c>
      <c r="B402" s="1113">
        <f t="shared" si="36"/>
        <v>2033</v>
      </c>
      <c r="C402" s="1281"/>
      <c r="D402" s="1281"/>
      <c r="E402" s="1114">
        <f>IF($A402&lt;DATE(2018,7,1),"-",INDEX('I1 - Universal Data'!$E$16:$V$16, MATCH(YEAR(EOMONTH($A402,6)), 'I1 - Universal Data'!$E$14:$V$14, 0)))</f>
        <v>0.02</v>
      </c>
      <c r="F402" s="1114">
        <f>IF($A402&lt;DATE(2018,7,1),"-",INDEX('I1 - Universal Data'!$E$15:$V$15, MATCH(YEAR(EOMONTH($A402,6)), 'I1 - Universal Data'!$E$14:$V$14, 0)))</f>
        <v>0.03</v>
      </c>
      <c r="G402" s="1115">
        <f t="shared" si="37"/>
        <v>153.15957476480082</v>
      </c>
      <c r="H402" s="1115">
        <f t="shared" si="37"/>
        <v>479.66802212644842</v>
      </c>
    </row>
    <row r="403" spans="1:8">
      <c r="A403" s="1112">
        <f t="shared" si="38"/>
        <v>48365</v>
      </c>
      <c r="B403" s="1113">
        <f t="shared" si="36"/>
        <v>2033</v>
      </c>
      <c r="C403" s="1281"/>
      <c r="D403" s="1281"/>
      <c r="E403" s="1114">
        <f>IF($A403&lt;DATE(2018,7,1),"-",INDEX('I1 - Universal Data'!$E$16:$V$16, MATCH(YEAR(EOMONTH($A403,6)), 'I1 - Universal Data'!$E$14:$V$14, 0)))</f>
        <v>0.02</v>
      </c>
      <c r="F403" s="1114">
        <f>IF($A403&lt;DATE(2018,7,1),"-",INDEX('I1 - Universal Data'!$E$15:$V$15, MATCH(YEAR(EOMONTH($A403,6)), 'I1 - Universal Data'!$E$14:$V$14, 0)))</f>
        <v>0.03</v>
      </c>
      <c r="G403" s="1115">
        <f t="shared" si="37"/>
        <v>153.41253025469243</v>
      </c>
      <c r="H403" s="1115">
        <f t="shared" si="37"/>
        <v>480.85101287015959</v>
      </c>
    </row>
    <row r="404" spans="1:8">
      <c r="A404" s="1112">
        <f t="shared" si="38"/>
        <v>48395</v>
      </c>
      <c r="B404" s="1113">
        <f t="shared" si="36"/>
        <v>2033</v>
      </c>
      <c r="C404" s="1281"/>
      <c r="D404" s="1281"/>
      <c r="E404" s="1114">
        <f>IF($A404&lt;DATE(2018,7,1),"-",INDEX('I1 - Universal Data'!$E$16:$V$16, MATCH(YEAR(EOMONTH($A404,6)), 'I1 - Universal Data'!$E$14:$V$14, 0)))</f>
        <v>0.02</v>
      </c>
      <c r="F404" s="1114">
        <f>IF($A404&lt;DATE(2018,7,1),"-",INDEX('I1 - Universal Data'!$E$15:$V$15, MATCH(YEAR(EOMONTH($A404,6)), 'I1 - Universal Data'!$E$14:$V$14, 0)))</f>
        <v>0.03</v>
      </c>
      <c r="G404" s="1115">
        <f t="shared" si="37"/>
        <v>153.66590352114136</v>
      </c>
      <c r="H404" s="1115">
        <f t="shared" si="37"/>
        <v>482.03692118818287</v>
      </c>
    </row>
    <row r="405" spans="1:8">
      <c r="A405" s="1112">
        <f t="shared" si="38"/>
        <v>48426</v>
      </c>
      <c r="B405" s="1113">
        <f t="shared" si="36"/>
        <v>2033</v>
      </c>
      <c r="C405" s="1281"/>
      <c r="D405" s="1281"/>
      <c r="E405" s="1114">
        <f>IF($A405&lt;DATE(2018,7,1),"-",INDEX('I1 - Universal Data'!$E$16:$V$16, MATCH(YEAR(EOMONTH($A405,6)), 'I1 - Universal Data'!$E$14:$V$14, 0)))</f>
        <v>0.02</v>
      </c>
      <c r="F405" s="1114">
        <f>IF($A405&lt;DATE(2018,7,1),"-",INDEX('I1 - Universal Data'!$E$15:$V$15, MATCH(YEAR(EOMONTH($A405,6)), 'I1 - Universal Data'!$E$14:$V$14, 0)))</f>
        <v>0.03</v>
      </c>
      <c r="G405" s="1115">
        <f t="shared" si="37"/>
        <v>153.91969525413955</v>
      </c>
      <c r="H405" s="1115">
        <f t="shared" si="37"/>
        <v>483.22575427604363</v>
      </c>
    </row>
    <row r="406" spans="1:8">
      <c r="A406" s="1112">
        <f t="shared" si="38"/>
        <v>48457</v>
      </c>
      <c r="B406" s="1113">
        <f t="shared" si="36"/>
        <v>2033</v>
      </c>
      <c r="C406" s="1281"/>
      <c r="D406" s="1281"/>
      <c r="E406" s="1114">
        <f>IF($A406&lt;DATE(2018,7,1),"-",INDEX('I1 - Universal Data'!$E$16:$V$16, MATCH(YEAR(EOMONTH($A406,6)), 'I1 - Universal Data'!$E$14:$V$14, 0)))</f>
        <v>0.02</v>
      </c>
      <c r="F406" s="1114">
        <f>IF($A406&lt;DATE(2018,7,1),"-",INDEX('I1 - Universal Data'!$E$15:$V$15, MATCH(YEAR(EOMONTH($A406,6)), 'I1 - Universal Data'!$E$14:$V$14, 0)))</f>
        <v>0.03</v>
      </c>
      <c r="G406" s="1115">
        <f t="shared" ref="G406:H413" si="39">IF(ISBLANK(C406),G405*((1+E406)^(1/12)),C406)</f>
        <v>154.17390614481855</v>
      </c>
      <c r="H406" s="1115">
        <f t="shared" si="39"/>
        <v>484.4175193470133</v>
      </c>
    </row>
    <row r="407" spans="1:8">
      <c r="A407" s="1112">
        <f t="shared" si="38"/>
        <v>48487</v>
      </c>
      <c r="B407" s="1113">
        <f t="shared" si="36"/>
        <v>2033</v>
      </c>
      <c r="C407" s="1281"/>
      <c r="D407" s="1281"/>
      <c r="E407" s="1114">
        <f>IF($A407&lt;DATE(2018,7,1),"-",INDEX('I1 - Universal Data'!$E$16:$V$16, MATCH(YEAR(EOMONTH($A407,6)), 'I1 - Universal Data'!$E$14:$V$14, 0)))</f>
        <v>0.02</v>
      </c>
      <c r="F407" s="1114">
        <f>IF($A407&lt;DATE(2018,7,1),"-",INDEX('I1 - Universal Data'!$E$15:$V$15, MATCH(YEAR(EOMONTH($A407,6)), 'I1 - Universal Data'!$E$14:$V$14, 0)))</f>
        <v>0.03</v>
      </c>
      <c r="G407" s="1115">
        <f t="shared" si="39"/>
        <v>154.42853688545134</v>
      </c>
      <c r="H407" s="1115">
        <f t="shared" si="39"/>
        <v>485.61222363215319</v>
      </c>
    </row>
    <row r="408" spans="1:8">
      <c r="A408" s="1112">
        <f t="shared" si="38"/>
        <v>48518</v>
      </c>
      <c r="B408" s="1113">
        <f t="shared" si="36"/>
        <v>2033</v>
      </c>
      <c r="C408" s="1281"/>
      <c r="D408" s="1281"/>
      <c r="E408" s="1114">
        <f>IF($A408&lt;DATE(2018,7,1),"-",INDEX('I1 - Universal Data'!$E$16:$V$16, MATCH(YEAR(EOMONTH($A408,6)), 'I1 - Universal Data'!$E$14:$V$14, 0)))</f>
        <v>0.02</v>
      </c>
      <c r="F408" s="1114">
        <f>IF($A408&lt;DATE(2018,7,1),"-",INDEX('I1 - Universal Data'!$E$15:$V$15, MATCH(YEAR(EOMONTH($A408,6)), 'I1 - Universal Data'!$E$14:$V$14, 0)))</f>
        <v>0.03</v>
      </c>
      <c r="G408" s="1115">
        <f t="shared" si="39"/>
        <v>154.68358816945425</v>
      </c>
      <c r="H408" s="1115">
        <f t="shared" si="39"/>
        <v>486.80987438035834</v>
      </c>
    </row>
    <row r="409" spans="1:8">
      <c r="A409" s="1112">
        <f t="shared" si="38"/>
        <v>48548</v>
      </c>
      <c r="B409" s="1113">
        <f t="shared" si="36"/>
        <v>2033</v>
      </c>
      <c r="C409" s="1281"/>
      <c r="D409" s="1281"/>
      <c r="E409" s="1114">
        <f>IF($A409&lt;DATE(2018,7,1),"-",INDEX('I1 - Universal Data'!$E$16:$V$16, MATCH(YEAR(EOMONTH($A409,6)), 'I1 - Universal Data'!$E$14:$V$14, 0)))</f>
        <v>0.02</v>
      </c>
      <c r="F409" s="1114">
        <f>IF($A409&lt;DATE(2018,7,1),"-",INDEX('I1 - Universal Data'!$E$15:$V$15, MATCH(YEAR(EOMONTH($A409,6)), 'I1 - Universal Data'!$E$14:$V$14, 0)))</f>
        <v>0.03</v>
      </c>
      <c r="G409" s="1115">
        <f t="shared" si="39"/>
        <v>154.93906069138885</v>
      </c>
      <c r="H409" s="1115">
        <f t="shared" si="39"/>
        <v>488.0104788584016</v>
      </c>
    </row>
    <row r="410" spans="1:8">
      <c r="A410" s="1112">
        <f t="shared" si="38"/>
        <v>48579</v>
      </c>
      <c r="B410" s="1113">
        <f t="shared" si="36"/>
        <v>2033</v>
      </c>
      <c r="C410" s="1281"/>
      <c r="D410" s="1281"/>
      <c r="E410" s="1114">
        <f>IF($A410&lt;DATE(2018,7,1),"-",INDEX('I1 - Universal Data'!$E$16:$V$16, MATCH(YEAR(EOMONTH($A410,6)), 'I1 - Universal Data'!$E$14:$V$14, 0)))</f>
        <v>0.02</v>
      </c>
      <c r="F410" s="1114">
        <f>IF($A410&lt;DATE(2018,7,1),"-",INDEX('I1 - Universal Data'!$E$15:$V$15, MATCH(YEAR(EOMONTH($A410,6)), 'I1 - Universal Data'!$E$14:$V$14, 0)))</f>
        <v>0.03</v>
      </c>
      <c r="G410" s="1115">
        <f t="shared" si="39"/>
        <v>155.19495514696382</v>
      </c>
      <c r="H410" s="1115">
        <f t="shared" si="39"/>
        <v>489.21404435097753</v>
      </c>
    </row>
    <row r="411" spans="1:8">
      <c r="A411" s="1112">
        <f t="shared" si="38"/>
        <v>48610</v>
      </c>
      <c r="B411" s="1113">
        <f t="shared" si="36"/>
        <v>2033</v>
      </c>
      <c r="C411" s="1281"/>
      <c r="D411" s="1281"/>
      <c r="E411" s="1114">
        <f>IF($A411&lt;DATE(2018,7,1),"-",INDEX('I1 - Universal Data'!$E$16:$V$16, MATCH(YEAR(EOMONTH($A411,6)), 'I1 - Universal Data'!$E$14:$V$14, 0)))</f>
        <v>0.02</v>
      </c>
      <c r="F411" s="1114">
        <f>IF($A411&lt;DATE(2018,7,1),"-",INDEX('I1 - Universal Data'!$E$15:$V$15, MATCH(YEAR(EOMONTH($A411,6)), 'I1 - Universal Data'!$E$14:$V$14, 0)))</f>
        <v>0.03</v>
      </c>
      <c r="G411" s="1115">
        <f t="shared" si="39"/>
        <v>155.45127223303689</v>
      </c>
      <c r="H411" s="1115">
        <f t="shared" si="39"/>
        <v>490.4205781607468</v>
      </c>
    </row>
    <row r="412" spans="1:8">
      <c r="A412" s="1112">
        <f t="shared" si="38"/>
        <v>48638</v>
      </c>
      <c r="B412" s="1113">
        <f t="shared" si="36"/>
        <v>2033</v>
      </c>
      <c r="C412" s="1107"/>
      <c r="D412" s="1107"/>
      <c r="E412" s="1114">
        <f>IF($A412&lt;DATE(2018,7,1),"-",INDEX('I1 - Universal Data'!$E$16:$V$16, MATCH(YEAR(EOMONTH($A412,6)), 'I1 - Universal Data'!$E$14:$V$14, 0)))</f>
        <v>0.02</v>
      </c>
      <c r="F412" s="1114">
        <f>IF($A412&lt;DATE(2018,7,1),"-",INDEX('I1 - Universal Data'!$E$15:$V$15, MATCH(YEAR(EOMONTH($A412,6)), 'I1 - Universal Data'!$E$14:$V$14, 0)))</f>
        <v>0.03</v>
      </c>
      <c r="G412" s="1115">
        <f t="shared" si="39"/>
        <v>155.70801264761667</v>
      </c>
      <c r="H412" s="1115">
        <f t="shared" si="39"/>
        <v>491.63008760838034</v>
      </c>
    </row>
    <row r="413" spans="1:8">
      <c r="A413" s="1112">
        <f t="shared" si="38"/>
        <v>48669</v>
      </c>
      <c r="B413" s="1113">
        <f t="shared" si="36"/>
        <v>2033</v>
      </c>
      <c r="C413" s="1107"/>
      <c r="D413" s="1107"/>
      <c r="E413" s="1114">
        <f>IF($A413&lt;DATE(2018,7,1),"-",INDEX('I1 - Universal Data'!$E$16:$V$16, MATCH(YEAR(EOMONTH($A413,6)), 'I1 - Universal Data'!$E$14:$V$14, 0)))</f>
        <v>0.02</v>
      </c>
      <c r="F413" s="1114">
        <f>IF($A413&lt;DATE(2018,7,1),"-",INDEX('I1 - Universal Data'!$E$15:$V$15, MATCH(YEAR(EOMONTH($A413,6)), 'I1 - Universal Data'!$E$14:$V$14, 0)))</f>
        <v>0.03</v>
      </c>
      <c r="G413" s="1115">
        <f t="shared" si="39"/>
        <v>155.96517708986462</v>
      </c>
      <c r="H413" s="1115">
        <f t="shared" si="39"/>
        <v>492.84258003260391</v>
      </c>
    </row>
    <row r="414" spans="1:8">
      <c r="A414" s="1102"/>
    </row>
    <row r="415" spans="1:8">
      <c r="A415" s="1102"/>
    </row>
    <row r="416" spans="1:8" hidden="1">
      <c r="A416" s="1102"/>
    </row>
    <row r="417" spans="1:1" hidden="1">
      <c r="A417" s="1102"/>
    </row>
    <row r="418" spans="1:1" hidden="1">
      <c r="A418" s="1102"/>
    </row>
    <row r="419" spans="1:1" hidden="1">
      <c r="A419" s="1102"/>
    </row>
    <row r="420" spans="1:1" hidden="1">
      <c r="A420" s="1102"/>
    </row>
    <row r="421" spans="1:1" hidden="1">
      <c r="A421" s="1102"/>
    </row>
    <row r="422" spans="1:1" hidden="1">
      <c r="A422" s="1102"/>
    </row>
    <row r="423" spans="1:1" hidden="1">
      <c r="A423" s="1102"/>
    </row>
    <row r="424" spans="1:1" hidden="1">
      <c r="A424" s="1102"/>
    </row>
    <row r="425" spans="1:1" hidden="1">
      <c r="A425" s="1102"/>
    </row>
    <row r="426" spans="1:1" hidden="1">
      <c r="A426" s="1102"/>
    </row>
    <row r="427" spans="1:1" hidden="1">
      <c r="A427" s="1102"/>
    </row>
    <row r="428" spans="1:1" hidden="1">
      <c r="A428" s="1102"/>
    </row>
    <row r="429" spans="1: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9"/>
  <sheetViews>
    <sheetView workbookViewId="0">
      <selection activeCell="F27" sqref="F27"/>
    </sheetView>
  </sheetViews>
  <sheetFormatPr defaultRowHeight="13.5"/>
  <cols>
    <col min="1" max="1" width="8.3828125" customWidth="1"/>
    <col min="2" max="2" width="23.765625" customWidth="1"/>
    <col min="3" max="3" width="25.765625" customWidth="1"/>
    <col min="4" max="4" width="9.765625" customWidth="1"/>
  </cols>
  <sheetData>
    <row r="1" spans="1:13" ht="20">
      <c r="A1" s="106" t="s">
        <v>243</v>
      </c>
      <c r="B1" s="106"/>
      <c r="C1" s="106"/>
      <c r="D1" s="106"/>
      <c r="E1" s="106"/>
      <c r="F1" s="106"/>
      <c r="G1" s="106"/>
      <c r="H1" s="106"/>
      <c r="I1" s="8" t="s">
        <v>244</v>
      </c>
      <c r="J1" s="9"/>
      <c r="K1" s="9"/>
      <c r="L1" s="9"/>
      <c r="M1" s="9"/>
    </row>
    <row r="2" spans="1:13" ht="20">
      <c r="A2" s="315" t="str">
        <f>Licensee</f>
        <v>Cadent-NW</v>
      </c>
      <c r="B2" s="106"/>
      <c r="C2" s="106"/>
      <c r="D2" s="106"/>
      <c r="E2" s="106"/>
      <c r="F2" s="106"/>
      <c r="G2" s="106"/>
      <c r="H2" s="106"/>
      <c r="I2" s="9"/>
      <c r="J2" s="9"/>
      <c r="K2" s="9"/>
      <c r="L2" s="9"/>
      <c r="M2" s="9"/>
    </row>
    <row r="3" spans="1:13" ht="20">
      <c r="A3" s="106">
        <f>Reporting_Year</f>
        <v>2024</v>
      </c>
      <c r="B3" s="106"/>
      <c r="C3" s="106"/>
      <c r="D3" s="106"/>
      <c r="E3" s="106"/>
      <c r="F3" s="106"/>
      <c r="G3" s="106"/>
      <c r="H3" s="106"/>
      <c r="I3" s="9"/>
      <c r="J3" s="9"/>
      <c r="K3" s="9"/>
      <c r="L3" s="9"/>
      <c r="M3" s="9"/>
    </row>
    <row r="4" spans="1:13">
      <c r="A4" s="4"/>
      <c r="B4" s="4"/>
      <c r="C4" s="4"/>
      <c r="D4" s="4"/>
      <c r="E4" s="4"/>
      <c r="F4" s="4"/>
      <c r="G4" s="4"/>
      <c r="H4" s="4"/>
      <c r="I4" s="4"/>
      <c r="J4" s="4"/>
      <c r="K4" s="4"/>
      <c r="L4" s="4"/>
      <c r="M4" s="4"/>
    </row>
    <row r="5" spans="1:13">
      <c r="A5" s="4"/>
      <c r="B5" s="4"/>
      <c r="C5" s="4"/>
      <c r="D5" s="4"/>
      <c r="E5" s="4"/>
      <c r="F5" s="4"/>
      <c r="G5" s="4"/>
      <c r="H5" s="4"/>
      <c r="I5" s="4"/>
      <c r="J5" s="4"/>
      <c r="K5" s="4"/>
      <c r="L5" s="4"/>
      <c r="M5" s="4"/>
    </row>
    <row r="6" spans="1:13">
      <c r="A6" s="4"/>
      <c r="B6" s="5" t="s">
        <v>245</v>
      </c>
      <c r="C6" s="4"/>
      <c r="D6" s="4"/>
      <c r="E6" s="4"/>
      <c r="F6" s="4"/>
      <c r="G6" s="4"/>
      <c r="H6" s="4"/>
      <c r="I6" s="4"/>
      <c r="J6" s="4"/>
      <c r="K6" s="4"/>
      <c r="L6" s="4"/>
      <c r="M6" s="4"/>
    </row>
    <row r="7" spans="1:13">
      <c r="A7" s="4"/>
      <c r="B7" s="4"/>
      <c r="C7" s="4"/>
      <c r="D7" s="4"/>
      <c r="E7" s="4"/>
      <c r="F7" s="4"/>
      <c r="G7" s="4"/>
      <c r="H7" s="4"/>
      <c r="I7" s="4"/>
      <c r="J7" s="4"/>
      <c r="K7" s="4"/>
      <c r="L7" s="4"/>
      <c r="M7" s="4"/>
    </row>
    <row r="8" spans="1:13">
      <c r="A8" s="4"/>
      <c r="B8" s="237" t="s">
        <v>246</v>
      </c>
      <c r="C8" s="237" t="s">
        <v>247</v>
      </c>
      <c r="D8" s="1355" t="s">
        <v>248</v>
      </c>
      <c r="E8" s="1356"/>
      <c r="F8" s="1356"/>
      <c r="G8" s="1356"/>
      <c r="H8" s="1356"/>
      <c r="I8" s="4"/>
      <c r="J8" s="4"/>
      <c r="K8" s="4"/>
      <c r="L8" s="4"/>
      <c r="M8" s="4"/>
    </row>
    <row r="9" spans="1:13">
      <c r="A9" s="4"/>
      <c r="B9" s="238" t="s">
        <v>249</v>
      </c>
      <c r="C9" s="239" t="s">
        <v>250</v>
      </c>
      <c r="D9" s="1353"/>
      <c r="E9" s="1354"/>
      <c r="F9" s="1354"/>
      <c r="G9" s="1354"/>
      <c r="H9" s="1354"/>
      <c r="I9" s="4"/>
      <c r="J9" s="4"/>
      <c r="K9" s="4"/>
      <c r="L9" s="4"/>
      <c r="M9" s="4"/>
    </row>
    <row r="10" spans="1:13">
      <c r="A10" s="4"/>
      <c r="B10" s="238" t="s">
        <v>251</v>
      </c>
      <c r="C10" s="239"/>
      <c r="D10" s="1353"/>
      <c r="E10" s="1354"/>
      <c r="F10" s="1354"/>
      <c r="G10" s="1354"/>
      <c r="H10" s="1354"/>
      <c r="I10" s="4"/>
      <c r="J10" s="4"/>
      <c r="K10" s="4"/>
      <c r="L10" s="4"/>
      <c r="M10" s="4"/>
    </row>
    <row r="11" spans="1:13">
      <c r="A11" s="4"/>
      <c r="B11" s="238" t="s">
        <v>252</v>
      </c>
      <c r="C11" s="239"/>
      <c r="D11" s="1353"/>
      <c r="E11" s="1354"/>
      <c r="F11" s="1354"/>
      <c r="G11" s="1354"/>
      <c r="H11" s="1354"/>
      <c r="I11" s="4"/>
      <c r="J11" s="4"/>
      <c r="K11" s="4"/>
      <c r="L11" s="4"/>
      <c r="M11" s="4"/>
    </row>
    <row r="12" spans="1:13">
      <c r="A12" s="4"/>
      <c r="B12" s="238" t="s">
        <v>253</v>
      </c>
      <c r="C12" s="239"/>
      <c r="D12" s="1353"/>
      <c r="E12" s="1354"/>
      <c r="F12" s="1354"/>
      <c r="G12" s="1354"/>
      <c r="H12" s="1354"/>
      <c r="I12" s="4"/>
      <c r="J12" s="4"/>
      <c r="K12" s="4"/>
      <c r="L12" s="4"/>
      <c r="M12" s="4"/>
    </row>
    <row r="13" spans="1:13">
      <c r="A13" s="4"/>
      <c r="B13" s="238" t="s">
        <v>254</v>
      </c>
      <c r="C13" s="239"/>
      <c r="D13" s="1353"/>
      <c r="E13" s="1354"/>
      <c r="F13" s="1354"/>
      <c r="G13" s="1354"/>
      <c r="H13" s="1354"/>
      <c r="I13" s="4"/>
      <c r="J13" s="4"/>
      <c r="K13" s="4"/>
      <c r="L13" s="4"/>
      <c r="M13" s="4"/>
    </row>
    <row r="14" spans="1:13">
      <c r="A14" s="4"/>
      <c r="B14" s="238" t="s">
        <v>255</v>
      </c>
      <c r="C14" s="239"/>
      <c r="D14" s="1353"/>
      <c r="E14" s="1354"/>
      <c r="F14" s="1354"/>
      <c r="G14" s="1354"/>
      <c r="H14" s="1354"/>
      <c r="I14" s="4"/>
      <c r="J14" s="4"/>
      <c r="K14" s="4"/>
      <c r="L14" s="4"/>
      <c r="M14" s="4"/>
    </row>
    <row r="15" spans="1:13">
      <c r="A15" s="4"/>
      <c r="B15" s="238" t="s">
        <v>256</v>
      </c>
      <c r="C15" s="239"/>
      <c r="D15" s="1353"/>
      <c r="E15" s="1354"/>
      <c r="F15" s="1354"/>
      <c r="G15" s="1354"/>
      <c r="H15" s="1354"/>
      <c r="I15" s="4"/>
      <c r="J15" s="4"/>
      <c r="K15" s="4"/>
      <c r="L15" s="4"/>
      <c r="M15" s="4"/>
    </row>
    <row r="16" spans="1:13">
      <c r="A16" s="4"/>
      <c r="B16" s="238" t="s">
        <v>257</v>
      </c>
      <c r="C16" s="239"/>
      <c r="D16" s="1353"/>
      <c r="E16" s="1354"/>
      <c r="F16" s="1354"/>
      <c r="G16" s="1354"/>
      <c r="H16" s="1354"/>
      <c r="I16" s="4"/>
      <c r="J16" s="4"/>
      <c r="K16" s="4"/>
      <c r="L16" s="4"/>
      <c r="M16" s="4"/>
    </row>
    <row r="17" spans="1:13">
      <c r="A17" s="4"/>
      <c r="B17" s="238" t="s">
        <v>258</v>
      </c>
      <c r="C17" s="239"/>
      <c r="D17" s="1353"/>
      <c r="E17" s="1354"/>
      <c r="F17" s="1354"/>
      <c r="G17" s="1354"/>
      <c r="H17" s="1354"/>
      <c r="I17" s="4"/>
      <c r="J17" s="4"/>
      <c r="K17" s="4"/>
      <c r="L17" s="4"/>
      <c r="M17" s="4"/>
    </row>
    <row r="18" spans="1:13">
      <c r="A18" s="4"/>
      <c r="B18" s="238" t="s">
        <v>259</v>
      </c>
      <c r="C18" s="239"/>
      <c r="D18" s="1353"/>
      <c r="E18" s="1354"/>
      <c r="F18" s="1354"/>
      <c r="G18" s="1354"/>
      <c r="H18" s="1354"/>
      <c r="I18" s="4"/>
      <c r="J18" s="4"/>
      <c r="K18" s="4"/>
      <c r="L18" s="4"/>
      <c r="M18" s="4"/>
    </row>
    <row r="19" spans="1:13">
      <c r="A19" s="4"/>
      <c r="B19" s="4"/>
      <c r="C19" s="4"/>
      <c r="D19" s="4"/>
      <c r="E19" s="4"/>
      <c r="F19" s="4"/>
      <c r="G19" s="4"/>
      <c r="H19" s="4"/>
      <c r="I19" s="4"/>
      <c r="J19" s="4"/>
      <c r="K19" s="4"/>
      <c r="L19" s="4"/>
      <c r="M19" s="4"/>
    </row>
    <row r="20" spans="1:13">
      <c r="A20" s="4"/>
      <c r="B20" s="34"/>
      <c r="C20" s="4"/>
      <c r="D20" s="4"/>
      <c r="E20" s="4"/>
      <c r="F20" s="4"/>
      <c r="G20" s="4"/>
      <c r="H20" s="4"/>
      <c r="I20" s="4"/>
      <c r="J20" s="4"/>
      <c r="K20" s="4"/>
      <c r="L20" s="4"/>
    </row>
    <row r="21" spans="1:13">
      <c r="A21" s="4"/>
      <c r="B21" s="47" t="s">
        <v>260</v>
      </c>
      <c r="C21" s="4"/>
      <c r="D21" s="4"/>
      <c r="E21" s="4"/>
      <c r="F21" s="4"/>
      <c r="G21" s="4"/>
      <c r="H21" s="4"/>
      <c r="I21" s="4"/>
      <c r="J21" s="4"/>
      <c r="K21" s="4"/>
      <c r="L21" s="4"/>
    </row>
    <row r="22" spans="1:13">
      <c r="A22" s="4"/>
      <c r="B22" s="47" t="s">
        <v>261</v>
      </c>
      <c r="C22" s="4"/>
      <c r="D22" s="4"/>
      <c r="E22" s="4"/>
      <c r="F22" s="4"/>
      <c r="G22" s="4"/>
      <c r="H22" s="4"/>
      <c r="I22" s="4"/>
      <c r="J22" s="4"/>
      <c r="K22" s="4"/>
      <c r="L22" s="4"/>
    </row>
    <row r="23" spans="1:13">
      <c r="A23" s="4"/>
      <c r="B23" s="47" t="s">
        <v>262</v>
      </c>
      <c r="C23" s="4"/>
      <c r="D23" s="4"/>
      <c r="E23" s="4"/>
      <c r="F23" s="4"/>
      <c r="G23" s="4"/>
      <c r="H23" s="4"/>
      <c r="I23" s="4"/>
      <c r="J23" s="4"/>
      <c r="K23" s="4"/>
      <c r="L23" s="4"/>
    </row>
    <row r="24" spans="1:13">
      <c r="B24" s="47" t="s">
        <v>263</v>
      </c>
    </row>
    <row r="25" spans="1:13">
      <c r="B25" s="47" t="s">
        <v>264</v>
      </c>
    </row>
    <row r="26" spans="1:13">
      <c r="B26" s="47" t="s">
        <v>265</v>
      </c>
    </row>
    <row r="27" spans="1:13">
      <c r="B27" s="47" t="s">
        <v>266</v>
      </c>
    </row>
    <row r="28" spans="1:13">
      <c r="B28" s="47" t="s">
        <v>267</v>
      </c>
    </row>
    <row r="29" spans="1:13">
      <c r="B29" s="47" t="s">
        <v>268</v>
      </c>
    </row>
    <row r="30" spans="1:13">
      <c r="B30" s="47" t="s">
        <v>269</v>
      </c>
    </row>
    <row r="31" spans="1:13">
      <c r="B31" s="205" t="s">
        <v>270</v>
      </c>
    </row>
    <row r="32" spans="1:13">
      <c r="B32" s="47" t="s">
        <v>271</v>
      </c>
    </row>
    <row r="33" spans="2:5">
      <c r="B33" s="47" t="s">
        <v>272</v>
      </c>
    </row>
    <row r="34" spans="2:5">
      <c r="B34" s="47" t="s">
        <v>273</v>
      </c>
    </row>
    <row r="35" spans="2:5">
      <c r="B35" s="47" t="s">
        <v>274</v>
      </c>
      <c r="E35" s="47"/>
    </row>
    <row r="36" spans="2:5">
      <c r="B36" s="47" t="s">
        <v>275</v>
      </c>
    </row>
    <row r="37" spans="2:5">
      <c r="B37" s="47" t="s">
        <v>276</v>
      </c>
    </row>
    <row r="38" spans="2:5">
      <c r="B38" s="47" t="s">
        <v>277</v>
      </c>
    </row>
    <row r="39" spans="2:5">
      <c r="B39" s="47" t="s">
        <v>278</v>
      </c>
    </row>
  </sheetData>
  <mergeCells count="11">
    <mergeCell ref="D14:H14"/>
    <mergeCell ref="D15:H15"/>
    <mergeCell ref="D16:H16"/>
    <mergeCell ref="D17:H17"/>
    <mergeCell ref="D18:H18"/>
    <mergeCell ref="D13:H13"/>
    <mergeCell ref="D8:H8"/>
    <mergeCell ref="D9:H9"/>
    <mergeCell ref="D10:H10"/>
    <mergeCell ref="D11:H11"/>
    <mergeCell ref="D12:H12"/>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 ref="B34" location="'F3 - Fixed Rate Debt'!A1" display="F3 - Fixed Rate Debt" xr:uid="{25398B16-F9FF-42BB-8D5A-F47BA229A132}"/>
    <hyperlink ref="B35" location="'F4 - Floating Rate Debt'!A1" display="F4 - Floating Rate Debt" xr:uid="{4565D883-BD45-4622-A128-9148DD7CD7CA}"/>
    <hyperlink ref="B36" location="'F5 - Inflation Linked Debt'!A1" display="F5 - Inflation Linked Debt" xr:uid="{46BD35D0-625C-41B8-AE89-D11173A4FE48}"/>
    <hyperlink ref="B37" location="'F6 - Debt Dataset'!A1" display="F6 - Debt Dataset" xr:uid="{82108CB9-4BF4-4D24-83CC-84DFF933356B}"/>
    <hyperlink ref="B38" location="'I1 - Universal Data'!A1" display="I1 - Universal Data" xr:uid="{55110A85-731F-4FA3-B0AA-2FB65C28B3E1}"/>
    <hyperlink ref="B39" location="'I2 - Monthly Inflation'!A1" display="I2 - Monthly Inflation" xr:uid="{E143F0F9-EEF5-45FF-86E9-6D5AB43D28AB}"/>
  </hyperlinks>
  <pageMargins left="0.70866141732283472" right="0.70866141732283472" top="0.74803149606299213" bottom="0.74803149606299213" header="0.31496062992125984" footer="0.31496062992125984"/>
  <pageSetup scale="77" orientation="portrait" r:id="rId1"/>
  <headerFooter>
    <oddFooter>&amp;C_x000D_&amp;1#&amp;"Calibri"&amp;10&amp;K000000 OFFICIAL-InternalOnly</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J113"/>
  <sheetViews>
    <sheetView zoomScaleNormal="100" workbookViewId="0">
      <selection activeCell="C111" sqref="C111"/>
    </sheetView>
  </sheetViews>
  <sheetFormatPr defaultRowHeight="13.5"/>
  <cols>
    <col min="1" max="1" width="9.765625" customWidth="1"/>
    <col min="2" max="2" width="21.765625" customWidth="1"/>
    <col min="3" max="3" width="110.4609375" customWidth="1"/>
    <col min="4" max="4" width="18.84375" customWidth="1"/>
    <col min="5" max="5" width="35.4609375" customWidth="1"/>
    <col min="6" max="6" width="41.765625" customWidth="1"/>
  </cols>
  <sheetData>
    <row r="1" spans="1:10" ht="20">
      <c r="A1" s="6" t="s">
        <v>279</v>
      </c>
      <c r="B1" s="6"/>
      <c r="C1" s="6"/>
      <c r="D1" s="6"/>
      <c r="E1" s="6"/>
    </row>
    <row r="2" spans="1:10" ht="20">
      <c r="A2" s="315" t="str">
        <f>Licensee</f>
        <v>Cadent-NW</v>
      </c>
      <c r="B2" s="6"/>
      <c r="C2" s="6"/>
      <c r="D2" s="6"/>
      <c r="E2" s="6"/>
    </row>
    <row r="3" spans="1:10" ht="20">
      <c r="A3" s="106">
        <f>Reporting_Year</f>
        <v>2024</v>
      </c>
      <c r="B3" s="6"/>
      <c r="C3" s="6"/>
      <c r="D3" s="6"/>
      <c r="E3" s="6"/>
    </row>
    <row r="4" spans="1:10" ht="20">
      <c r="A4" s="97"/>
      <c r="B4" s="97"/>
      <c r="C4" s="97"/>
      <c r="D4" s="97"/>
      <c r="E4" s="97"/>
    </row>
    <row r="5" spans="1:10" ht="14">
      <c r="A5" s="287" t="s">
        <v>280</v>
      </c>
      <c r="B5" s="288" t="s">
        <v>281</v>
      </c>
      <c r="C5" s="289" t="s">
        <v>282</v>
      </c>
      <c r="D5" s="261" t="s">
        <v>283</v>
      </c>
    </row>
    <row r="6" spans="1:10">
      <c r="A6" s="228" t="s">
        <v>284</v>
      </c>
      <c r="B6" s="290" t="s">
        <v>285</v>
      </c>
      <c r="C6" s="291" t="s">
        <v>286</v>
      </c>
      <c r="D6" s="286" t="s">
        <v>287</v>
      </c>
    </row>
    <row r="7" spans="1:10">
      <c r="A7" s="228" t="s">
        <v>284</v>
      </c>
      <c r="B7" s="290" t="s">
        <v>288</v>
      </c>
      <c r="C7" s="291" t="s">
        <v>289</v>
      </c>
      <c r="D7" s="286" t="s">
        <v>287</v>
      </c>
    </row>
    <row r="8" spans="1:10" ht="27">
      <c r="A8" s="228" t="s">
        <v>284</v>
      </c>
      <c r="B8" s="290" t="s">
        <v>290</v>
      </c>
      <c r="C8" s="291" t="s">
        <v>291</v>
      </c>
      <c r="D8" s="286" t="s">
        <v>287</v>
      </c>
    </row>
    <row r="9" spans="1:10" ht="34" customHeight="1">
      <c r="A9" s="228" t="s">
        <v>284</v>
      </c>
      <c r="B9" s="290" t="s">
        <v>292</v>
      </c>
      <c r="C9" s="291" t="s">
        <v>293</v>
      </c>
      <c r="D9" s="286" t="s">
        <v>287</v>
      </c>
    </row>
    <row r="10" spans="1:10" ht="27">
      <c r="A10" s="228" t="s">
        <v>284</v>
      </c>
      <c r="B10" s="290" t="s">
        <v>294</v>
      </c>
      <c r="C10" s="291" t="s">
        <v>295</v>
      </c>
      <c r="D10" s="286" t="s">
        <v>287</v>
      </c>
    </row>
    <row r="11" spans="1:10" ht="27">
      <c r="A11" s="228" t="s">
        <v>284</v>
      </c>
      <c r="B11" s="290" t="s">
        <v>261</v>
      </c>
      <c r="C11" s="291" t="s">
        <v>296</v>
      </c>
      <c r="D11" s="286" t="s">
        <v>297</v>
      </c>
      <c r="J11" s="125"/>
    </row>
    <row r="12" spans="1:10" ht="27">
      <c r="A12" s="228" t="s">
        <v>284</v>
      </c>
      <c r="B12" s="290" t="s">
        <v>298</v>
      </c>
      <c r="C12" s="291" t="s">
        <v>299</v>
      </c>
      <c r="D12" s="286" t="s">
        <v>300</v>
      </c>
    </row>
    <row r="13" spans="1:10">
      <c r="A13" s="228" t="s">
        <v>284</v>
      </c>
      <c r="B13" s="290" t="s">
        <v>301</v>
      </c>
      <c r="C13" s="291" t="s">
        <v>302</v>
      </c>
      <c r="D13" s="286" t="s">
        <v>303</v>
      </c>
    </row>
    <row r="14" spans="1:10">
      <c r="A14" s="228" t="s">
        <v>284</v>
      </c>
      <c r="B14" s="290" t="s">
        <v>304</v>
      </c>
      <c r="C14" s="291" t="s">
        <v>305</v>
      </c>
      <c r="D14" s="286" t="s">
        <v>87</v>
      </c>
    </row>
    <row r="15" spans="1:10">
      <c r="A15" s="228" t="s">
        <v>284</v>
      </c>
      <c r="B15" s="290" t="s">
        <v>306</v>
      </c>
      <c r="C15" s="291" t="s">
        <v>307</v>
      </c>
      <c r="D15" s="286" t="s">
        <v>308</v>
      </c>
    </row>
    <row r="16" spans="1:10" ht="74.25" customHeight="1">
      <c r="A16" s="228" t="s">
        <v>284</v>
      </c>
      <c r="B16" s="290" t="s">
        <v>268</v>
      </c>
      <c r="C16" s="291" t="s">
        <v>309</v>
      </c>
      <c r="D16" s="286" t="s">
        <v>92</v>
      </c>
    </row>
    <row r="17" spans="1:4" ht="20.25" customHeight="1">
      <c r="A17" s="228" t="s">
        <v>284</v>
      </c>
      <c r="B17" s="290" t="s">
        <v>306</v>
      </c>
      <c r="C17" s="291" t="s">
        <v>310</v>
      </c>
      <c r="D17" s="286" t="s">
        <v>221</v>
      </c>
    </row>
    <row r="18" spans="1:4" ht="21" customHeight="1">
      <c r="A18" s="228" t="s">
        <v>284</v>
      </c>
      <c r="B18" s="290" t="s">
        <v>306</v>
      </c>
      <c r="C18" s="291" t="s">
        <v>311</v>
      </c>
      <c r="D18" s="286" t="s">
        <v>221</v>
      </c>
    </row>
    <row r="19" spans="1:4" ht="21" customHeight="1">
      <c r="A19" s="228" t="s">
        <v>284</v>
      </c>
      <c r="B19" s="290" t="s">
        <v>312</v>
      </c>
      <c r="C19" s="291" t="s">
        <v>313</v>
      </c>
      <c r="D19" s="286" t="s">
        <v>221</v>
      </c>
    </row>
    <row r="20" spans="1:4" ht="38.5" customHeight="1">
      <c r="A20" s="228" t="s">
        <v>284</v>
      </c>
      <c r="B20" s="290" t="s">
        <v>314</v>
      </c>
      <c r="C20" s="1222" t="s">
        <v>315</v>
      </c>
      <c r="D20" s="286" t="s">
        <v>221</v>
      </c>
    </row>
    <row r="21" spans="1:4">
      <c r="A21" s="228" t="s">
        <v>284</v>
      </c>
      <c r="B21" s="290" t="s">
        <v>288</v>
      </c>
      <c r="C21" s="291" t="s">
        <v>316</v>
      </c>
      <c r="D21" s="286" t="s">
        <v>221</v>
      </c>
    </row>
    <row r="22" spans="1:4" ht="27">
      <c r="A22" s="1256" t="s">
        <v>284</v>
      </c>
      <c r="B22" s="290" t="s">
        <v>317</v>
      </c>
      <c r="C22" s="291" t="s">
        <v>318</v>
      </c>
      <c r="D22" s="292" t="s">
        <v>287</v>
      </c>
    </row>
    <row r="23" spans="1:4" ht="27">
      <c r="A23" s="1256" t="s">
        <v>284</v>
      </c>
      <c r="B23" s="290" t="s">
        <v>319</v>
      </c>
      <c r="C23" s="291" t="s">
        <v>320</v>
      </c>
      <c r="D23" s="292" t="s">
        <v>287</v>
      </c>
    </row>
    <row r="24" spans="1:4">
      <c r="A24" s="1256" t="s">
        <v>284</v>
      </c>
      <c r="B24" s="290" t="s">
        <v>321</v>
      </c>
      <c r="C24" s="291" t="s">
        <v>322</v>
      </c>
      <c r="D24" s="292" t="s">
        <v>287</v>
      </c>
    </row>
    <row r="25" spans="1:4">
      <c r="A25" s="1256" t="s">
        <v>284</v>
      </c>
      <c r="B25" s="290" t="s">
        <v>323</v>
      </c>
      <c r="C25" s="291" t="s">
        <v>324</v>
      </c>
      <c r="D25" s="292" t="s">
        <v>287</v>
      </c>
    </row>
    <row r="26" spans="1:4" ht="57.65" customHeight="1">
      <c r="A26" s="1256" t="s">
        <v>284</v>
      </c>
      <c r="B26" s="290" t="s">
        <v>325</v>
      </c>
      <c r="C26" s="291" t="s">
        <v>326</v>
      </c>
      <c r="D26" s="227" t="s">
        <v>84</v>
      </c>
    </row>
    <row r="27" spans="1:4" ht="63.65" customHeight="1">
      <c r="A27" s="1256" t="s">
        <v>284</v>
      </c>
      <c r="B27" s="290" t="s">
        <v>327</v>
      </c>
      <c r="C27" s="291" t="s">
        <v>328</v>
      </c>
      <c r="D27" s="227" t="s">
        <v>84</v>
      </c>
    </row>
    <row r="28" spans="1:4" ht="24" customHeight="1">
      <c r="A28" s="1256" t="s">
        <v>284</v>
      </c>
      <c r="B28" s="290" t="s">
        <v>329</v>
      </c>
      <c r="C28" s="291" t="s">
        <v>330</v>
      </c>
      <c r="D28" s="227" t="s">
        <v>331</v>
      </c>
    </row>
    <row r="29" spans="1:4" ht="54">
      <c r="A29" s="1256" t="s">
        <v>284</v>
      </c>
      <c r="B29" s="290" t="s">
        <v>332</v>
      </c>
      <c r="C29" s="291" t="s">
        <v>333</v>
      </c>
      <c r="D29" s="286" t="s">
        <v>334</v>
      </c>
    </row>
    <row r="30" spans="1:4">
      <c r="A30" s="1256" t="s">
        <v>284</v>
      </c>
      <c r="B30" s="290" t="s">
        <v>268</v>
      </c>
      <c r="C30" s="291" t="s">
        <v>335</v>
      </c>
      <c r="D30" s="286" t="s">
        <v>29</v>
      </c>
    </row>
    <row r="31" spans="1:4">
      <c r="A31" s="1256" t="s">
        <v>284</v>
      </c>
      <c r="B31" s="290" t="s">
        <v>336</v>
      </c>
      <c r="C31" s="291" t="s">
        <v>337</v>
      </c>
      <c r="D31" s="286" t="s">
        <v>338</v>
      </c>
    </row>
    <row r="32" spans="1:4">
      <c r="A32" s="1256" t="s">
        <v>284</v>
      </c>
      <c r="B32" s="290" t="s">
        <v>339</v>
      </c>
      <c r="C32" s="291" t="s">
        <v>340</v>
      </c>
      <c r="D32" s="286" t="s">
        <v>287</v>
      </c>
    </row>
    <row r="33" spans="1:4">
      <c r="A33" s="1256" t="s">
        <v>284</v>
      </c>
      <c r="B33" s="290" t="s">
        <v>339</v>
      </c>
      <c r="C33" s="291" t="s">
        <v>341</v>
      </c>
      <c r="D33" s="286" t="s">
        <v>287</v>
      </c>
    </row>
    <row r="34" spans="1:4">
      <c r="A34" s="1256" t="s">
        <v>284</v>
      </c>
      <c r="B34" s="290" t="s">
        <v>342</v>
      </c>
      <c r="C34" s="291" t="s">
        <v>343</v>
      </c>
      <c r="D34" s="286" t="s">
        <v>287</v>
      </c>
    </row>
    <row r="35" spans="1:4">
      <c r="A35" s="1256" t="s">
        <v>284</v>
      </c>
      <c r="B35" s="290" t="s">
        <v>344</v>
      </c>
      <c r="C35" s="291" t="s">
        <v>345</v>
      </c>
      <c r="D35" s="286" t="s">
        <v>287</v>
      </c>
    </row>
    <row r="36" spans="1:4">
      <c r="A36" s="1256" t="s">
        <v>284</v>
      </c>
      <c r="B36" s="290" t="s">
        <v>346</v>
      </c>
      <c r="C36" s="291" t="s">
        <v>347</v>
      </c>
      <c r="D36" s="286" t="s">
        <v>348</v>
      </c>
    </row>
    <row r="37" spans="1:4" ht="15" customHeight="1">
      <c r="A37" s="1256" t="s">
        <v>284</v>
      </c>
      <c r="B37" s="290" t="s">
        <v>346</v>
      </c>
      <c r="C37" s="291" t="s">
        <v>349</v>
      </c>
      <c r="D37" s="286" t="s">
        <v>348</v>
      </c>
    </row>
    <row r="38" spans="1:4" ht="17.5" customHeight="1">
      <c r="A38" s="1256" t="s">
        <v>284</v>
      </c>
      <c r="B38" s="290" t="s">
        <v>346</v>
      </c>
      <c r="C38" s="291" t="s">
        <v>350</v>
      </c>
      <c r="D38" s="286" t="s">
        <v>221</v>
      </c>
    </row>
    <row r="39" spans="1:4" ht="26.15" customHeight="1">
      <c r="A39" s="1256" t="s">
        <v>284</v>
      </c>
      <c r="B39" s="290" t="s">
        <v>346</v>
      </c>
      <c r="C39" s="291" t="s">
        <v>351</v>
      </c>
      <c r="D39" s="286" t="s">
        <v>348</v>
      </c>
    </row>
    <row r="40" spans="1:4" ht="27">
      <c r="A40" s="1256" t="s">
        <v>284</v>
      </c>
      <c r="B40" s="290" t="s">
        <v>342</v>
      </c>
      <c r="C40" s="291" t="s">
        <v>352</v>
      </c>
      <c r="D40" s="286" t="s">
        <v>221</v>
      </c>
    </row>
    <row r="41" spans="1:4" ht="27">
      <c r="A41" s="1256" t="s">
        <v>284</v>
      </c>
      <c r="B41" s="290" t="s">
        <v>353</v>
      </c>
      <c r="C41" s="291" t="s">
        <v>354</v>
      </c>
      <c r="D41" s="286" t="s">
        <v>287</v>
      </c>
    </row>
    <row r="42" spans="1:4">
      <c r="A42" s="1256" t="s">
        <v>284</v>
      </c>
      <c r="B42" s="290" t="s">
        <v>355</v>
      </c>
      <c r="C42" s="291" t="s">
        <v>356</v>
      </c>
      <c r="D42" s="286" t="s">
        <v>357</v>
      </c>
    </row>
    <row r="43" spans="1:4">
      <c r="A43" s="1256" t="s">
        <v>284</v>
      </c>
      <c r="B43" s="290" t="s">
        <v>358</v>
      </c>
      <c r="C43" s="291" t="s">
        <v>359</v>
      </c>
      <c r="D43" s="286" t="s">
        <v>287</v>
      </c>
    </row>
    <row r="44" spans="1:4">
      <c r="A44" s="1256"/>
      <c r="B44" s="148" t="s">
        <v>360</v>
      </c>
      <c r="C44" s="291" t="s">
        <v>361</v>
      </c>
      <c r="D44" s="286" t="s">
        <v>287</v>
      </c>
    </row>
    <row r="45" spans="1:4">
      <c r="A45" s="1256"/>
      <c r="B45" s="148" t="s">
        <v>362</v>
      </c>
      <c r="C45" s="291" t="s">
        <v>363</v>
      </c>
      <c r="D45" s="286" t="s">
        <v>287</v>
      </c>
    </row>
    <row r="46" spans="1:4">
      <c r="A46" s="1256" t="s">
        <v>284</v>
      </c>
      <c r="B46" s="290" t="s">
        <v>364</v>
      </c>
      <c r="C46" s="291" t="s">
        <v>365</v>
      </c>
      <c r="D46" s="286" t="s">
        <v>287</v>
      </c>
    </row>
    <row r="47" spans="1:4">
      <c r="A47" s="1256" t="s">
        <v>284</v>
      </c>
      <c r="B47" s="290" t="s">
        <v>366</v>
      </c>
      <c r="C47" s="291" t="s">
        <v>367</v>
      </c>
      <c r="D47" s="286" t="s">
        <v>287</v>
      </c>
    </row>
    <row r="48" spans="1:4">
      <c r="A48" s="1256" t="s">
        <v>284</v>
      </c>
      <c r="B48" s="290" t="s">
        <v>366</v>
      </c>
      <c r="C48" s="291" t="s">
        <v>368</v>
      </c>
      <c r="D48" s="286" t="s">
        <v>287</v>
      </c>
    </row>
    <row r="49" spans="1:4">
      <c r="A49" s="1256" t="s">
        <v>284</v>
      </c>
      <c r="B49" s="290" t="s">
        <v>366</v>
      </c>
      <c r="C49" s="291" t="s">
        <v>369</v>
      </c>
      <c r="D49" s="286" t="s">
        <v>370</v>
      </c>
    </row>
    <row r="50" spans="1:4">
      <c r="A50" s="1256" t="s">
        <v>284</v>
      </c>
      <c r="B50" s="290" t="s">
        <v>366</v>
      </c>
      <c r="C50" s="291" t="s">
        <v>371</v>
      </c>
      <c r="D50" s="286" t="s">
        <v>372</v>
      </c>
    </row>
    <row r="51" spans="1:4">
      <c r="A51" s="1256" t="s">
        <v>284</v>
      </c>
      <c r="B51" s="290" t="s">
        <v>373</v>
      </c>
      <c r="C51" s="291" t="s">
        <v>374</v>
      </c>
      <c r="D51" s="286" t="s">
        <v>375</v>
      </c>
    </row>
    <row r="52" spans="1:4">
      <c r="A52" s="1256" t="s">
        <v>284</v>
      </c>
      <c r="B52" s="290" t="s">
        <v>306</v>
      </c>
      <c r="C52" s="291" t="s">
        <v>376</v>
      </c>
      <c r="D52" s="286" t="s">
        <v>377</v>
      </c>
    </row>
    <row r="53" spans="1:4">
      <c r="A53" s="1256" t="s">
        <v>284</v>
      </c>
      <c r="B53" s="290" t="s">
        <v>378</v>
      </c>
      <c r="C53" s="291" t="s">
        <v>379</v>
      </c>
      <c r="D53" s="286" t="s">
        <v>377</v>
      </c>
    </row>
    <row r="54" spans="1:4">
      <c r="A54" s="1256" t="s">
        <v>284</v>
      </c>
      <c r="B54" s="290" t="s">
        <v>380</v>
      </c>
      <c r="C54" s="291" t="s">
        <v>381</v>
      </c>
      <c r="D54" s="227" t="s">
        <v>287</v>
      </c>
    </row>
    <row r="55" spans="1:4" ht="54">
      <c r="A55" s="1256" t="s">
        <v>382</v>
      </c>
      <c r="B55" s="290" t="s">
        <v>383</v>
      </c>
      <c r="C55" s="291" t="s">
        <v>384</v>
      </c>
      <c r="D55" s="292" t="s">
        <v>287</v>
      </c>
    </row>
    <row r="56" spans="1:4" ht="67.5">
      <c r="A56" s="1256" t="s">
        <v>382</v>
      </c>
      <c r="B56" s="290" t="s">
        <v>385</v>
      </c>
      <c r="C56" s="291" t="s">
        <v>386</v>
      </c>
      <c r="D56" s="292" t="s">
        <v>287</v>
      </c>
    </row>
    <row r="57" spans="1:4">
      <c r="A57" s="1256" t="s">
        <v>382</v>
      </c>
      <c r="B57" s="290" t="s">
        <v>387</v>
      </c>
      <c r="C57" s="291" t="s">
        <v>388</v>
      </c>
      <c r="D57" s="292" t="s">
        <v>287</v>
      </c>
    </row>
    <row r="58" spans="1:4">
      <c r="A58" s="1256" t="s">
        <v>382</v>
      </c>
      <c r="B58" s="290" t="s">
        <v>373</v>
      </c>
      <c r="C58" s="291" t="s">
        <v>389</v>
      </c>
      <c r="D58" s="292" t="s">
        <v>287</v>
      </c>
    </row>
    <row r="59" spans="1:4">
      <c r="A59" s="1256" t="s">
        <v>382</v>
      </c>
      <c r="B59" s="290" t="s">
        <v>390</v>
      </c>
      <c r="C59" s="291" t="s">
        <v>391</v>
      </c>
      <c r="D59" s="292" t="s">
        <v>392</v>
      </c>
    </row>
    <row r="60" spans="1:4" ht="27">
      <c r="A60" s="1256" t="s">
        <v>382</v>
      </c>
      <c r="B60" s="290" t="s">
        <v>342</v>
      </c>
      <c r="C60" s="291" t="s">
        <v>393</v>
      </c>
      <c r="D60" s="292" t="s">
        <v>392</v>
      </c>
    </row>
    <row r="61" spans="1:4">
      <c r="A61" s="1256" t="s">
        <v>382</v>
      </c>
      <c r="B61" s="290" t="s">
        <v>394</v>
      </c>
      <c r="C61" s="291" t="s">
        <v>395</v>
      </c>
      <c r="D61" s="292" t="s">
        <v>396</v>
      </c>
    </row>
    <row r="62" spans="1:4">
      <c r="A62" s="1256" t="s">
        <v>382</v>
      </c>
      <c r="B62" s="290" t="s">
        <v>383</v>
      </c>
      <c r="C62" s="291" t="s">
        <v>397</v>
      </c>
      <c r="D62" s="292" t="s">
        <v>221</v>
      </c>
    </row>
    <row r="63" spans="1:4">
      <c r="A63" s="1256" t="s">
        <v>382</v>
      </c>
      <c r="B63" s="290" t="s">
        <v>398</v>
      </c>
      <c r="C63" s="291" t="s">
        <v>399</v>
      </c>
      <c r="D63" s="292" t="s">
        <v>287</v>
      </c>
    </row>
    <row r="64" spans="1:4">
      <c r="A64" s="1256" t="s">
        <v>382</v>
      </c>
      <c r="B64" s="290" t="s">
        <v>277</v>
      </c>
      <c r="C64" s="291" t="s">
        <v>400</v>
      </c>
      <c r="D64" s="292" t="s">
        <v>287</v>
      </c>
    </row>
    <row r="65" spans="1:4">
      <c r="A65" s="1256" t="s">
        <v>382</v>
      </c>
      <c r="B65" s="290" t="s">
        <v>277</v>
      </c>
      <c r="C65" s="291" t="s">
        <v>401</v>
      </c>
      <c r="D65" s="292" t="s">
        <v>287</v>
      </c>
    </row>
    <row r="66" spans="1:4">
      <c r="A66" s="1256" t="s">
        <v>382</v>
      </c>
      <c r="B66" s="290" t="s">
        <v>278</v>
      </c>
      <c r="C66" s="291" t="s">
        <v>402</v>
      </c>
      <c r="D66" s="292" t="s">
        <v>287</v>
      </c>
    </row>
    <row r="67" spans="1:4">
      <c r="A67" s="1256" t="s">
        <v>382</v>
      </c>
      <c r="B67" s="290" t="s">
        <v>339</v>
      </c>
      <c r="C67" s="291" t="s">
        <v>403</v>
      </c>
      <c r="D67" s="292" t="s">
        <v>287</v>
      </c>
    </row>
    <row r="68" spans="1:4">
      <c r="A68" s="1256" t="s">
        <v>404</v>
      </c>
      <c r="B68" s="290" t="s">
        <v>405</v>
      </c>
      <c r="C68" s="291" t="s">
        <v>406</v>
      </c>
      <c r="D68" s="292" t="s">
        <v>287</v>
      </c>
    </row>
    <row r="69" spans="1:4">
      <c r="A69" s="1256" t="s">
        <v>404</v>
      </c>
      <c r="B69" s="290" t="s">
        <v>407</v>
      </c>
      <c r="C69" s="291" t="s">
        <v>408</v>
      </c>
      <c r="D69" s="292" t="s">
        <v>287</v>
      </c>
    </row>
    <row r="70" spans="1:4">
      <c r="A70" s="1256" t="s">
        <v>404</v>
      </c>
      <c r="B70" s="1205" t="s">
        <v>407</v>
      </c>
      <c r="C70" s="291" t="s">
        <v>409</v>
      </c>
      <c r="D70" s="292" t="s">
        <v>287</v>
      </c>
    </row>
    <row r="71" spans="1:4">
      <c r="A71" s="1256" t="s">
        <v>404</v>
      </c>
      <c r="B71" s="1205" t="s">
        <v>407</v>
      </c>
      <c r="C71" s="291" t="s">
        <v>410</v>
      </c>
      <c r="D71" s="292" t="s">
        <v>287</v>
      </c>
    </row>
    <row r="72" spans="1:4">
      <c r="A72" s="1256" t="s">
        <v>404</v>
      </c>
      <c r="B72" s="1205" t="s">
        <v>407</v>
      </c>
      <c r="C72" s="291" t="s">
        <v>411</v>
      </c>
      <c r="D72" s="292" t="s">
        <v>287</v>
      </c>
    </row>
    <row r="73" spans="1:4" ht="27">
      <c r="A73" s="1256" t="s">
        <v>404</v>
      </c>
      <c r="B73" s="1205" t="s">
        <v>412</v>
      </c>
      <c r="C73" s="291" t="s">
        <v>413</v>
      </c>
      <c r="D73" s="292" t="s">
        <v>287</v>
      </c>
    </row>
    <row r="74" spans="1:4" ht="27">
      <c r="A74" s="1256" t="s">
        <v>414</v>
      </c>
      <c r="B74" s="1205" t="s">
        <v>415</v>
      </c>
      <c r="C74" s="291" t="s">
        <v>416</v>
      </c>
      <c r="D74" s="292" t="s">
        <v>417</v>
      </c>
    </row>
    <row r="75" spans="1:4" ht="27">
      <c r="A75" s="1256" t="s">
        <v>414</v>
      </c>
      <c r="B75" s="1205" t="s">
        <v>418</v>
      </c>
      <c r="C75" s="291" t="s">
        <v>419</v>
      </c>
      <c r="D75" s="292" t="s">
        <v>417</v>
      </c>
    </row>
    <row r="76" spans="1:4">
      <c r="A76" s="1256" t="s">
        <v>414</v>
      </c>
      <c r="B76" s="1205" t="s">
        <v>420</v>
      </c>
      <c r="C76" s="291" t="s">
        <v>421</v>
      </c>
      <c r="D76" s="292" t="s">
        <v>422</v>
      </c>
    </row>
    <row r="77" spans="1:4" ht="27">
      <c r="A77" s="1256" t="s">
        <v>414</v>
      </c>
      <c r="B77" s="1215" t="s">
        <v>423</v>
      </c>
      <c r="C77" s="1223" t="s">
        <v>424</v>
      </c>
      <c r="D77" s="1216" t="s">
        <v>422</v>
      </c>
    </row>
    <row r="78" spans="1:4" ht="54">
      <c r="A78" s="1256" t="s">
        <v>414</v>
      </c>
      <c r="B78" s="290" t="s">
        <v>425</v>
      </c>
      <c r="C78" s="291" t="s">
        <v>426</v>
      </c>
      <c r="D78" s="227" t="s">
        <v>287</v>
      </c>
    </row>
    <row r="79" spans="1:4">
      <c r="A79" s="1256" t="s">
        <v>414</v>
      </c>
      <c r="B79" s="290" t="s">
        <v>427</v>
      </c>
      <c r="C79" s="291" t="s">
        <v>428</v>
      </c>
      <c r="D79" s="227" t="s">
        <v>287</v>
      </c>
    </row>
    <row r="80" spans="1:4">
      <c r="A80" s="1256" t="s">
        <v>414</v>
      </c>
      <c r="B80" s="290" t="s">
        <v>332</v>
      </c>
      <c r="C80" s="291" t="s">
        <v>429</v>
      </c>
      <c r="D80" s="227" t="s">
        <v>287</v>
      </c>
    </row>
    <row r="81" spans="1:4">
      <c r="A81" s="1256" t="s">
        <v>414</v>
      </c>
      <c r="B81" s="290" t="s">
        <v>332</v>
      </c>
      <c r="C81" s="291" t="s">
        <v>430</v>
      </c>
      <c r="D81" s="227" t="s">
        <v>287</v>
      </c>
    </row>
    <row r="82" spans="1:4">
      <c r="A82" s="1256" t="s">
        <v>414</v>
      </c>
      <c r="B82" s="290" t="s">
        <v>431</v>
      </c>
      <c r="C82" s="291" t="s">
        <v>432</v>
      </c>
      <c r="D82" s="227" t="s">
        <v>287</v>
      </c>
    </row>
    <row r="83" spans="1:4" ht="27">
      <c r="A83" s="1256" t="s">
        <v>414</v>
      </c>
      <c r="B83" s="290" t="s">
        <v>433</v>
      </c>
      <c r="C83" s="291" t="s">
        <v>434</v>
      </c>
      <c r="D83" s="227" t="s">
        <v>287</v>
      </c>
    </row>
    <row r="84" spans="1:4">
      <c r="A84" s="1265" t="s">
        <v>414</v>
      </c>
      <c r="B84" s="1220" t="s">
        <v>435</v>
      </c>
      <c r="C84" s="1223" t="s">
        <v>436</v>
      </c>
      <c r="D84" s="227" t="s">
        <v>287</v>
      </c>
    </row>
    <row r="85" spans="1:4">
      <c r="A85" s="1256" t="s">
        <v>414</v>
      </c>
      <c r="B85" s="290" t="s">
        <v>278</v>
      </c>
      <c r="C85" s="1224" t="s">
        <v>437</v>
      </c>
      <c r="D85" s="227" t="s">
        <v>287</v>
      </c>
    </row>
    <row r="86" spans="1:4">
      <c r="A86" s="1257" t="s">
        <v>438</v>
      </c>
      <c r="B86" s="1220" t="s">
        <v>306</v>
      </c>
      <c r="C86" s="1225" t="s">
        <v>439</v>
      </c>
      <c r="D86" s="227" t="s">
        <v>287</v>
      </c>
    </row>
    <row r="87" spans="1:4">
      <c r="A87" s="1257" t="s">
        <v>438</v>
      </c>
      <c r="B87" s="1240" t="s">
        <v>440</v>
      </c>
      <c r="C87" s="1226" t="s">
        <v>441</v>
      </c>
      <c r="D87" s="123" t="s">
        <v>442</v>
      </c>
    </row>
    <row r="88" spans="1:4">
      <c r="A88" s="1257" t="s">
        <v>438</v>
      </c>
      <c r="B88" s="290" t="s">
        <v>443</v>
      </c>
      <c r="C88" s="1238" t="s">
        <v>444</v>
      </c>
      <c r="D88" s="1239" t="s">
        <v>287</v>
      </c>
    </row>
    <row r="89" spans="1:4">
      <c r="A89" s="1257" t="s">
        <v>438</v>
      </c>
      <c r="B89" s="290" t="s">
        <v>445</v>
      </c>
      <c r="C89" s="1224" t="s">
        <v>446</v>
      </c>
      <c r="D89" s="227" t="s">
        <v>447</v>
      </c>
    </row>
    <row r="90" spans="1:4" ht="40.5">
      <c r="A90" s="1257" t="s">
        <v>438</v>
      </c>
      <c r="B90" s="1231" t="s">
        <v>448</v>
      </c>
      <c r="C90" s="1241" t="s">
        <v>449</v>
      </c>
      <c r="D90" s="202" t="s">
        <v>447</v>
      </c>
    </row>
    <row r="91" spans="1:4" ht="27">
      <c r="A91" s="1257" t="s">
        <v>438</v>
      </c>
      <c r="B91" s="1251" t="s">
        <v>450</v>
      </c>
      <c r="C91" s="1258" t="s">
        <v>451</v>
      </c>
      <c r="D91" s="1253" t="s">
        <v>452</v>
      </c>
    </row>
    <row r="92" spans="1:4">
      <c r="A92" s="1257" t="s">
        <v>438</v>
      </c>
      <c r="B92" s="1251" t="s">
        <v>453</v>
      </c>
      <c r="C92" s="123" t="s">
        <v>454</v>
      </c>
      <c r="D92" s="123" t="s">
        <v>455</v>
      </c>
    </row>
    <row r="93" spans="1:4" ht="27">
      <c r="A93" s="1257" t="s">
        <v>438</v>
      </c>
      <c r="B93" s="1251" t="s">
        <v>456</v>
      </c>
      <c r="C93" s="1252" t="s">
        <v>457</v>
      </c>
      <c r="D93" s="123" t="s">
        <v>455</v>
      </c>
    </row>
    <row r="94" spans="1:4" ht="27">
      <c r="A94" s="1257" t="s">
        <v>438</v>
      </c>
      <c r="B94" s="1251" t="s">
        <v>458</v>
      </c>
      <c r="C94" s="1252" t="s">
        <v>459</v>
      </c>
      <c r="D94" s="123" t="s">
        <v>460</v>
      </c>
    </row>
    <row r="95" spans="1:4">
      <c r="A95" s="1257" t="s">
        <v>438</v>
      </c>
      <c r="B95" s="1251" t="s">
        <v>461</v>
      </c>
      <c r="C95" s="1252" t="s">
        <v>462</v>
      </c>
      <c r="D95" s="123" t="s">
        <v>460</v>
      </c>
    </row>
    <row r="96" spans="1:4">
      <c r="A96" s="1257" t="s">
        <v>438</v>
      </c>
      <c r="B96" s="1251" t="s">
        <v>323</v>
      </c>
      <c r="C96" s="1252" t="s">
        <v>463</v>
      </c>
      <c r="D96" s="123" t="s">
        <v>464</v>
      </c>
    </row>
    <row r="97" spans="1:4" ht="126" customHeight="1">
      <c r="A97" s="1257" t="s">
        <v>438</v>
      </c>
      <c r="B97" s="1251" t="s">
        <v>260</v>
      </c>
      <c r="C97" s="1252" t="s">
        <v>465</v>
      </c>
      <c r="D97" s="1254" t="s">
        <v>466</v>
      </c>
    </row>
    <row r="98" spans="1:4" ht="46.5" customHeight="1">
      <c r="A98" s="1257" t="s">
        <v>438</v>
      </c>
      <c r="B98" s="1251" t="s">
        <v>467</v>
      </c>
      <c r="C98" s="1255" t="s">
        <v>468</v>
      </c>
      <c r="D98" s="1254" t="s">
        <v>464</v>
      </c>
    </row>
    <row r="99" spans="1:4">
      <c r="A99" s="1257" t="s">
        <v>438</v>
      </c>
      <c r="B99" s="1251" t="s">
        <v>339</v>
      </c>
      <c r="C99" s="1255" t="s">
        <v>469</v>
      </c>
      <c r="D99" s="1254" t="s">
        <v>470</v>
      </c>
    </row>
    <row r="100" spans="1:4">
      <c r="A100" s="1257" t="s">
        <v>438</v>
      </c>
      <c r="B100" s="1251" t="s">
        <v>471</v>
      </c>
      <c r="C100" s="1255" t="s">
        <v>472</v>
      </c>
      <c r="D100" s="1254" t="s">
        <v>287</v>
      </c>
    </row>
    <row r="101" spans="1:4">
      <c r="A101" s="1257" t="s">
        <v>438</v>
      </c>
      <c r="B101" s="1251" t="s">
        <v>323</v>
      </c>
      <c r="C101" s="1255" t="s">
        <v>473</v>
      </c>
      <c r="D101" s="1254" t="s">
        <v>287</v>
      </c>
    </row>
    <row r="102" spans="1:4">
      <c r="A102" s="1257" t="s">
        <v>438</v>
      </c>
      <c r="B102" s="1251" t="s">
        <v>323</v>
      </c>
      <c r="C102" s="1255" t="s">
        <v>474</v>
      </c>
      <c r="D102" s="1254" t="s">
        <v>475</v>
      </c>
    </row>
    <row r="103" spans="1:4">
      <c r="A103" s="1257" t="s">
        <v>438</v>
      </c>
      <c r="B103" s="1251" t="s">
        <v>277</v>
      </c>
      <c r="C103" s="1255" t="s">
        <v>476</v>
      </c>
      <c r="D103" s="1254" t="s">
        <v>287</v>
      </c>
    </row>
    <row r="104" spans="1:4" ht="27">
      <c r="A104" s="1257" t="s">
        <v>438</v>
      </c>
      <c r="B104" s="1251" t="s">
        <v>477</v>
      </c>
      <c r="C104" s="1255" t="s">
        <v>478</v>
      </c>
      <c r="D104" s="1254" t="s">
        <v>287</v>
      </c>
    </row>
    <row r="105" spans="1:4" ht="27">
      <c r="A105" s="1257" t="s">
        <v>438</v>
      </c>
      <c r="B105" s="1251" t="s">
        <v>265</v>
      </c>
      <c r="C105" s="1255" t="s">
        <v>479</v>
      </c>
      <c r="D105" s="1254" t="s">
        <v>287</v>
      </c>
    </row>
    <row r="106" spans="1:4">
      <c r="A106" s="1257" t="s">
        <v>438</v>
      </c>
      <c r="B106" s="1251" t="s">
        <v>480</v>
      </c>
      <c r="C106" s="1255" t="s">
        <v>481</v>
      </c>
      <c r="D106" s="1254" t="s">
        <v>204</v>
      </c>
    </row>
    <row r="107" spans="1:4">
      <c r="C107" s="37"/>
    </row>
    <row r="108" spans="1:4">
      <c r="C108" s="37"/>
    </row>
    <row r="109" spans="1:4">
      <c r="C109" s="37"/>
    </row>
    <row r="110" spans="1:4">
      <c r="C110" s="37"/>
    </row>
    <row r="111" spans="1:4">
      <c r="C111" s="37"/>
    </row>
    <row r="112" spans="1:4">
      <c r="C112" s="37"/>
    </row>
    <row r="113" spans="3:3">
      <c r="C113" s="37"/>
    </row>
  </sheetData>
  <phoneticPr fontId="260" type="noConversion"/>
  <pageMargins left="0.70866141732283472" right="0.70866141732283472" top="0.74803149606299213" bottom="0.74803149606299213" header="0.31496062992125984" footer="0.31496062992125984"/>
  <pageSetup paperSize="8" scale="86" orientation="landscape" r:id="rId1"/>
  <headerFooter>
    <oddFooter>&amp;C_x000D_&amp;1#&amp;"Calibri"&amp;10&amp;K000000 OFFICIAL-InternalOnly</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W101"/>
  <sheetViews>
    <sheetView zoomScaleNormal="100" workbookViewId="0">
      <selection activeCell="A4" sqref="A4"/>
    </sheetView>
  </sheetViews>
  <sheetFormatPr defaultColWidth="9" defaultRowHeight="13.5"/>
  <cols>
    <col min="1" max="1" width="8.3828125" customWidth="1"/>
    <col min="2" max="2" width="50.15234375" style="34" customWidth="1"/>
    <col min="3" max="3" width="13.3828125" customWidth="1"/>
    <col min="4" max="4" width="10.61328125" bestFit="1" customWidth="1"/>
    <col min="5" max="5" width="10.84375" bestFit="1" customWidth="1"/>
    <col min="6" max="8" width="9.15234375" customWidth="1"/>
    <col min="9" max="9" width="2.61328125" customWidth="1"/>
    <col min="10" max="11" width="13.765625" customWidth="1"/>
    <col min="12" max="12" width="5.15234375" customWidth="1"/>
    <col min="16" max="16" width="10.4609375" bestFit="1" customWidth="1"/>
  </cols>
  <sheetData>
    <row r="1" spans="1:20" ht="20">
      <c r="A1" s="257" t="s">
        <v>482</v>
      </c>
      <c r="B1" s="348"/>
      <c r="C1" s="349"/>
      <c r="D1" s="349"/>
      <c r="E1" s="349"/>
      <c r="F1" s="349"/>
      <c r="G1" s="350"/>
      <c r="H1" s="350"/>
      <c r="I1" s="351"/>
      <c r="J1" s="351"/>
      <c r="K1" s="351"/>
      <c r="L1" s="352" t="s">
        <v>244</v>
      </c>
    </row>
    <row r="2" spans="1:20" ht="20">
      <c r="A2" s="315" t="str">
        <f>Licensee</f>
        <v>Cadent-NW</v>
      </c>
      <c r="B2" s="353"/>
      <c r="C2" s="106"/>
      <c r="D2" s="106"/>
      <c r="E2" s="106"/>
      <c r="F2" s="106"/>
      <c r="G2" s="6"/>
      <c r="H2" s="6"/>
      <c r="I2" s="354"/>
      <c r="J2" s="354"/>
      <c r="K2" s="354"/>
      <c r="L2" s="355"/>
    </row>
    <row r="3" spans="1:20" ht="20">
      <c r="A3" s="106">
        <f>Reporting_Year</f>
        <v>2024</v>
      </c>
      <c r="B3" s="6" t="str">
        <f>IF(Licensee=Data!$B$86,"Only required to be completed to show Operational Performance",IF(Licensee=Data!$B$89,"not required to be completed",""))</f>
        <v/>
      </c>
      <c r="C3" s="6"/>
      <c r="D3" s="6"/>
      <c r="E3" s="6"/>
      <c r="F3" s="6"/>
      <c r="G3" s="6"/>
      <c r="H3" s="356"/>
      <c r="I3" s="357"/>
      <c r="J3" s="357"/>
      <c r="K3" s="357"/>
      <c r="L3" s="358"/>
    </row>
    <row r="4" spans="1:20" ht="12.75" customHeight="1"/>
    <row r="5" spans="1:20">
      <c r="D5" s="359" t="str">
        <f t="shared" ref="D5:H5" si="0">IF(D6&lt;=Reporting_Year,"Actuals","Forecast")</f>
        <v>Actuals</v>
      </c>
      <c r="E5" s="359" t="str">
        <f t="shared" si="0"/>
        <v>Actuals</v>
      </c>
      <c r="F5" s="359" t="str">
        <f t="shared" si="0"/>
        <v>Actuals</v>
      </c>
      <c r="G5" s="359" t="str">
        <f t="shared" si="0"/>
        <v>Forecast</v>
      </c>
      <c r="H5" s="359" t="str">
        <f t="shared" si="0"/>
        <v>Forecast</v>
      </c>
      <c r="I5" s="360"/>
      <c r="J5" s="360"/>
    </row>
    <row r="6" spans="1:20" ht="31.5" customHeight="1">
      <c r="C6" s="361"/>
      <c r="D6" s="362">
        <f>RIIO_2_start_date</f>
        <v>2022</v>
      </c>
      <c r="E6" s="362">
        <f>D6+1</f>
        <v>2023</v>
      </c>
      <c r="F6" s="362">
        <f>E6+1</f>
        <v>2024</v>
      </c>
      <c r="G6" s="362">
        <f t="shared" ref="G6:H6" si="1">F6+1</f>
        <v>2025</v>
      </c>
      <c r="H6" s="362">
        <f t="shared" si="1"/>
        <v>2026</v>
      </c>
      <c r="I6" s="10"/>
      <c r="J6" s="363" t="str">
        <f>"Cumulative to "&amp;'RFPR cover'!$C$9</f>
        <v>Cumulative to 2024</v>
      </c>
      <c r="K6" s="364" t="s">
        <v>483</v>
      </c>
    </row>
    <row r="7" spans="1:20">
      <c r="C7" s="361"/>
      <c r="D7" s="365" t="str">
        <f>RIIO_2_start_date-1&amp;"/"&amp;RIGHT(RIIO_2_start_date,2)</f>
        <v>2021/22</v>
      </c>
      <c r="E7" s="365" t="str">
        <f>RIIO_2_start_date&amp;"/"&amp;RIGHT(RIIO_2_start_date+1,2)</f>
        <v>2022/23</v>
      </c>
      <c r="F7" s="365" t="str">
        <f>RIIO_2_start_date+1&amp;"/"&amp;RIGHT(RIIO_2_start_date+2,2)</f>
        <v>2023/24</v>
      </c>
      <c r="G7" s="365" t="str">
        <f>RIIO_2_start_date+2&amp;"/"&amp;RIGHT(RIIO_2_start_date+3,2)</f>
        <v>2024/25</v>
      </c>
      <c r="H7" s="365" t="str">
        <f>RIIO_2_start_date+3&amp;"/"&amp;RIGHT(RIIO_2_start_date+4,2)</f>
        <v>2025/26</v>
      </c>
      <c r="I7" s="361"/>
      <c r="J7" s="361"/>
      <c r="K7" s="361"/>
      <c r="L7" s="361"/>
    </row>
    <row r="8" spans="1:20">
      <c r="C8" s="34"/>
      <c r="D8" s="34"/>
      <c r="E8" s="34"/>
      <c r="F8" s="34"/>
      <c r="G8" s="34"/>
      <c r="H8" s="34"/>
      <c r="I8" s="34"/>
      <c r="J8" s="34"/>
      <c r="K8" s="34"/>
      <c r="L8" s="34"/>
      <c r="M8" s="34"/>
      <c r="N8" s="34"/>
      <c r="O8" s="34"/>
      <c r="P8" s="34"/>
      <c r="Q8" s="34"/>
      <c r="R8" s="34"/>
      <c r="S8" s="34"/>
      <c r="T8" s="34"/>
    </row>
    <row r="9" spans="1:20">
      <c r="B9" s="366" t="s">
        <v>484</v>
      </c>
      <c r="C9" s="38"/>
      <c r="D9" s="38"/>
      <c r="E9" s="38"/>
      <c r="F9" s="38"/>
      <c r="G9" s="38"/>
      <c r="H9" s="38"/>
      <c r="I9" s="367"/>
      <c r="J9" s="38"/>
      <c r="K9" s="38"/>
      <c r="L9" s="38"/>
    </row>
    <row r="10" spans="1:20">
      <c r="B10" s="368"/>
      <c r="I10" s="10"/>
    </row>
    <row r="11" spans="1:20">
      <c r="B11" s="178" t="s">
        <v>485</v>
      </c>
      <c r="C11" s="177" t="s">
        <v>486</v>
      </c>
      <c r="D11" s="71">
        <f>IFERROR(Equity_Return_on_the_RAV/NPV_neutral_equity_element_of_RAV,0)</f>
        <v>4.5181881000000007E-2</v>
      </c>
      <c r="E11" s="71">
        <f>IFERROR(Equity_Return_on_the_RAV/NPV_neutral_equity_element_of_RAV,0)</f>
        <v>4.5568104999999998E-2</v>
      </c>
      <c r="F11" s="71">
        <f>IFERROR(Equity_Return_on_the_RAV/NPV_neutral_equity_element_of_RAV,0)</f>
        <v>5.2833943999999994E-2</v>
      </c>
      <c r="G11" s="71">
        <f>IFERROR(Equity_Return_on_the_RAV/NPV_neutral_equity_element_of_RAV,0)</f>
        <v>5.5875458000000003E-2</v>
      </c>
      <c r="H11" s="71">
        <f>IFERROR(Equity_Return_on_the_RAV/NPV_neutral_equity_element_of_RAV,0)</f>
        <v>5.5175426999999992E-2</v>
      </c>
      <c r="I11" s="369"/>
      <c r="J11" s="72">
        <f>IFERROR(AVERAGE(D65:INDEX(D65:H65,0,MATCH('RFPR cover'!$C$9,$D$6:$H$6,0)))/AVERAGE($D$90:INDEX($D$90:$H$90,0,MATCH('RFPR cover'!$C$9,$D$6:$H$6,0))),0)</f>
        <v>4.7883058843838401E-2</v>
      </c>
      <c r="K11" s="72">
        <f t="shared" ref="K11:K21" si="2">IFERROR(AVERAGE(D65:H65)/AVERAGE($D$90:$H$90),0)</f>
        <v>5.0969611799480112E-2</v>
      </c>
    </row>
    <row r="12" spans="1:20">
      <c r="B12" s="178" t="str">
        <f t="shared" ref="B12:B18" si="3">B66</f>
        <v>Totex outperformance</v>
      </c>
      <c r="C12" s="177" t="s">
        <v>486</v>
      </c>
      <c r="D12" s="71">
        <f>IFERROR(Totex_outperformance/NPV_neutral_equity_element_of_RAV,0)</f>
        <v>2.5856712909498596E-3</v>
      </c>
      <c r="E12" s="71">
        <f>IFERROR(Totex_outperformance/NPV_neutral_equity_element_of_RAV,0)</f>
        <v>-2.5081346199670473E-3</v>
      </c>
      <c r="F12" s="71">
        <f>IFERROR(Totex_outperformance/NPV_neutral_equity_element_of_RAV,0)</f>
        <v>-1.2466888156481417E-2</v>
      </c>
      <c r="G12" s="71">
        <f>IFERROR(Totex_outperformance/NPV_neutral_equity_element_of_RAV,0)</f>
        <v>-7.3151709512935086E-3</v>
      </c>
      <c r="H12" s="71">
        <f>IFERROR(Totex_outperformance/NPV_neutral_equity_element_of_RAV,0)</f>
        <v>-6.7720701803535542E-4</v>
      </c>
      <c r="I12" s="369"/>
      <c r="J12" s="72">
        <f>IFERROR(AVERAGE(D66:INDEX(D66:H66,0,MATCH('RFPR cover'!$C$9,$D$6:$H$6,0)))/AVERAGE($D$90:INDEX($D$90:$H$90,0,MATCH('RFPR cover'!$C$9,$D$6:$H$6,0))),0)</f>
        <v>-4.176679641277185E-3</v>
      </c>
      <c r="K12" s="72">
        <f t="shared" si="2"/>
        <v>-4.0998504175165044E-3</v>
      </c>
      <c r="M12" s="369"/>
    </row>
    <row r="13" spans="1:20">
      <c r="A13" s="370" t="s">
        <v>487</v>
      </c>
      <c r="B13" s="178" t="str">
        <f t="shared" si="3"/>
        <v>Business Plan Incentive</v>
      </c>
      <c r="C13" s="177" t="s">
        <v>486</v>
      </c>
      <c r="D13" s="71">
        <f>IFERROR(Business_Plan_Incentive/NPV_neutral_equity_element_of_RAV,0)</f>
        <v>-7.9532376007768134E-6</v>
      </c>
      <c r="E13" s="71">
        <f>IFERROR(Business_Plan_Incentive/NPV_neutral_equity_element_of_RAV,0)</f>
        <v>-7.8415968051114134E-6</v>
      </c>
      <c r="F13" s="71">
        <f>IFERROR(Business_Plan_Incentive/NPV_neutral_equity_element_of_RAV,0)</f>
        <v>-7.7985475550855069E-6</v>
      </c>
      <c r="G13" s="71">
        <f>IFERROR(Business_Plan_Incentive/NPV_neutral_equity_element_of_RAV,0)</f>
        <v>-7.7592047774484176E-6</v>
      </c>
      <c r="H13" s="71">
        <f>IFERROR(Business_Plan_Incentive/NPV_neutral_equity_element_of_RAV,0)</f>
        <v>-7.7139135891571848E-6</v>
      </c>
      <c r="I13" s="369"/>
      <c r="J13" s="72">
        <f>IFERROR(AVERAGE(D67:INDEX(D67:H67,0,MATCH('RFPR cover'!$C$9,$D$6:$H$6,0)))/AVERAGE($D$90:INDEX($D$90:$H$90,0,MATCH('RFPR cover'!$C$9,$D$6:$H$6,0))),0)</f>
        <v>-7.8639224502295681E-6</v>
      </c>
      <c r="K13" s="72">
        <f t="shared" si="2"/>
        <v>-7.8124501852183873E-6</v>
      </c>
    </row>
    <row r="14" spans="1:20">
      <c r="A14" s="370" t="s">
        <v>488</v>
      </c>
      <c r="B14" s="178" t="str">
        <f t="shared" si="3"/>
        <v>Customer Satisfaction Survey ODI - (SpC 4.2)</v>
      </c>
      <c r="C14" s="177" t="s">
        <v>486</v>
      </c>
      <c r="D14" s="71">
        <f>IFERROR(ODI_1/NPV_neutral_equity_element_of_RAV,0)</f>
        <v>1.6281255087911293E-3</v>
      </c>
      <c r="E14" s="71">
        <f>IFERROR(ODI_1/NPV_neutral_equity_element_of_RAV,0)</f>
        <v>1.772446054246537E-3</v>
      </c>
      <c r="F14" s="71">
        <f>IFERROR(ODI_1/NPV_neutral_equity_element_of_RAV,0)</f>
        <v>1.5230613082499293E-3</v>
      </c>
      <c r="G14" s="71">
        <f>IFERROR(ODI_1/NPV_neutral_equity_element_of_RAV,0)</f>
        <v>1.8261550390239786E-3</v>
      </c>
      <c r="H14" s="71">
        <f>IFERROR(ODI_1/NPV_neutral_equity_element_of_RAV,0)</f>
        <v>1.9413220330255277E-3</v>
      </c>
      <c r="I14" s="369"/>
      <c r="J14" s="72">
        <f>IFERROR(AVERAGE(D68:INDEX(D68:H68,0,MATCH('RFPR cover'!$C$9,$D$6:$H$6,0)))/AVERAGE($D$90:INDEX($D$90:$H$90,0,MATCH('RFPR cover'!$C$9,$D$6:$H$6,0))),0)</f>
        <v>1.6410543381708399E-3</v>
      </c>
      <c r="K14" s="72">
        <f t="shared" si="2"/>
        <v>1.7391491744568812E-3</v>
      </c>
    </row>
    <row r="15" spans="1:20">
      <c r="A15" s="370" t="s">
        <v>489</v>
      </c>
      <c r="B15" s="178" t="str">
        <f t="shared" si="3"/>
        <v>Complaints metric ODI - (SpC 4.3)</v>
      </c>
      <c r="C15" s="177" t="s">
        <v>486</v>
      </c>
      <c r="D15" s="71">
        <f>IFERROR(ODI_2/NPV_neutral_equity_element_of_RAV,0)</f>
        <v>0</v>
      </c>
      <c r="E15" s="71">
        <f>IFERROR(ODI_2/NPV_neutral_equity_element_of_RAV,0)</f>
        <v>0</v>
      </c>
      <c r="F15" s="71">
        <f>IFERROR(ODI_2/NPV_neutral_equity_element_of_RAV,0)</f>
        <v>0</v>
      </c>
      <c r="G15" s="71">
        <f>IFERROR(ODI_2/NPV_neutral_equity_element_of_RAV,0)</f>
        <v>0</v>
      </c>
      <c r="H15" s="71">
        <f>IFERROR(ODI_2/NPV_neutral_equity_element_of_RAV,0)</f>
        <v>0</v>
      </c>
      <c r="I15" s="369"/>
      <c r="J15" s="72">
        <f>IFERROR(AVERAGE(D69:INDEX(D69:H69,0,MATCH('RFPR cover'!$C$9,$D$6:$H$6,0)))/AVERAGE($D$90:INDEX($D$90:$H$90,0,MATCH('RFPR cover'!$C$9,$D$6:$H$6,0))),0)</f>
        <v>0</v>
      </c>
      <c r="K15" s="72">
        <f t="shared" si="2"/>
        <v>0</v>
      </c>
    </row>
    <row r="16" spans="1:20">
      <c r="A16" s="370" t="s">
        <v>490</v>
      </c>
      <c r="B16" s="178" t="str">
        <f t="shared" si="3"/>
        <v>Unplanned Interruption Mean Duration ODI [NGN, SGN and WWU] - (SpC 4.5)</v>
      </c>
      <c r="C16" s="177" t="s">
        <v>486</v>
      </c>
      <c r="D16" s="71">
        <f>IFERROR(ODI_3/NPV_neutral_equity_element_of_RAV,0)</f>
        <v>0</v>
      </c>
      <c r="E16" s="71">
        <f>IFERROR(ODI_3/NPV_neutral_equity_element_of_RAV,0)</f>
        <v>0</v>
      </c>
      <c r="F16" s="71">
        <f>IFERROR(ODI_3/NPV_neutral_equity_element_of_RAV,0)</f>
        <v>0</v>
      </c>
      <c r="G16" s="71">
        <f>IFERROR(ODI_3/NPV_neutral_equity_element_of_RAV,0)</f>
        <v>0</v>
      </c>
      <c r="H16" s="71">
        <f>IFERROR(ODI_3/NPV_neutral_equity_element_of_RAV,0)</f>
        <v>0</v>
      </c>
      <c r="I16" s="369"/>
      <c r="J16" s="72">
        <f>IFERROR(AVERAGE(D70:INDEX(D70:H70,0,MATCH('RFPR cover'!$C$9,$D$6:$H$6,0)))/AVERAGE($D$90:INDEX($D$90:$H$90,0,MATCH('RFPR cover'!$C$9,$D$6:$H$6,0))),0)</f>
        <v>0</v>
      </c>
      <c r="K16" s="72">
        <f t="shared" si="2"/>
        <v>0</v>
      </c>
    </row>
    <row r="17" spans="1:11">
      <c r="A17" s="370" t="s">
        <v>491</v>
      </c>
      <c r="B17" s="178" t="str">
        <f t="shared" si="3"/>
        <v>Unplanned Interruption Mean Duration ODI [Cadent only]- (SpC 4.6)</v>
      </c>
      <c r="C17" s="177" t="s">
        <v>486</v>
      </c>
      <c r="D17" s="71">
        <f>IFERROR(ODI_4/NPV_neutral_equity_element_of_RAV,0)</f>
        <v>0</v>
      </c>
      <c r="E17" s="71">
        <f>IFERROR(ODI_4/NPV_neutral_equity_element_of_RAV,0)</f>
        <v>0</v>
      </c>
      <c r="F17" s="71">
        <f>IFERROR(ODI_4/NPV_neutral_equity_element_of_RAV,0)</f>
        <v>0</v>
      </c>
      <c r="G17" s="71">
        <f>IFERROR(ODI_4/NPV_neutral_equity_element_of_RAV,0)</f>
        <v>0</v>
      </c>
      <c r="H17" s="71">
        <f>IFERROR(ODI_4/NPV_neutral_equity_element_of_RAV,0)</f>
        <v>0</v>
      </c>
      <c r="I17" s="369"/>
      <c r="J17" s="72">
        <f>IFERROR(AVERAGE(D71:INDEX(D71:H71,0,MATCH('RFPR cover'!$C$9,$D$6:$H$6,0)))/AVERAGE($D$90:INDEX($D$90:$H$90,0,MATCH('RFPR cover'!$C$9,$D$6:$H$6,0))),0)</f>
        <v>0</v>
      </c>
      <c r="K17" s="72">
        <f t="shared" si="2"/>
        <v>0</v>
      </c>
    </row>
    <row r="18" spans="1:11">
      <c r="A18" s="370" t="s">
        <v>492</v>
      </c>
      <c r="B18" s="178" t="str">
        <f t="shared" si="3"/>
        <v>Shrinkage Management ODI- (SpC 4.4)</v>
      </c>
      <c r="C18" s="177" t="s">
        <v>486</v>
      </c>
      <c r="D18" s="71">
        <f>IFERROR(ODI_5/NPV_neutral_equity_element_of_RAV,0)</f>
        <v>5.1984740593099741E-4</v>
      </c>
      <c r="E18" s="71">
        <f>IFERROR(ODI_5/NPV_neutral_equity_element_of_RAV,0)</f>
        <v>5.125502294934342E-4</v>
      </c>
      <c r="F18" s="71">
        <f>IFERROR(ODI_5/NPV_neutral_equity_element_of_RAV,0)</f>
        <v>5.0973640170699211E-4</v>
      </c>
      <c r="G18" s="71">
        <f>IFERROR(ODI_5/NPV_neutral_equity_element_of_RAV,0)</f>
        <v>4.6884453567428921E-4</v>
      </c>
      <c r="H18" s="71">
        <f>IFERROR(ODI_5/NPV_neutral_equity_element_of_RAV,0)</f>
        <v>5.0420447246635257E-4</v>
      </c>
      <c r="I18" s="369"/>
      <c r="J18" s="72">
        <f>IFERROR(AVERAGE(D72:INDEX(D72:H72,0,MATCH('RFPR cover'!$C$9,$D$6:$H$6,0)))/AVERAGE($D$90:INDEX($D$90:$H$90,0,MATCH('RFPR cover'!$C$9,$D$6:$H$6,0))),0)</f>
        <v>5.140095004574094E-4</v>
      </c>
      <c r="K18" s="72">
        <f t="shared" si="2"/>
        <v>5.0292846582638618E-4</v>
      </c>
    </row>
    <row r="19" spans="1:11">
      <c r="A19" s="370" t="s">
        <v>493</v>
      </c>
      <c r="B19" s="178" t="str">
        <f>B73</f>
        <v>Collaborative streetworks ODI [Cadent Lon &amp; EoE, SGN So only]- (SpC 4.7)</v>
      </c>
      <c r="C19" s="177" t="s">
        <v>486</v>
      </c>
      <c r="D19" s="71">
        <f>IFERROR(ODI_6/NPV_neutral_equity_element_of_RAV,0)</f>
        <v>0</v>
      </c>
      <c r="E19" s="71">
        <f>IFERROR(ODI_6/NPV_neutral_equity_element_of_RAV,0)</f>
        <v>0</v>
      </c>
      <c r="F19" s="71">
        <f>IFERROR(ODI_6/NPV_neutral_equity_element_of_RAV,0)</f>
        <v>0</v>
      </c>
      <c r="G19" s="71">
        <f>IFERROR(ODI_6/NPV_neutral_equity_element_of_RAV,0)</f>
        <v>0</v>
      </c>
      <c r="H19" s="71">
        <f>IFERROR(ODI_6/NPV_neutral_equity_element_of_RAV,0)</f>
        <v>0</v>
      </c>
      <c r="I19" s="369"/>
      <c r="J19" s="72">
        <f>IFERROR(AVERAGE(D73:INDEX(D73:H73,0,MATCH('RFPR cover'!$C$9,$D$6:$H$6,0)))/AVERAGE($D$90:INDEX($D$90:$H$90,0,MATCH('RFPR cover'!$C$9,$D$6:$H$6,0))),0)</f>
        <v>0</v>
      </c>
      <c r="K19" s="72">
        <f t="shared" si="2"/>
        <v>0</v>
      </c>
    </row>
    <row r="20" spans="1:11">
      <c r="A20" s="370" t="s">
        <v>494</v>
      </c>
      <c r="B20" s="178" t="str">
        <f t="shared" ref="B20" si="4">B74</f>
        <v>Network innovation input for RORE</v>
      </c>
      <c r="C20" s="177" t="s">
        <v>486</v>
      </c>
      <c r="D20" s="71">
        <f>IFERROR(ORA_1/NPV_neutral_equity_element_of_RAV,0)</f>
        <v>-4.2681311790130055E-4</v>
      </c>
      <c r="E20" s="71">
        <f>IFERROR(ORA_1/NPV_neutral_equity_element_of_RAV,0)</f>
        <v>-6.9598317559988929E-4</v>
      </c>
      <c r="F20" s="71">
        <f>IFERROR(ORA_1/NPV_neutral_equity_element_of_RAV,0)</f>
        <v>-9.964495709755901E-4</v>
      </c>
      <c r="G20" s="71">
        <f>IFERROR(ORA_1/NPV_neutral_equity_element_of_RAV,0)</f>
        <v>-2.8211620972431774E-3</v>
      </c>
      <c r="H20" s="71">
        <f>IFERROR(ORA_1/NPV_neutral_equity_element_of_RAV,0)</f>
        <v>-2.7873539576366594E-3</v>
      </c>
      <c r="I20" s="369"/>
      <c r="J20" s="72">
        <f>IFERROR(AVERAGE(D74:INDEX(D74:H74,0,MATCH('RFPR cover'!$C$9,$D$6:$H$6,0)))/AVERAGE($D$90:INDEX($D$90:$H$90,0,MATCH('RFPR cover'!$C$9,$D$6:$H$6,0))),0)</f>
        <v>-7.0826248374440074E-4</v>
      </c>
      <c r="K20" s="72">
        <f>IFERROR(AVERAGE(D74:H74)/AVERAGE($D$90:$H$90),0)</f>
        <v>-1.5548721521010697E-3</v>
      </c>
    </row>
    <row r="21" spans="1:11">
      <c r="A21" s="370" t="s">
        <v>495</v>
      </c>
      <c r="B21" s="178" t="str">
        <f t="shared" ref="B21" si="5">B75</f>
        <v>Carry-over Network innovation input for RORE</v>
      </c>
      <c r="C21" s="177" t="s">
        <v>486</v>
      </c>
      <c r="D21" s="71">
        <f>IFERROR(ORA_2/NPV_neutral_equity_element_of_RAV,0)</f>
        <v>-8.373924360302922E-5</v>
      </c>
      <c r="E21" s="71">
        <f>IFERROR(ORA_2/NPV_neutral_equity_element_of_RAV,0)</f>
        <v>0</v>
      </c>
      <c r="F21" s="71">
        <f>IFERROR(ORA_2/NPV_neutral_equity_element_of_RAV,0)</f>
        <v>0</v>
      </c>
      <c r="G21" s="71">
        <f>IFERROR(ORA_2/NPV_neutral_equity_element_of_RAV,0)</f>
        <v>0</v>
      </c>
      <c r="H21" s="71">
        <f>IFERROR(ORA_2/NPV_neutral_equity_element_of_RAV,0)</f>
        <v>0</v>
      </c>
      <c r="I21" s="369"/>
      <c r="J21" s="72">
        <f>IFERROR(AVERAGE(D75:INDEX(D75:H75,0,MATCH('RFPR cover'!$C$9,$D$6:$H$6,0)))/AVERAGE($D$90:INDEX($D$90:$H$90,0,MATCH('RFPR cover'!$C$9,$D$6:$H$6,0))),0)</f>
        <v>-2.7599616273284941E-5</v>
      </c>
      <c r="K21" s="72">
        <f t="shared" si="2"/>
        <v>-1.6451379979711282E-5</v>
      </c>
    </row>
    <row r="22" spans="1:11">
      <c r="A22" s="370" t="s">
        <v>496</v>
      </c>
      <c r="B22" s="178" t="str">
        <f t="shared" ref="B22:B27" si="6">B76</f>
        <v>Strategic innovation input for RORE</v>
      </c>
      <c r="C22" s="177" t="s">
        <v>486</v>
      </c>
      <c r="D22" s="71">
        <f>IFERROR(ORA_3/NPV_neutral_equity_element_of_RAV,0)</f>
        <v>0</v>
      </c>
      <c r="E22" s="71">
        <f>IFERROR(ORA_3/NPV_neutral_equity_element_of_RAV,0)</f>
        <v>0</v>
      </c>
      <c r="F22" s="71">
        <f>IFERROR(ORA_3/NPV_neutral_equity_element_of_RAV,0)</f>
        <v>0</v>
      </c>
      <c r="G22" s="71">
        <f>IFERROR(ORA_3/NPV_neutral_equity_element_of_RAV,0)</f>
        <v>0</v>
      </c>
      <c r="H22" s="71">
        <f>IFERROR(ORA_3/NPV_neutral_equity_element_of_RAV,0)</f>
        <v>0</v>
      </c>
      <c r="I22" s="369"/>
      <c r="J22" s="72">
        <f>IFERROR(AVERAGE(D76:INDEX(D76:H76,0,MATCH('RFPR cover'!$C$9,$D$6:$H$6,0)))/AVERAGE($D$90:INDEX($D$90:$H$90,0,MATCH('RFPR cover'!$C$9,$D$6:$H$6,0))),0)</f>
        <v>0</v>
      </c>
      <c r="K22" s="72">
        <f>IFERROR(AVERAGE(D76:H76)/AVERAGE($D$90:$H$90),0)</f>
        <v>0</v>
      </c>
    </row>
    <row r="23" spans="1:11">
      <c r="A23" s="370" t="s">
        <v>497</v>
      </c>
      <c r="B23" s="178" t="str">
        <f t="shared" si="6"/>
        <v/>
      </c>
      <c r="C23" s="177" t="s">
        <v>486</v>
      </c>
      <c r="D23" s="71">
        <f>IFERROR(ORA_4/NPV_neutral_equity_element_of_RAV,0)</f>
        <v>0</v>
      </c>
      <c r="E23" s="71">
        <f>IFERROR(ORA_4/NPV_neutral_equity_element_of_RAV,0)</f>
        <v>0</v>
      </c>
      <c r="F23" s="71">
        <f>IFERROR(ORA_4/NPV_neutral_equity_element_of_RAV,0)</f>
        <v>0</v>
      </c>
      <c r="G23" s="71">
        <f>IFERROR(ORA_4/NPV_neutral_equity_element_of_RAV,0)</f>
        <v>0</v>
      </c>
      <c r="H23" s="71">
        <f>IFERROR(ORA_4/NPV_neutral_equity_element_of_RAV,0)</f>
        <v>0</v>
      </c>
      <c r="I23" s="369"/>
      <c r="J23" s="72">
        <f>IFERROR(AVERAGE(D77:INDEX(D77:H77,0,MATCH('RFPR cover'!$C$9,$D$6:$H$6,0)))/AVERAGE($D$90:INDEX($D$90:$H$90,0,MATCH('RFPR cover'!$C$9,$D$6:$H$6,0))),0)</f>
        <v>0</v>
      </c>
      <c r="K23" s="72">
        <f t="shared" ref="K23:K28" si="7">IFERROR(AVERAGE(D77:H77)/AVERAGE($D$90:$H$90),0)</f>
        <v>0</v>
      </c>
    </row>
    <row r="24" spans="1:11">
      <c r="A24" s="370" t="s">
        <v>498</v>
      </c>
      <c r="B24" s="178" t="str">
        <f t="shared" si="6"/>
        <v/>
      </c>
      <c r="C24" s="177" t="s">
        <v>486</v>
      </c>
      <c r="D24" s="71">
        <f>IFERROR(ORA_5/NPV_neutral_equity_element_of_RAV,0)</f>
        <v>0</v>
      </c>
      <c r="E24" s="71">
        <f>IFERROR(ORA_5/NPV_neutral_equity_element_of_RAV,0)</f>
        <v>0</v>
      </c>
      <c r="F24" s="71">
        <f>IFERROR(ORA_5/NPV_neutral_equity_element_of_RAV,0)</f>
        <v>0</v>
      </c>
      <c r="G24" s="71">
        <f>IFERROR(ORA_5/NPV_neutral_equity_element_of_RAV,0)</f>
        <v>0</v>
      </c>
      <c r="H24" s="71">
        <f>IFERROR(ORA_5/NPV_neutral_equity_element_of_RAV,0)</f>
        <v>0</v>
      </c>
      <c r="I24" s="369"/>
      <c r="J24" s="72">
        <f>IFERROR(AVERAGE(D78:INDEX(D78:H78,0,MATCH('RFPR cover'!$C$9,$D$6:$H$6,0)))/AVERAGE($D$90:INDEX($D$90:$H$90,0,MATCH('RFPR cover'!$C$9,$D$6:$H$6,0))),0)</f>
        <v>0</v>
      </c>
      <c r="K24" s="72">
        <f t="shared" si="7"/>
        <v>0</v>
      </c>
    </row>
    <row r="25" spans="1:11">
      <c r="A25" s="370" t="s">
        <v>499</v>
      </c>
      <c r="B25" s="178" t="str">
        <f t="shared" si="6"/>
        <v/>
      </c>
      <c r="C25" s="177" t="s">
        <v>486</v>
      </c>
      <c r="D25" s="71">
        <f>IFERROR(ORA_6/NPV_neutral_equity_element_of_RAV,0)</f>
        <v>0</v>
      </c>
      <c r="E25" s="71">
        <f>IFERROR(ORA_6/NPV_neutral_equity_element_of_RAV,0)</f>
        <v>0</v>
      </c>
      <c r="F25" s="71">
        <f>IFERROR(ORA_6/NPV_neutral_equity_element_of_RAV,0)</f>
        <v>0</v>
      </c>
      <c r="G25" s="71">
        <f>IFERROR(ORA_6/NPV_neutral_equity_element_of_RAV,0)</f>
        <v>0</v>
      </c>
      <c r="H25" s="71">
        <f>IFERROR(ORA_6/NPV_neutral_equity_element_of_RAV,0)</f>
        <v>0</v>
      </c>
      <c r="I25" s="369"/>
      <c r="J25" s="72">
        <f>IFERROR(AVERAGE(D79:INDEX(D79:H79,0,MATCH('RFPR cover'!$C$9,$D$6:$H$6,0)))/AVERAGE($D$90:INDEX($D$90:$H$90,0,MATCH('RFPR cover'!$C$9,$D$6:$H$6,0))),0)</f>
        <v>0</v>
      </c>
      <c r="K25" s="72">
        <f t="shared" si="7"/>
        <v>0</v>
      </c>
    </row>
    <row r="26" spans="1:11">
      <c r="A26" s="370" t="s">
        <v>500</v>
      </c>
      <c r="B26" s="178" t="str">
        <f t="shared" si="6"/>
        <v/>
      </c>
      <c r="C26" s="177" t="s">
        <v>486</v>
      </c>
      <c r="D26" s="71">
        <f>IFERROR(ORA_7/NPV_neutral_equity_element_of_RAV,0)</f>
        <v>0</v>
      </c>
      <c r="E26" s="71">
        <f>IFERROR(ORA_7/NPV_neutral_equity_element_of_RAV,0)</f>
        <v>0</v>
      </c>
      <c r="F26" s="71">
        <f>IFERROR(ORA_7/NPV_neutral_equity_element_of_RAV,0)</f>
        <v>0</v>
      </c>
      <c r="G26" s="71">
        <f>IFERROR(ORA_7/NPV_neutral_equity_element_of_RAV,0)</f>
        <v>0</v>
      </c>
      <c r="H26" s="71">
        <f>IFERROR(ORA_7/NPV_neutral_equity_element_of_RAV,0)</f>
        <v>0</v>
      </c>
      <c r="I26" s="369"/>
      <c r="J26" s="72">
        <f>IFERROR(AVERAGE(D80:INDEX(D80:H80,0,MATCH('RFPR cover'!$C$9,$D$6:$H$6,0)))/AVERAGE($D$90:INDEX($D$90:$H$90,0,MATCH('RFPR cover'!$C$9,$D$6:$H$6,0))),0)</f>
        <v>0</v>
      </c>
      <c r="K26" s="72">
        <f t="shared" si="7"/>
        <v>0</v>
      </c>
    </row>
    <row r="27" spans="1:11">
      <c r="A27" s="370" t="s">
        <v>501</v>
      </c>
      <c r="B27" s="178" t="str">
        <f t="shared" si="6"/>
        <v/>
      </c>
      <c r="C27" s="177" t="s">
        <v>486</v>
      </c>
      <c r="D27" s="71">
        <f>IFERROR(ORA_8/NPV_neutral_equity_element_of_RAV,0)</f>
        <v>0</v>
      </c>
      <c r="E27" s="71">
        <f>IFERROR(ORA_8/NPV_neutral_equity_element_of_RAV,0)</f>
        <v>0</v>
      </c>
      <c r="F27" s="71">
        <f>IFERROR(ORA_8/NPV_neutral_equity_element_of_RAV,0)</f>
        <v>0</v>
      </c>
      <c r="G27" s="71">
        <f>IFERROR(ORA_8/NPV_neutral_equity_element_of_RAV,0)</f>
        <v>0</v>
      </c>
      <c r="H27" s="71">
        <f>IFERROR(ORA_8/NPV_neutral_equity_element_of_RAV,0)</f>
        <v>0</v>
      </c>
      <c r="I27" s="369"/>
      <c r="J27" s="72">
        <f>IFERROR(AVERAGE(D81:INDEX(D81:H81,0,MATCH('RFPR cover'!$C$9,$D$6:$H$6,0)))/AVERAGE($D$90:INDEX($D$90:$H$90,0,MATCH('RFPR cover'!$C$9,$D$6:$H$6,0))),0)</f>
        <v>0</v>
      </c>
      <c r="K27" s="72">
        <f t="shared" si="7"/>
        <v>0</v>
      </c>
    </row>
    <row r="28" spans="1:11" ht="14" thickBot="1">
      <c r="B28" s="178" t="str">
        <f t="shared" ref="B28:B30" si="8">B82</f>
        <v>Penalties and fines (Other Activities)</v>
      </c>
      <c r="C28" s="177" t="s">
        <v>486</v>
      </c>
      <c r="D28" s="371">
        <f>IFERROR(Penalties_and_fines/NPV_neutral_equity_element_of_RAV,0)</f>
        <v>-6.1304945470705679E-4</v>
      </c>
      <c r="E28" s="371">
        <f>IFERROR(Penalties_and_fines/NPV_neutral_equity_element_of_RAV,0)</f>
        <v>-7.8850428960734991E-4</v>
      </c>
      <c r="F28" s="371">
        <f>IFERROR(Penalties_and_fines/NPV_neutral_equity_element_of_RAV,0)</f>
        <v>-6.8980721536539107E-4</v>
      </c>
      <c r="G28" s="371">
        <f>IFERROR(Penalties_and_fines/NPV_neutral_equity_element_of_RAV,0)</f>
        <v>-2.7551531642725272E-4</v>
      </c>
      <c r="H28" s="371">
        <f>IFERROR(Penalties_and_fines/NPV_neutral_equity_element_of_RAV,0)</f>
        <v>-2.6975941452291133E-4</v>
      </c>
      <c r="I28" s="369"/>
      <c r="J28" s="72">
        <f>IFERROR(AVERAGE(D82:INDEX(D82:H82,0,MATCH('RFPR cover'!$C$9,$D$6:$H$6,0)))/AVERAGE($D$90:INDEX($D$90:$H$90,0,MATCH('RFPR cover'!$C$9,$D$6:$H$6,0))),0)</f>
        <v>-6.975013168381396E-4</v>
      </c>
      <c r="K28" s="72">
        <f t="shared" si="7"/>
        <v>-5.2588379909974546E-4</v>
      </c>
    </row>
    <row r="29" spans="1:11" ht="14" thickBot="1">
      <c r="B29" s="179" t="str">
        <f t="shared" si="8"/>
        <v>RoRE - Operational performance</v>
      </c>
      <c r="C29" s="69" t="s">
        <v>486</v>
      </c>
      <c r="D29" s="166">
        <f>SUM(D11:D28)</f>
        <v>4.8783970151859833E-2</v>
      </c>
      <c r="E29" s="167">
        <f t="shared" ref="E29:H29" si="9">SUM(E11:E28)</f>
        <v>4.3852637601760572E-2</v>
      </c>
      <c r="F29" s="167">
        <f t="shared" si="9"/>
        <v>4.0705798219579425E-2</v>
      </c>
      <c r="G29" s="167">
        <f t="shared" si="9"/>
        <v>4.7750850004956893E-2</v>
      </c>
      <c r="H29" s="168">
        <f t="shared" si="9"/>
        <v>5.3878919201707794E-2</v>
      </c>
      <c r="I29" s="372"/>
      <c r="J29" s="170">
        <f>SUM(J11:J28)</f>
        <v>4.4420215701883405E-2</v>
      </c>
      <c r="K29" s="168">
        <f>SUM(K11:K28)</f>
        <v>4.700681924088114E-2</v>
      </c>
    </row>
    <row r="30" spans="1:11">
      <c r="B30" s="178" t="str">
        <f t="shared" si="8"/>
        <v>Debt performance - at notional gearing</v>
      </c>
      <c r="C30" s="177" t="s">
        <v>486</v>
      </c>
      <c r="D30" s="373">
        <f>IFERROR(Debt_performance___at_notional_gearing/NPV_neutral_equity_element_of_RAV,0)</f>
        <v>4.3713474955977126E-2</v>
      </c>
      <c r="E30" s="373">
        <f>IFERROR(Debt_performance___at_notional_gearing/NPV_neutral_equity_element_of_RAV,0)</f>
        <v>7.865648467380211E-2</v>
      </c>
      <c r="F30" s="373">
        <f>IFERROR(Debt_performance___at_notional_gearing/NPV_neutral_equity_element_of_RAV,0)</f>
        <v>6.1786799920219383E-2</v>
      </c>
      <c r="G30" s="373">
        <f>IFERROR(Debt_performance___at_notional_gearing/NPV_neutral_equity_element_of_RAV,0)</f>
        <v>1.9749519652769075E-2</v>
      </c>
      <c r="H30" s="373">
        <f>IFERROR(Debt_performance___at_notional_gearing/NPV_neutral_equity_element_of_RAV,0)</f>
        <v>9.0789351584636309E-3</v>
      </c>
      <c r="I30" s="369"/>
      <c r="J30" s="169">
        <f>IFERROR(AVERAGE(D84:INDEX(D84:H84,0,MATCH('RFPR cover'!$C$9,$D$6:$H$6,0)))/AVERAGE($D$90:INDEX($D$90:$H$90,0,MATCH('RFPR cover'!$C$9,$D$6:$H$6,0))),0)</f>
        <v>6.1469250992581694E-2</v>
      </c>
      <c r="K30" s="169">
        <f>IFERROR(AVERAGE(D84:H84)/AVERAGE($D$90:$H$90),0)</f>
        <v>4.2456138015122581E-2</v>
      </c>
    </row>
    <row r="31" spans="1:11" ht="14" thickBot="1">
      <c r="B31" s="178" t="str">
        <f>B86</f>
        <v>Tax performance - at notional gearing</v>
      </c>
      <c r="C31" s="177" t="s">
        <v>486</v>
      </c>
      <c r="D31" s="371">
        <f>IFERROR(Tax_performance___at_notional_gearing/NPV_neutral_equity_element_of_RAV,0)</f>
        <v>1.8492547566335876E-3</v>
      </c>
      <c r="E31" s="371">
        <f>IFERROR(Tax_performance___at_notional_gearing/NPV_neutral_equity_element_of_RAV,0)</f>
        <v>2.4987649314243466E-3</v>
      </c>
      <c r="F31" s="371">
        <f>IFERROR(Tax_performance___at_notional_gearing/NPV_neutral_equity_element_of_RAV,0)</f>
        <v>-1.3850380456201972E-3</v>
      </c>
      <c r="G31" s="371">
        <f>IFERROR(Tax_performance___at_notional_gearing/NPV_neutral_equity_element_of_RAV,0)</f>
        <v>1.3424308931339855E-2</v>
      </c>
      <c r="H31" s="371">
        <f>IFERROR(Tax_performance___at_notional_gearing/NPV_neutral_equity_element_of_RAV,0)</f>
        <v>2.6776039856521243E-3</v>
      </c>
      <c r="I31" s="369"/>
      <c r="J31" s="33">
        <f>IFERROR(AVERAGE(D86:INDEX(D86:H86,0,MATCH('RFPR cover'!$C$9,$D$6:$H$6,0)))/AVERAGE($D$90:INDEX($D$90:$H$90,0,MATCH('RFPR cover'!$C$9,$D$6:$H$6,0))),0)</f>
        <v>9.7923930302224252E-4</v>
      </c>
      <c r="K31" s="33">
        <f>IFERROR(AVERAGE(D86:H86)/AVERAGE($D$90:$H$90),0)</f>
        <v>3.8293452792719134E-3</v>
      </c>
    </row>
    <row r="32" spans="1:11" ht="14" thickBot="1">
      <c r="B32" s="179" t="str">
        <f>B88</f>
        <v>RoRE - including financing and tax</v>
      </c>
      <c r="C32" s="69" t="s">
        <v>486</v>
      </c>
      <c r="D32" s="166">
        <f>SUM(D29:D31)</f>
        <v>9.4346699864470543E-2</v>
      </c>
      <c r="E32" s="167">
        <f t="shared" ref="E32:H32" si="10">SUM(E29:E31)</f>
        <v>0.12500788720698702</v>
      </c>
      <c r="F32" s="167">
        <f t="shared" si="10"/>
        <v>0.10110756009417861</v>
      </c>
      <c r="G32" s="167">
        <f t="shared" si="10"/>
        <v>8.0924678589065824E-2</v>
      </c>
      <c r="H32" s="168">
        <f t="shared" si="10"/>
        <v>6.5635458345823558E-2</v>
      </c>
      <c r="I32" s="372"/>
      <c r="J32" s="170">
        <f>SUM(J29:J31)</f>
        <v>0.10686870599748734</v>
      </c>
      <c r="K32" s="168">
        <f>SUM(K29:K31)</f>
        <v>9.3292302535275637E-2</v>
      </c>
    </row>
    <row r="36" spans="1:13">
      <c r="B36" s="366" t="s">
        <v>502</v>
      </c>
      <c r="C36" s="38"/>
      <c r="D36" s="38"/>
      <c r="E36" s="38"/>
      <c r="F36" s="38"/>
      <c r="G36" s="38"/>
      <c r="H36" s="38"/>
      <c r="I36" s="367"/>
      <c r="J36" s="38"/>
      <c r="K36" s="38"/>
      <c r="L36" s="38"/>
    </row>
    <row r="37" spans="1:13">
      <c r="B37" s="368"/>
      <c r="I37" s="10"/>
    </row>
    <row r="38" spans="1:13">
      <c r="B38" s="178" t="s">
        <v>485</v>
      </c>
      <c r="C38" s="177" t="s">
        <v>486</v>
      </c>
      <c r="D38" s="71">
        <f>IFERROR(Equity_Return_on_the_RAV/Equity_RAV_based_on_actual_gearing,0)</f>
        <v>4.7919221109509823E-2</v>
      </c>
      <c r="E38" s="71">
        <f>IFERROR(Equity_Return_on_the_RAV/Equity_RAV_based_on_actual_gearing,0)</f>
        <v>4.5101229265100407E-2</v>
      </c>
      <c r="F38" s="71">
        <f>IFERROR(Equity_Return_on_the_RAV/Equity_RAV_based_on_actual_gearing,0)</f>
        <v>5.1326225265682215E-2</v>
      </c>
      <c r="G38" s="71">
        <f>IFERROR(Equity_Return_on_the_RAV/Equity_RAV_based_on_actual_gearing,0)</f>
        <v>5.6113937290717522E-2</v>
      </c>
      <c r="H38" s="71">
        <f>IFERROR(Equity_Return_on_the_RAV/Equity_RAV_based_on_actual_gearing,0)</f>
        <v>5.7473225397104429E-2</v>
      </c>
      <c r="I38" s="369"/>
      <c r="J38" s="30">
        <f>IFERROR(AVERAGE(D65:INDEX(D65:H65,0,MATCH('RFPR cover'!$C$9,$D$6:$H$6,0)))/AVERAGE($D$91:INDEX($D$91:$H$91,0,MATCH('RFPR cover'!$C$9,$D$6:$H$6,0))),0)</f>
        <v>4.8147547487988343E-2</v>
      </c>
      <c r="K38" s="72">
        <f t="shared" ref="K38:K48" si="11">IFERROR(AVERAGE(D65:H65)/AVERAGE($D$91:$H$91),0)</f>
        <v>5.1600605921227172E-2</v>
      </c>
      <c r="M38" s="374"/>
    </row>
    <row r="39" spans="1:13">
      <c r="B39" s="178" t="str">
        <f t="shared" ref="B39:B46" si="12">B66</f>
        <v>Totex outperformance</v>
      </c>
      <c r="C39" s="177" t="s">
        <v>486</v>
      </c>
      <c r="D39" s="71">
        <f>IFERROR(Totex_outperformance/Equity_RAV_based_on_actual_gearing,0)</f>
        <v>2.7423239485655326E-3</v>
      </c>
      <c r="E39" s="71">
        <f>IFERROR(Totex_outperformance/Equity_RAV_based_on_actual_gearing,0)</f>
        <v>-2.4824371020666603E-3</v>
      </c>
      <c r="F39" s="71">
        <f>IFERROR(Totex_outperformance/Equity_RAV_based_on_actual_gearing,0)</f>
        <v>-1.2111121401075623E-2</v>
      </c>
      <c r="G39" s="71">
        <f>IFERROR(Totex_outperformance/Equity_RAV_based_on_actual_gearing,0)</f>
        <v>-7.346392472197049E-3</v>
      </c>
      <c r="H39" s="71">
        <f>IFERROR(Totex_outperformance/Equity_RAV_based_on_actual_gearing,0)</f>
        <v>-7.0540952203318604E-4</v>
      </c>
      <c r="I39" s="369"/>
      <c r="J39" s="30">
        <f>IFERROR(AVERAGE(D66:INDEX(D66:H66,0,MATCH('RFPR cover'!$C$9,$D$6:$H$6,0)))/AVERAGE($D$91:INDEX($D$91:$H$91,0,MATCH('RFPR cover'!$C$9,$D$6:$H$6,0))),0)</f>
        <v>-4.1997501042351339E-3</v>
      </c>
      <c r="K39" s="72">
        <f t="shared" si="11"/>
        <v>-4.1506057876706387E-3</v>
      </c>
    </row>
    <row r="40" spans="1:13">
      <c r="A40" s="370" t="s">
        <v>487</v>
      </c>
      <c r="B40" s="178" t="str">
        <f t="shared" si="12"/>
        <v>Business Plan Incentive</v>
      </c>
      <c r="C40" s="177" t="s">
        <v>486</v>
      </c>
      <c r="D40" s="71">
        <f>IFERROR(Business_Plan_Incentive/Equity_RAV_based_on_actual_gearing,0)</f>
        <v>-8.4350837701531606E-6</v>
      </c>
      <c r="E40" s="71">
        <f>IFERROR(Business_Plan_Incentive/Equity_RAV_based_on_actual_gearing,0)</f>
        <v>-7.7612543973862582E-6</v>
      </c>
      <c r="F40" s="71">
        <f>IFERROR(Business_Plan_Incentive/Equity_RAV_based_on_actual_gearing,0)</f>
        <v>-7.5760009239032794E-6</v>
      </c>
      <c r="G40" s="71">
        <f>IFERROR(Business_Plan_Incentive/Equity_RAV_based_on_actual_gearing,0)</f>
        <v>-7.7923214572590415E-6</v>
      </c>
      <c r="H40" s="71">
        <f>IFERROR(Business_Plan_Incentive/Equity_RAV_based_on_actual_gearing,0)</f>
        <v>-8.0351620007112535E-6</v>
      </c>
      <c r="I40" s="369"/>
      <c r="J40" s="30">
        <f>IFERROR(AVERAGE(D67:INDEX(D67:H67,0,MATCH('RFPR cover'!$C$9,$D$6:$H$6,0)))/AVERAGE($D$91:INDEX($D$91:$H$91,0,MATCH('RFPR cover'!$C$9,$D$6:$H$6,0))),0)</f>
        <v>-7.9073599046608891E-6</v>
      </c>
      <c r="K40" s="72">
        <f t="shared" si="11"/>
        <v>-7.9091668359691934E-6</v>
      </c>
    </row>
    <row r="41" spans="1:13">
      <c r="A41" s="370" t="s">
        <v>488</v>
      </c>
      <c r="B41" s="178" t="str">
        <f t="shared" si="12"/>
        <v>Customer Satisfaction Survey ODI - (SpC 4.2)</v>
      </c>
      <c r="C41" s="177" t="s">
        <v>486</v>
      </c>
      <c r="D41" s="71">
        <f>IFERROR(ODI_1/Equity_RAV_based_on_actual_gearing,0)</f>
        <v>1.7267653431647808E-3</v>
      </c>
      <c r="E41" s="71">
        <f>IFERROR(ODI_1/Equity_RAV_based_on_actual_gearing,0)</f>
        <v>1.7542861581054481E-3</v>
      </c>
      <c r="F41" s="71">
        <f>IFERROR(ODI_1/Equity_RAV_based_on_actual_gearing,0)</f>
        <v>1.479597809330315E-3</v>
      </c>
      <c r="G41" s="71">
        <f>IFERROR(ODI_1/Equity_RAV_based_on_actual_gearing,0)</f>
        <v>1.8339491614175107E-3</v>
      </c>
      <c r="H41" s="71">
        <f>IFERROR(ODI_1/Equity_RAV_based_on_actual_gearing,0)</f>
        <v>2.0221690132536932E-3</v>
      </c>
      <c r="I41" s="369"/>
      <c r="J41" s="30">
        <f>IFERROR(AVERAGE(D68:INDEX(D68:H68,0,MATCH('RFPR cover'!$C$9,$D$6:$H$6,0)))/AVERAGE($D$91:INDEX($D$91:$H$91,0,MATCH('RFPR cover'!$C$9,$D$6:$H$6,0))),0)</f>
        <v>1.6501189269285197E-3</v>
      </c>
      <c r="K41" s="72">
        <f t="shared" si="11"/>
        <v>1.7606795112042122E-3</v>
      </c>
    </row>
    <row r="42" spans="1:13">
      <c r="A42" s="370" t="s">
        <v>489</v>
      </c>
      <c r="B42" s="178" t="str">
        <f t="shared" si="12"/>
        <v>Complaints metric ODI - (SpC 4.3)</v>
      </c>
      <c r="C42" s="177" t="s">
        <v>486</v>
      </c>
      <c r="D42" s="71">
        <f>IFERROR(ODI_2/Equity_RAV_based_on_actual_gearing,0)</f>
        <v>0</v>
      </c>
      <c r="E42" s="71">
        <f>IFERROR(ODI_2/Equity_RAV_based_on_actual_gearing,0)</f>
        <v>0</v>
      </c>
      <c r="F42" s="71">
        <f>IFERROR(ODI_2/Equity_RAV_based_on_actual_gearing,0)</f>
        <v>0</v>
      </c>
      <c r="G42" s="71">
        <f>IFERROR(ODI_2/Equity_RAV_based_on_actual_gearing,0)</f>
        <v>0</v>
      </c>
      <c r="H42" s="71">
        <f>IFERROR(ODI_2/Equity_RAV_based_on_actual_gearing,0)</f>
        <v>0</v>
      </c>
      <c r="I42" s="369"/>
      <c r="J42" s="30">
        <f>IFERROR(AVERAGE(D69:INDEX(D69:H69,0,MATCH('RFPR cover'!$C$9,$D$6:$H$6,0)))/AVERAGE($D$91:INDEX($D$91:$H$91,0,MATCH('RFPR cover'!$C$9,$D$6:$H$6,0))),0)</f>
        <v>0</v>
      </c>
      <c r="K42" s="72">
        <f t="shared" si="11"/>
        <v>0</v>
      </c>
    </row>
    <row r="43" spans="1:13">
      <c r="A43" s="370" t="s">
        <v>490</v>
      </c>
      <c r="B43" s="178" t="str">
        <f t="shared" si="12"/>
        <v>Unplanned Interruption Mean Duration ODI [NGN, SGN and WWU] - (SpC 4.5)</v>
      </c>
      <c r="C43" s="177" t="s">
        <v>486</v>
      </c>
      <c r="D43" s="71">
        <f>IFERROR(ODI_3/Equity_RAV_based_on_actual_gearing,0)</f>
        <v>0</v>
      </c>
      <c r="E43" s="71">
        <f>IFERROR(ODI_3/Equity_RAV_based_on_actual_gearing,0)</f>
        <v>0</v>
      </c>
      <c r="F43" s="71">
        <f>IFERROR(ODI_3/Equity_RAV_based_on_actual_gearing,0)</f>
        <v>0</v>
      </c>
      <c r="G43" s="71">
        <f>IFERROR(ODI_3/Equity_RAV_based_on_actual_gearing,0)</f>
        <v>0</v>
      </c>
      <c r="H43" s="71">
        <f>IFERROR(ODI_3/Equity_RAV_based_on_actual_gearing,0)</f>
        <v>0</v>
      </c>
      <c r="I43" s="369"/>
      <c r="J43" s="30">
        <f>IFERROR(AVERAGE(D70:INDEX(D70:H70,0,MATCH('RFPR cover'!$C$9,$D$6:$H$6,0)))/AVERAGE($D$91:INDEX($D$91:$H$91,0,MATCH('RFPR cover'!$C$9,$D$6:$H$6,0))),0)</f>
        <v>0</v>
      </c>
      <c r="K43" s="72">
        <f t="shared" si="11"/>
        <v>0</v>
      </c>
    </row>
    <row r="44" spans="1:13">
      <c r="A44" s="370" t="s">
        <v>491</v>
      </c>
      <c r="B44" s="178" t="str">
        <f t="shared" si="12"/>
        <v>Unplanned Interruption Mean Duration ODI [Cadent only]- (SpC 4.6)</v>
      </c>
      <c r="C44" s="177" t="s">
        <v>486</v>
      </c>
      <c r="D44" s="71">
        <f>IFERROR(ODI_4/Equity_RAV_based_on_actual_gearing,0)</f>
        <v>0</v>
      </c>
      <c r="E44" s="71">
        <f>IFERROR(ODI_4/Equity_RAV_based_on_actual_gearing,0)</f>
        <v>0</v>
      </c>
      <c r="F44" s="71">
        <f>IFERROR(ODI_4/Equity_RAV_based_on_actual_gearing,0)</f>
        <v>0</v>
      </c>
      <c r="G44" s="71">
        <f>IFERROR(ODI_4/Equity_RAV_based_on_actual_gearing,0)</f>
        <v>0</v>
      </c>
      <c r="H44" s="71">
        <f>IFERROR(ODI_4/Equity_RAV_based_on_actual_gearing,0)</f>
        <v>0</v>
      </c>
      <c r="I44" s="369"/>
      <c r="J44" s="30">
        <f>IFERROR(AVERAGE(D71:INDEX(D71:H71,0,MATCH('RFPR cover'!$C$9,$D$6:$H$6,0)))/AVERAGE($D$91:INDEX($D$91:$H$91,0,MATCH('RFPR cover'!$C$9,$D$6:$H$6,0))),0)</f>
        <v>0</v>
      </c>
      <c r="K44" s="72">
        <f t="shared" si="11"/>
        <v>0</v>
      </c>
    </row>
    <row r="45" spans="1:13">
      <c r="A45" s="370" t="s">
        <v>492</v>
      </c>
      <c r="B45" s="178" t="str">
        <f t="shared" si="12"/>
        <v>Shrinkage Management ODI- (SpC 4.4)</v>
      </c>
      <c r="C45" s="177" t="s">
        <v>486</v>
      </c>
      <c r="D45" s="71">
        <f>IFERROR(ODI_5/Equity_RAV_based_on_actual_gearing,0)</f>
        <v>5.5134231326076425E-4</v>
      </c>
      <c r="E45" s="71">
        <f>IFERROR(ODI_5/Equity_RAV_based_on_actual_gearing,0)</f>
        <v>5.0729880933743474E-4</v>
      </c>
      <c r="F45" s="71">
        <f>IFERROR(ODI_5/Equity_RAV_based_on_actual_gearing,0)</f>
        <v>4.9519008802620076E-4</v>
      </c>
      <c r="G45" s="71">
        <f>IFERROR(ODI_5/Equity_RAV_based_on_actual_gearing,0)</f>
        <v>4.7084558794887438E-4</v>
      </c>
      <c r="H45" s="71">
        <f>IFERROR(ODI_5/Equity_RAV_based_on_actual_gearing,0)</f>
        <v>5.2520222983116777E-4</v>
      </c>
      <c r="I45" s="369"/>
      <c r="J45" s="30">
        <f>IFERROR(AVERAGE(D72:INDEX(D72:H72,0,MATCH('RFPR cover'!$C$9,$D$6:$H$6,0)))/AVERAGE($D$91:INDEX($D$91:$H$91,0,MATCH('RFPR cover'!$C$9,$D$6:$H$6,0))),0)</f>
        <v>5.1684870244530958E-4</v>
      </c>
      <c r="K45" s="72">
        <f t="shared" si="11"/>
        <v>5.0915462479428624E-4</v>
      </c>
    </row>
    <row r="46" spans="1:13">
      <c r="A46" s="370" t="s">
        <v>493</v>
      </c>
      <c r="B46" s="178" t="str">
        <f t="shared" si="12"/>
        <v>Collaborative streetworks ODI [Cadent Lon &amp; EoE, SGN So only]- (SpC 4.7)</v>
      </c>
      <c r="C46" s="177" t="s">
        <v>486</v>
      </c>
      <c r="D46" s="71">
        <f>IFERROR(ODI_6/Equity_RAV_based_on_actual_gearing,0)</f>
        <v>0</v>
      </c>
      <c r="E46" s="71">
        <f>IFERROR(ODI_6/Equity_RAV_based_on_actual_gearing,0)</f>
        <v>0</v>
      </c>
      <c r="F46" s="71">
        <f>IFERROR(ODI_6/Equity_RAV_based_on_actual_gearing,0)</f>
        <v>0</v>
      </c>
      <c r="G46" s="71">
        <f>IFERROR(ODI_6/Equity_RAV_based_on_actual_gearing,0)</f>
        <v>0</v>
      </c>
      <c r="H46" s="71">
        <f>IFERROR(ODI_6/Equity_RAV_based_on_actual_gearing,0)</f>
        <v>0</v>
      </c>
      <c r="I46" s="369"/>
      <c r="J46" s="30">
        <f>IFERROR(AVERAGE(D73:INDEX(D73:H73,0,MATCH('RFPR cover'!$C$9,$D$6:$H$6,0)))/AVERAGE($D$91:INDEX($D$91:$H$91,0,MATCH('RFPR cover'!$C$9,$D$6:$H$6,0))),0)</f>
        <v>0</v>
      </c>
      <c r="K46" s="72">
        <f t="shared" si="11"/>
        <v>0</v>
      </c>
    </row>
    <row r="47" spans="1:13">
      <c r="A47" s="370" t="s">
        <v>494</v>
      </c>
      <c r="B47" s="178" t="str">
        <f t="shared" ref="B47" si="13">B74</f>
        <v>Network innovation input for RORE</v>
      </c>
      <c r="C47" s="177" t="s">
        <v>486</v>
      </c>
      <c r="D47" s="71">
        <f>IFERROR(ORA_1/Equity_RAV_based_on_actual_gearing,0)</f>
        <v>-4.5267155143788069E-4</v>
      </c>
      <c r="E47" s="71">
        <f>IFERROR(ORA_1/Equity_RAV_based_on_actual_gearing,0)</f>
        <v>-6.8885236213757936E-4</v>
      </c>
      <c r="F47" s="71">
        <f>IFERROR(ORA_1/Equity_RAV_based_on_actual_gearing,0)</f>
        <v>-9.6801395606176111E-4</v>
      </c>
      <c r="G47" s="71">
        <f>IFERROR(ORA_1/Equity_RAV_based_on_actual_gearing,0)</f>
        <v>-2.8332029602630331E-3</v>
      </c>
      <c r="H47" s="71">
        <f>IFERROR(ORA_1/Equity_RAV_based_on_actual_gearing,0)</f>
        <v>-2.9034342093766275E-3</v>
      </c>
      <c r="I47" s="369"/>
      <c r="J47" s="30">
        <f>IFERROR(AVERAGE(D74:INDEX(D74:H74,0,MATCH('RFPR cover'!$C$9,$D$6:$H$6,0)))/AVERAGE($D$91:INDEX($D$91:$H$91,0,MATCH('RFPR cover'!$C$9,$D$6:$H$6,0))),0)</f>
        <v>-7.1217466873322438E-4</v>
      </c>
      <c r="K47" s="72">
        <f t="shared" si="11"/>
        <v>-1.5741211742812619E-3</v>
      </c>
    </row>
    <row r="48" spans="1:13">
      <c r="A48" s="370" t="s">
        <v>495</v>
      </c>
      <c r="B48" s="178" t="str">
        <f t="shared" ref="B48" si="14">B75</f>
        <v>Carry-over Network innovation input for RORE</v>
      </c>
      <c r="C48" s="177" t="s">
        <v>486</v>
      </c>
      <c r="D48" s="71">
        <f>IFERROR(ORA_2/Equity_RAV_based_on_actual_gearing,0)</f>
        <v>-8.88125779835652E-5</v>
      </c>
      <c r="E48" s="71">
        <f>IFERROR(ORA_2/Equity_RAV_based_on_actual_gearing,0)</f>
        <v>0</v>
      </c>
      <c r="F48" s="71">
        <f>IFERROR(ORA_2/Equity_RAV_based_on_actual_gearing,0)</f>
        <v>0</v>
      </c>
      <c r="G48" s="71">
        <f>IFERROR(ORA_2/Equity_RAV_based_on_actual_gearing,0)</f>
        <v>0</v>
      </c>
      <c r="H48" s="71">
        <f>IFERROR(ORA_2/Equity_RAV_based_on_actual_gearing,0)</f>
        <v>0</v>
      </c>
      <c r="I48" s="369"/>
      <c r="J48" s="30">
        <f>IFERROR(AVERAGE(D75:INDEX(D75:H75,0,MATCH('RFPR cover'!$C$9,$D$6:$H$6,0)))/AVERAGE($D$91:INDEX($D$91:$H$91,0,MATCH('RFPR cover'!$C$9,$D$6:$H$6,0))),0)</f>
        <v>-2.7752066539901919E-5</v>
      </c>
      <c r="K48" s="72">
        <f t="shared" si="11"/>
        <v>-1.6655044941937479E-5</v>
      </c>
    </row>
    <row r="49" spans="1:12">
      <c r="A49" s="370" t="s">
        <v>496</v>
      </c>
      <c r="B49" s="256" t="str">
        <f>B76</f>
        <v>Strategic innovation input for RORE</v>
      </c>
      <c r="C49" s="177" t="s">
        <v>486</v>
      </c>
      <c r="D49" s="71">
        <f>IFERROR(ORA_3/Equity_RAV_based_on_actual_gearing,0)</f>
        <v>0</v>
      </c>
      <c r="E49" s="71">
        <f>IFERROR(ORA_3/Equity_RAV_based_on_actual_gearing,0)</f>
        <v>0</v>
      </c>
      <c r="F49" s="71">
        <f>IFERROR(ORA_3/Equity_RAV_based_on_actual_gearing,0)</f>
        <v>0</v>
      </c>
      <c r="G49" s="71">
        <f>IFERROR(ORA_3/Equity_RAV_based_on_actual_gearing,0)</f>
        <v>0</v>
      </c>
      <c r="H49" s="71">
        <f>IFERROR(ORA_3/Equity_RAV_based_on_actual_gearing,0)</f>
        <v>0</v>
      </c>
      <c r="I49" s="369"/>
      <c r="J49" s="30">
        <f>IFERROR(AVERAGE(D76:INDEX(D76:H76,0,MATCH('RFPR cover'!$C$9,$D$6:$H$6,0)))/AVERAGE($D$91:INDEX($D$91:$H$91,0,MATCH('RFPR cover'!$C$9,$D$6:$H$6,0))),0)</f>
        <v>0</v>
      </c>
      <c r="K49" s="72">
        <f>IFERROR(AVERAGE(D76:H76)/AVERAGE($D$91:$H$91),0)</f>
        <v>0</v>
      </c>
    </row>
    <row r="50" spans="1:12">
      <c r="A50" s="370" t="s">
        <v>497</v>
      </c>
      <c r="B50" s="178" t="str">
        <f t="shared" ref="B50:B54" si="15">B77</f>
        <v/>
      </c>
      <c r="C50" s="177" t="s">
        <v>486</v>
      </c>
      <c r="D50" s="71">
        <f>IFERROR(ORA_4/Equity_RAV_based_on_actual_gearing,0)</f>
        <v>0</v>
      </c>
      <c r="E50" s="71">
        <f>IFERROR(ORA_4/Equity_RAV_based_on_actual_gearing,0)</f>
        <v>0</v>
      </c>
      <c r="F50" s="71">
        <f>IFERROR(ORA_4/Equity_RAV_based_on_actual_gearing,0)</f>
        <v>0</v>
      </c>
      <c r="G50" s="71">
        <f>IFERROR(ORA_4/Equity_RAV_based_on_actual_gearing,0)</f>
        <v>0</v>
      </c>
      <c r="H50" s="71">
        <f>IFERROR(ORA_4/Equity_RAV_based_on_actual_gearing,0)</f>
        <v>0</v>
      </c>
      <c r="I50" s="369"/>
      <c r="J50" s="30">
        <f>IFERROR(AVERAGE(D77:INDEX(D77:H77,0,MATCH('RFPR cover'!$C$9,$D$6:$H$6,0)))/AVERAGE($D$91:INDEX($D$91:$H$91,0,MATCH('RFPR cover'!$C$9,$D$6:$H$6,0))),0)</f>
        <v>0</v>
      </c>
      <c r="K50" s="72">
        <f t="shared" ref="K50:K55" si="16">IFERROR(AVERAGE(D77:H77)/AVERAGE($D$91:$H$91),0)</f>
        <v>0</v>
      </c>
    </row>
    <row r="51" spans="1:12">
      <c r="A51" s="370" t="s">
        <v>498</v>
      </c>
      <c r="B51" s="178" t="str">
        <f t="shared" si="15"/>
        <v/>
      </c>
      <c r="C51" s="177" t="s">
        <v>486</v>
      </c>
      <c r="D51" s="71">
        <f>IFERROR(ORA_5/Equity_RAV_based_on_actual_gearing,0)</f>
        <v>0</v>
      </c>
      <c r="E51" s="71">
        <f>IFERROR(ORA_5/Equity_RAV_based_on_actual_gearing,0)</f>
        <v>0</v>
      </c>
      <c r="F51" s="71">
        <f>IFERROR(ORA_5/Equity_RAV_based_on_actual_gearing,0)</f>
        <v>0</v>
      </c>
      <c r="G51" s="71">
        <f>IFERROR(ORA_5/Equity_RAV_based_on_actual_gearing,0)</f>
        <v>0</v>
      </c>
      <c r="H51" s="71">
        <f>IFERROR(ORA_5/Equity_RAV_based_on_actual_gearing,0)</f>
        <v>0</v>
      </c>
      <c r="I51" s="369"/>
      <c r="J51" s="30">
        <f>IFERROR(AVERAGE(D78:INDEX(D78:H78,0,MATCH('RFPR cover'!$C$9,$D$6:$H$6,0)))/AVERAGE($D$91:INDEX($D$91:$H$91,0,MATCH('RFPR cover'!$C$9,$D$6:$H$6,0))),0)</f>
        <v>0</v>
      </c>
      <c r="K51" s="72">
        <f t="shared" si="16"/>
        <v>0</v>
      </c>
    </row>
    <row r="52" spans="1:12">
      <c r="A52" s="370" t="s">
        <v>499</v>
      </c>
      <c r="B52" s="178" t="str">
        <f t="shared" si="15"/>
        <v/>
      </c>
      <c r="C52" s="177" t="s">
        <v>486</v>
      </c>
      <c r="D52" s="71">
        <f>IFERROR(ORA_6/Equity_RAV_based_on_actual_gearing,0)</f>
        <v>0</v>
      </c>
      <c r="E52" s="71">
        <f>IFERROR(ORA_6/Equity_RAV_based_on_actual_gearing,0)</f>
        <v>0</v>
      </c>
      <c r="F52" s="71">
        <f>IFERROR(ORA_6/Equity_RAV_based_on_actual_gearing,0)</f>
        <v>0</v>
      </c>
      <c r="G52" s="71">
        <f>IFERROR(ORA_6/Equity_RAV_based_on_actual_gearing,0)</f>
        <v>0</v>
      </c>
      <c r="H52" s="71">
        <f>IFERROR(ORA_6/Equity_RAV_based_on_actual_gearing,0)</f>
        <v>0</v>
      </c>
      <c r="I52" s="369"/>
      <c r="J52" s="30">
        <f>IFERROR(AVERAGE(D79:INDEX(D79:H79,0,MATCH('RFPR cover'!$C$9,$D$6:$H$6,0)))/AVERAGE($D$91:INDEX($D$91:$H$91,0,MATCH('RFPR cover'!$C$9,$D$6:$H$6,0))),0)</f>
        <v>0</v>
      </c>
      <c r="K52" s="72">
        <f t="shared" si="16"/>
        <v>0</v>
      </c>
    </row>
    <row r="53" spans="1:12">
      <c r="A53" s="370" t="s">
        <v>500</v>
      </c>
      <c r="B53" s="178" t="str">
        <f t="shared" si="15"/>
        <v/>
      </c>
      <c r="C53" s="177" t="s">
        <v>486</v>
      </c>
      <c r="D53" s="71">
        <f>IFERROR(ORA_7/Equity_RAV_based_on_actual_gearing,0)</f>
        <v>0</v>
      </c>
      <c r="E53" s="71">
        <f>IFERROR(ORA_7/Equity_RAV_based_on_actual_gearing,0)</f>
        <v>0</v>
      </c>
      <c r="F53" s="71">
        <f>IFERROR(ORA_7/Equity_RAV_based_on_actual_gearing,0)</f>
        <v>0</v>
      </c>
      <c r="G53" s="71">
        <f>IFERROR(ORA_7/Equity_RAV_based_on_actual_gearing,0)</f>
        <v>0</v>
      </c>
      <c r="H53" s="71">
        <f>IFERROR(ORA_7/Equity_RAV_based_on_actual_gearing,0)</f>
        <v>0</v>
      </c>
      <c r="I53" s="369"/>
      <c r="J53" s="30">
        <f>IFERROR(AVERAGE(D80:INDEX(D80:H80,0,MATCH('RFPR cover'!$C$9,$D$6:$H$6,0)))/AVERAGE($D$91:INDEX($D$91:$H$91,0,MATCH('RFPR cover'!$C$9,$D$6:$H$6,0))),0)</f>
        <v>0</v>
      </c>
      <c r="K53" s="72">
        <f t="shared" si="16"/>
        <v>0</v>
      </c>
    </row>
    <row r="54" spans="1:12">
      <c r="A54" s="370" t="s">
        <v>501</v>
      </c>
      <c r="B54" s="178" t="str">
        <f t="shared" si="15"/>
        <v/>
      </c>
      <c r="C54" s="177" t="s">
        <v>486</v>
      </c>
      <c r="D54" s="71">
        <f>IFERROR(ORA_8/Equity_RAV_based_on_actual_gearing,0)</f>
        <v>0</v>
      </c>
      <c r="E54" s="71">
        <f>IFERROR(ORA_8/Equity_RAV_based_on_actual_gearing,0)</f>
        <v>0</v>
      </c>
      <c r="F54" s="71">
        <f>IFERROR(ORA_8/Equity_RAV_based_on_actual_gearing,0)</f>
        <v>0</v>
      </c>
      <c r="G54" s="71">
        <f>IFERROR(ORA_8/Equity_RAV_based_on_actual_gearing,0)</f>
        <v>0</v>
      </c>
      <c r="H54" s="71">
        <f>IFERROR(ORA_8/Equity_RAV_based_on_actual_gearing,0)</f>
        <v>0</v>
      </c>
      <c r="I54" s="369"/>
      <c r="J54" s="30">
        <f>IFERROR(AVERAGE(D81:INDEX(D81:H81,0,MATCH('RFPR cover'!$C$9,$D$6:$H$6,0)))/AVERAGE($D$91:INDEX($D$91:$H$91,0,MATCH('RFPR cover'!$C$9,$D$6:$H$6,0))),0)</f>
        <v>0</v>
      </c>
      <c r="K54" s="72">
        <f t="shared" si="16"/>
        <v>0</v>
      </c>
    </row>
    <row r="55" spans="1:12" ht="14" thickBot="1">
      <c r="B55" s="178" t="str">
        <f t="shared" ref="B55:B56" si="17">B82</f>
        <v>Penalties and fines (Other Activities)</v>
      </c>
      <c r="C55" s="177" t="s">
        <v>486</v>
      </c>
      <c r="D55" s="371">
        <f>IFERROR(Penalties_and_fines/Equity_RAV_based_on_actual_gearing,0)</f>
        <v>-6.501909995994163E-4</v>
      </c>
      <c r="E55" s="371">
        <f>IFERROR(Penalties_and_fines/Equity_RAV_based_on_actual_gearing,0)</f>
        <v>-7.8042553540675469E-4</v>
      </c>
      <c r="F55" s="371">
        <f>IFERROR(Penalties_and_fines/Equity_RAV_based_on_actual_gearing,0)</f>
        <v>-6.7012223289135929E-4</v>
      </c>
      <c r="G55" s="371">
        <f>IFERROR(Penalties_and_fines/Equity_RAV_based_on_actual_gearing,0)</f>
        <v>-2.7669122978161639E-4</v>
      </c>
      <c r="H55" s="371">
        <f>IFERROR(Penalties_and_fines/Equity_RAV_based_on_actual_gearing,0)</f>
        <v>-2.8099363207223044E-4</v>
      </c>
      <c r="I55" s="369"/>
      <c r="J55" s="30">
        <f>IFERROR(AVERAGE(D82:INDEX(D82:H82,0,MATCH('RFPR cover'!$C$9,$D$6:$H$6,0)))/AVERAGE($D$91:INDEX($D$91:$H$91,0,MATCH('RFPR cover'!$C$9,$D$6:$H$6,0))),0)</f>
        <v>-7.0135406104533335E-4</v>
      </c>
      <c r="K55" s="72">
        <f t="shared" si="16"/>
        <v>-5.3239414073741385E-4</v>
      </c>
    </row>
    <row r="56" spans="1:12" ht="14" thickBot="1">
      <c r="B56" s="179" t="str">
        <f t="shared" si="17"/>
        <v>RoRE - Operational performance</v>
      </c>
      <c r="C56" s="69" t="s">
        <v>486</v>
      </c>
      <c r="D56" s="166">
        <f t="shared" ref="D56:H56" si="18">SUM(D38:D55)</f>
        <v>5.1739542501709875E-2</v>
      </c>
      <c r="E56" s="167">
        <f t="shared" si="18"/>
        <v>4.3403337978534906E-2</v>
      </c>
      <c r="F56" s="167">
        <f t="shared" si="18"/>
        <v>3.9544179572086093E-2</v>
      </c>
      <c r="G56" s="167">
        <f t="shared" si="18"/>
        <v>4.7954653056384952E-2</v>
      </c>
      <c r="H56" s="168">
        <f t="shared" si="18"/>
        <v>5.6122724114706542E-2</v>
      </c>
      <c r="I56" s="372"/>
      <c r="J56" s="170">
        <f>SUM(J38:J55)</f>
        <v>4.4665576856903907E-2</v>
      </c>
      <c r="K56" s="168">
        <f>SUM(K38:K55)</f>
        <v>4.7588754742758449E-2</v>
      </c>
    </row>
    <row r="57" spans="1:12">
      <c r="B57" s="178" t="s">
        <v>503</v>
      </c>
      <c r="C57" s="177" t="s">
        <v>486</v>
      </c>
      <c r="D57" s="373">
        <f>IFERROR((Debt_performance___at_notional_gearing+Debt_performance___impact_of_actual_gearing)/Equity_RAV_based_on_actual_gearing,0)</f>
        <v>4.6885445779712071E-2</v>
      </c>
      <c r="E57" s="373">
        <f>IFERROR((Debt_performance___at_notional_gearing+Debt_performance___impact_of_actual_gearing)/Equity_RAV_based_on_actual_gearing,0)</f>
        <v>7.7508005172301206E-2</v>
      </c>
      <c r="F57" s="373">
        <f>IFERROR((Debt_performance___at_notional_gearing+Debt_performance___impact_of_actual_gearing)/Equity_RAV_based_on_actual_gearing,0)</f>
        <v>5.9396032728521619E-2</v>
      </c>
      <c r="G57" s="373">
        <f>IFERROR((Debt_performance___at_notional_gearing+Debt_performance___impact_of_actual_gearing)/Equity_RAV_based_on_actual_gearing,0)</f>
        <v>1.9799950368949819E-2</v>
      </c>
      <c r="H57" s="373">
        <f>IFERROR((Debt_performance___at_notional_gearing+Debt_performance___impact_of_actual_gearing)/Equity_RAV_based_on_actual_gearing,0)</f>
        <v>8.7554159185889054E-3</v>
      </c>
      <c r="I57" s="369"/>
      <c r="J57" s="169">
        <f>IFERROR((AVERAGE(D84:INDEX(D84:H84,0,MATCH('RFPR cover'!$C$9,$D$6:$H$6,0)))+AVERAGE(D85:INDEX(D85:H85,0,MATCH('RFPR cover'!$C$9,$D$6:$H$6,0))))/AVERAGE($D$91:INDEX($D$91:$H$91,0,MATCH('RFPR cover'!$C$9,$D$6:$H$6,0))),0)</f>
        <v>6.1637713582676418E-2</v>
      </c>
      <c r="K57" s="169">
        <f>IFERROR((AVERAGE(D84:H84)+AVERAGE(D85:H85))/AVERAGE($D$91:$H$91),0)</f>
        <v>4.2734074391975137E-2</v>
      </c>
    </row>
    <row r="58" spans="1:12" ht="14" thickBot="1">
      <c r="B58" s="178" t="s">
        <v>504</v>
      </c>
      <c r="C58" s="177" t="s">
        <v>486</v>
      </c>
      <c r="D58" s="171">
        <f>IFERROR((Tax_performance___at_notional_gearing+Tax_performance___impact_of_actual_gearing)/D$91,0)</f>
        <v>1.8618088338676886E-3</v>
      </c>
      <c r="E58" s="171">
        <f>IFERROR((Tax_performance___at_notional_gearing+Tax_performance___impact_of_actual_gearing)/E$91,0)</f>
        <v>2.5382557346435653E-3</v>
      </c>
      <c r="F58" s="171">
        <f>IFERROR((Tax_performance___at_notional_gearing+Tax_performance___impact_of_actual_gearing)/F$91,0)</f>
        <v>-1.1886229559837152E-3</v>
      </c>
      <c r="G58" s="171">
        <f>IFERROR((Tax_performance___at_notional_gearing+Tax_performance___impact_of_actual_gearing)/G$91,0)</f>
        <v>1.3490069872235465E-2</v>
      </c>
      <c r="H58" s="171">
        <f>IFERROR((Tax_performance___at_notional_gearing+Tax_performance___impact_of_actual_gearing)/H$91,0)</f>
        <v>2.9645172679117495E-3</v>
      </c>
      <c r="I58" s="369"/>
      <c r="J58" s="33">
        <f>IFERROR((AVERAGE(D86:INDEX(D86:H86,0,MATCH('RFPR cover'!$C$9,$D$6:$H$6,0)))+AVERAGE(D87:INDEX(D87:H87,0,MATCH('RFPR cover'!$C$9,$D$6:$H$6,0))))/AVERAGE($D$91:INDEX($D$91:$H$91,0,MATCH('RFPR cover'!$C$9,$D$6:$H$6,0))),0)</f>
        <v>1.0302519966522725E-3</v>
      </c>
      <c r="K58" s="33">
        <f>IFERROR((AVERAGE(D86:H86)+AVERAGE(D87:H87))/AVERAGE($D$91:$H$91),0)</f>
        <v>3.9403694258092923E-3</v>
      </c>
    </row>
    <row r="59" spans="1:12" ht="14" thickBot="1">
      <c r="B59" s="179" t="str">
        <f>B88</f>
        <v>RoRE - including financing and tax</v>
      </c>
      <c r="C59" s="69" t="s">
        <v>486</v>
      </c>
      <c r="D59" s="166">
        <f>SUM(D56:D58)</f>
        <v>0.10048679711528963</v>
      </c>
      <c r="E59" s="167">
        <f t="shared" ref="E59:H59" si="19">SUM(E56:E58)</f>
        <v>0.12344959888547968</v>
      </c>
      <c r="F59" s="167">
        <f t="shared" si="19"/>
        <v>9.7751589344623996E-2</v>
      </c>
      <c r="G59" s="167">
        <f t="shared" si="19"/>
        <v>8.1244673297570236E-2</v>
      </c>
      <c r="H59" s="168">
        <f t="shared" si="19"/>
        <v>6.7842657301207199E-2</v>
      </c>
      <c r="I59" s="372"/>
      <c r="J59" s="170">
        <f>SUM(J56:J58)</f>
        <v>0.1073335424362326</v>
      </c>
      <c r="K59" s="168">
        <f>SUM(K56:K58)</f>
        <v>9.4263198560542868E-2</v>
      </c>
    </row>
    <row r="60" spans="1:12">
      <c r="B60" s="68"/>
      <c r="C60" s="69"/>
      <c r="D60" s="70"/>
      <c r="E60" s="70"/>
      <c r="F60" s="70"/>
      <c r="G60" s="70"/>
      <c r="H60" s="70"/>
      <c r="I60" s="372"/>
      <c r="J60" s="70"/>
      <c r="K60" s="70"/>
    </row>
    <row r="61" spans="1:12">
      <c r="B61" s="68"/>
      <c r="C61" s="69"/>
      <c r="D61" s="70"/>
      <c r="E61" s="70"/>
      <c r="F61" s="70"/>
      <c r="G61" s="70"/>
      <c r="H61" s="70"/>
      <c r="I61" s="372"/>
      <c r="J61" s="70"/>
      <c r="K61" s="70"/>
    </row>
    <row r="62" spans="1:12">
      <c r="B62" s="75" t="s">
        <v>505</v>
      </c>
      <c r="C62" s="76"/>
      <c r="D62" s="77"/>
      <c r="E62" s="77"/>
      <c r="F62" s="77"/>
      <c r="G62" s="77"/>
      <c r="H62" s="77"/>
      <c r="I62" s="375"/>
      <c r="J62" s="77"/>
      <c r="K62" s="77"/>
      <c r="L62" s="38"/>
    </row>
    <row r="63" spans="1:12">
      <c r="B63" s="79" t="str">
        <f>"Input values provided in "&amp;Data!C9&amp;" prices"</f>
        <v>Input values provided in £m 18/19 prices</v>
      </c>
      <c r="C63" s="78"/>
      <c r="D63" s="78"/>
      <c r="E63" s="78"/>
      <c r="F63" s="78"/>
      <c r="G63" s="78"/>
      <c r="H63" s="78"/>
      <c r="I63" s="78"/>
      <c r="J63" s="78"/>
      <c r="K63" s="78"/>
      <c r="L63" s="78"/>
    </row>
    <row r="65" spans="1:12">
      <c r="B65" s="376" t="s">
        <v>506</v>
      </c>
      <c r="C65" s="377" t="str">
        <f>Data!$C$9</f>
        <v>£m 18/19</v>
      </c>
      <c r="D65" s="31">
        <f>'R7 - RAV'!F44</f>
        <v>41.392667503483132</v>
      </c>
      <c r="E65" s="32">
        <f>'R7 - RAV'!G44</f>
        <v>42.340845360070219</v>
      </c>
      <c r="F65" s="32">
        <f>'R7 - RAV'!H44</f>
        <v>49.363093837790643</v>
      </c>
      <c r="G65" s="32">
        <f>'R7 - RAV'!I44</f>
        <v>52.469502558770756</v>
      </c>
      <c r="H65" s="32">
        <f>'R7 - RAV'!J44</f>
        <v>52.116350694417093</v>
      </c>
      <c r="I65" s="34"/>
      <c r="J65" s="18">
        <f>SUM(D65:INDEX(D65:H65,0,MATCH('RFPR cover'!$C$9,$D$6:$H$6,0)))</f>
        <v>133.096606701344</v>
      </c>
      <c r="K65" s="18">
        <f t="shared" ref="K65:K82" si="20">SUM(D65:H65)</f>
        <v>237.68245995453185</v>
      </c>
      <c r="L65" s="34"/>
    </row>
    <row r="66" spans="1:12">
      <c r="B66" s="376" t="s">
        <v>507</v>
      </c>
      <c r="C66" s="377" t="str">
        <f>Data!$C$9</f>
        <v>£m 18/19</v>
      </c>
      <c r="D66" s="46">
        <f>'R3 - Totex - Reconciliation'!D102</f>
        <v>2.368821962493981</v>
      </c>
      <c r="E66" s="46">
        <f>'R3 - Totex - Reconciliation'!E102</f>
        <v>-2.330501566529116</v>
      </c>
      <c r="F66" s="46">
        <f>'R3 - Totex - Reconciliation'!F102</f>
        <v>-11.647893822456886</v>
      </c>
      <c r="G66" s="46">
        <f>'R3 - Totex - Reconciliation'!G102</f>
        <v>-6.8692659476140712</v>
      </c>
      <c r="H66" s="46">
        <f>'R3 - Totex - Reconciliation'!H102</f>
        <v>-0.63966081213383319</v>
      </c>
      <c r="I66" s="34"/>
      <c r="J66" s="18">
        <f>SUM(D66:INDEX(D66:H66,0,MATCH('RFPR cover'!$C$9,$D$6:$H$6,0)))</f>
        <v>-11.609573426492021</v>
      </c>
      <c r="K66" s="18">
        <f t="shared" si="20"/>
        <v>-19.118500186239928</v>
      </c>
      <c r="L66" s="34"/>
    </row>
    <row r="67" spans="1:12">
      <c r="A67" s="370" t="s">
        <v>487</v>
      </c>
      <c r="B67" s="376" t="s">
        <v>508</v>
      </c>
      <c r="C67" s="377" t="str">
        <f>Data!$C$9</f>
        <v>£m 18/19</v>
      </c>
      <c r="D67" s="43">
        <f>'R4 - Incentives and Other Rev'!D12</f>
        <v>-7.2862331602607357E-3</v>
      </c>
      <c r="E67" s="43">
        <f>'R4 - Incentives and Other Rev'!E12</f>
        <v>-7.2862331602607357E-3</v>
      </c>
      <c r="F67" s="43">
        <f>'R4 - Incentives and Other Rev'!F12</f>
        <v>-7.2862331602607357E-3</v>
      </c>
      <c r="G67" s="43">
        <f>'R4 - Incentives and Other Rev'!G12</f>
        <v>-7.2862331602607357E-3</v>
      </c>
      <c r="H67" s="43">
        <f>'R4 - Incentives and Other Rev'!H12</f>
        <v>-7.2862331602607357E-3</v>
      </c>
      <c r="I67" s="34"/>
      <c r="J67" s="18">
        <f>SUM(D67:INDEX(D67:H67,0,MATCH('RFPR cover'!$C$9,$D$6:$H$6,0)))</f>
        <v>-2.1858699480782208E-2</v>
      </c>
      <c r="K67" s="18">
        <f t="shared" si="20"/>
        <v>-3.6431165801303678E-2</v>
      </c>
      <c r="L67" s="34"/>
    </row>
    <row r="68" spans="1:12">
      <c r="A68" s="370" t="s">
        <v>488</v>
      </c>
      <c r="B68" s="255" t="str">
        <f>'R4 - Incentives and Other Rev'!B14</f>
        <v>Customer Satisfaction Survey ODI - (SpC 4.2)</v>
      </c>
      <c r="C68" s="377" t="str">
        <f>Data!$C$9</f>
        <v>£m 18/19</v>
      </c>
      <c r="D68" s="43">
        <f>'R4 - Incentives and Other Rev'!D14</f>
        <v>1.4915815001002395</v>
      </c>
      <c r="E68" s="43">
        <f>'R4 - Incentives and Other Rev'!E14</f>
        <v>1.6469165064450069</v>
      </c>
      <c r="F68" s="43">
        <f>'R4 - Incentives and Other Rev'!F14</f>
        <v>1.4230059803949038</v>
      </c>
      <c r="G68" s="43">
        <f>'R4 - Incentives and Other Rev'!G14</f>
        <v>1.7148395721925134</v>
      </c>
      <c r="H68" s="43">
        <f>'R4 - Incentives and Other Rev'!H14</f>
        <v>1.8336898395721917</v>
      </c>
      <c r="I68" s="378"/>
      <c r="J68" s="18">
        <f>SUM(D68:INDEX(D68:H68,0,MATCH('RFPR cover'!$C$9,$D$6:$H$6,0)))</f>
        <v>4.5615039869401501</v>
      </c>
      <c r="K68" s="18">
        <f t="shared" si="20"/>
        <v>8.1100333987048554</v>
      </c>
      <c r="L68" s="34"/>
    </row>
    <row r="69" spans="1:12">
      <c r="A69" s="370" t="s">
        <v>489</v>
      </c>
      <c r="B69" s="255" t="str">
        <f>'R4 - Incentives and Other Rev'!B15</f>
        <v>Complaints metric ODI - (SpC 4.3)</v>
      </c>
      <c r="C69" s="377" t="str">
        <f>Data!$C$9</f>
        <v>£m 18/19</v>
      </c>
      <c r="D69" s="43">
        <f>'R4 - Incentives and Other Rev'!D15</f>
        <v>0</v>
      </c>
      <c r="E69" s="43">
        <f>'R4 - Incentives and Other Rev'!E15</f>
        <v>0</v>
      </c>
      <c r="F69" s="43">
        <f>'R4 - Incentives and Other Rev'!F15</f>
        <v>0</v>
      </c>
      <c r="G69" s="43">
        <f>'R4 - Incentives and Other Rev'!G15</f>
        <v>0</v>
      </c>
      <c r="H69" s="43">
        <f>'R4 - Incentives and Other Rev'!H15</f>
        <v>0</v>
      </c>
      <c r="I69" s="378"/>
      <c r="J69" s="18">
        <f>SUM(D69:INDEX(D69:H69,0,MATCH('RFPR cover'!$C$9,$D$6:$H$6,0)))</f>
        <v>0</v>
      </c>
      <c r="K69" s="18">
        <f t="shared" si="20"/>
        <v>0</v>
      </c>
      <c r="L69" s="34"/>
    </row>
    <row r="70" spans="1:12">
      <c r="A70" s="370" t="s">
        <v>490</v>
      </c>
      <c r="B70" s="255" t="str">
        <f>'R4 - Incentives and Other Rev'!B16</f>
        <v>Unplanned Interruption Mean Duration ODI [NGN, SGN and WWU] - (SpC 4.5)</v>
      </c>
      <c r="C70" s="377" t="str">
        <f>Data!$C$9</f>
        <v>£m 18/19</v>
      </c>
      <c r="D70" s="43">
        <f>'R4 - Incentives and Other Rev'!D16</f>
        <v>0</v>
      </c>
      <c r="E70" s="43">
        <f>'R4 - Incentives and Other Rev'!E16</f>
        <v>0</v>
      </c>
      <c r="F70" s="43">
        <f>'R4 - Incentives and Other Rev'!F16</f>
        <v>0</v>
      </c>
      <c r="G70" s="43">
        <f>'R4 - Incentives and Other Rev'!G16</f>
        <v>0</v>
      </c>
      <c r="H70" s="43">
        <f>'R4 - Incentives and Other Rev'!H16</f>
        <v>0</v>
      </c>
      <c r="I70" s="378"/>
      <c r="J70" s="18">
        <f>SUM(D70:INDEX(D70:H70,0,MATCH('RFPR cover'!$C$9,$D$6:$H$6,0)))</f>
        <v>0</v>
      </c>
      <c r="K70" s="18">
        <f t="shared" si="20"/>
        <v>0</v>
      </c>
      <c r="L70" s="34"/>
    </row>
    <row r="71" spans="1:12">
      <c r="A71" s="370" t="s">
        <v>491</v>
      </c>
      <c r="B71" s="255" t="str">
        <f>'R4 - Incentives and Other Rev'!B17</f>
        <v>Unplanned Interruption Mean Duration ODI [Cadent only]- (SpC 4.6)</v>
      </c>
      <c r="C71" s="377" t="str">
        <f>Data!$C$9</f>
        <v>£m 18/19</v>
      </c>
      <c r="D71" s="43">
        <f>'R4 - Incentives and Other Rev'!D17</f>
        <v>0</v>
      </c>
      <c r="E71" s="43">
        <f>'R4 - Incentives and Other Rev'!E17</f>
        <v>0</v>
      </c>
      <c r="F71" s="43">
        <f>'R4 - Incentives and Other Rev'!F17</f>
        <v>0</v>
      </c>
      <c r="G71" s="43">
        <f>'R4 - Incentives and Other Rev'!G17</f>
        <v>0</v>
      </c>
      <c r="H71" s="43">
        <f>'R4 - Incentives and Other Rev'!H17</f>
        <v>0</v>
      </c>
      <c r="I71" s="378"/>
      <c r="J71" s="18">
        <f>SUM(D71:INDEX(D71:H71,0,MATCH('RFPR cover'!$C$9,$D$6:$H$6,0)))</f>
        <v>0</v>
      </c>
      <c r="K71" s="18">
        <f t="shared" si="20"/>
        <v>0</v>
      </c>
      <c r="L71" s="34"/>
    </row>
    <row r="72" spans="1:12">
      <c r="A72" s="370" t="s">
        <v>492</v>
      </c>
      <c r="B72" s="255" t="str">
        <f>'R4 - Incentives and Other Rev'!B18</f>
        <v>Shrinkage Management ODI- (SpC 4.4)</v>
      </c>
      <c r="C72" s="377" t="str">
        <f>Data!$C$9</f>
        <v>£m 18/19</v>
      </c>
      <c r="D72" s="43">
        <f>'R4 - Incentives and Other Rev'!D18</f>
        <v>0.47625000000000001</v>
      </c>
      <c r="E72" s="43">
        <f>'R4 - Incentives and Other Rev'!E18</f>
        <v>0.47625000000000001</v>
      </c>
      <c r="F72" s="43">
        <f>'R4 - Incentives and Other Rev'!F18</f>
        <v>0.47625000000000001</v>
      </c>
      <c r="G72" s="43">
        <f>'R4 - Incentives and Other Rev'!G18</f>
        <v>0.4402655556618042</v>
      </c>
      <c r="H72" s="43">
        <f>'R4 - Incentives and Other Rev'!H18</f>
        <v>0.47625000000000001</v>
      </c>
      <c r="I72" s="378"/>
      <c r="J72" s="18">
        <f>SUM(D72:INDEX(D72:H72,0,MATCH('RFPR cover'!$C$9,$D$6:$H$6,0)))</f>
        <v>1.42875</v>
      </c>
      <c r="K72" s="18">
        <f t="shared" si="20"/>
        <v>2.3452655556618041</v>
      </c>
      <c r="L72" s="34"/>
    </row>
    <row r="73" spans="1:12">
      <c r="A73" s="1268" t="s">
        <v>493</v>
      </c>
      <c r="B73" s="255" t="str">
        <f>'R4 - Incentives and Other Rev'!B19</f>
        <v>Collaborative streetworks ODI [Cadent Lon &amp; EoE, SGN So only]- (SpC 4.7)</v>
      </c>
      <c r="C73" s="377" t="str">
        <f>Data!$C$9</f>
        <v>£m 18/19</v>
      </c>
      <c r="D73" s="43">
        <f>'R4 - Incentives and Other Rev'!D19</f>
        <v>0</v>
      </c>
      <c r="E73" s="43">
        <f>'R4 - Incentives and Other Rev'!E19</f>
        <v>0</v>
      </c>
      <c r="F73" s="43">
        <f>'R4 - Incentives and Other Rev'!F19</f>
        <v>0</v>
      </c>
      <c r="G73" s="43">
        <f>'R4 - Incentives and Other Rev'!G19</f>
        <v>0</v>
      </c>
      <c r="H73" s="43">
        <f>'R4 - Incentives and Other Rev'!H19</f>
        <v>0</v>
      </c>
      <c r="I73" s="378"/>
      <c r="J73" s="18">
        <f>SUM(D73:INDEX(D73:H73,0,MATCH('RFPR cover'!$C$9,$D$6:$H$6,0)))</f>
        <v>0</v>
      </c>
      <c r="K73" s="18">
        <f t="shared" ref="K73:K76" si="21">SUM(D73:H73)</f>
        <v>0</v>
      </c>
      <c r="L73" s="34"/>
    </row>
    <row r="74" spans="1:12">
      <c r="A74" s="370" t="s">
        <v>494</v>
      </c>
      <c r="B74" s="255" t="str">
        <f>'R4 - Incentives and Other Rev'!B45</f>
        <v>Network innovation input for RORE</v>
      </c>
      <c r="C74" s="377" t="str">
        <f>Data!$C$9</f>
        <v>£m 18/19</v>
      </c>
      <c r="D74" s="43">
        <f>-'R4 - Incentives and Other Rev'!D45</f>
        <v>-0.39101810470027742</v>
      </c>
      <c r="E74" s="43">
        <f>-'R4 - Incentives and Other Rev'!E45</f>
        <v>-0.64669171586761198</v>
      </c>
      <c r="F74" s="43">
        <f>-'R4 - Incentives and Other Rev'!F45</f>
        <v>-0.93098924579043896</v>
      </c>
      <c r="G74" s="43">
        <f>-'R4 - Incentives and Other Rev'!G45</f>
        <v>-2.6491947838710863</v>
      </c>
      <c r="H74" s="43">
        <f>-'R4 - Incentives and Other Rev'!H45</f>
        <v>-2.6328154445576573</v>
      </c>
      <c r="I74" s="34"/>
      <c r="J74" s="18">
        <f>SUM(D74:INDEX(D74:H74,0,MATCH('RFPR cover'!$C$9,$D$6:$H$6,0)))</f>
        <v>-1.9686990663583284</v>
      </c>
      <c r="K74" s="18">
        <f t="shared" si="21"/>
        <v>-7.2507092947870717</v>
      </c>
      <c r="L74" s="34"/>
    </row>
    <row r="75" spans="1:12">
      <c r="A75" s="370" t="s">
        <v>495</v>
      </c>
      <c r="B75" s="255" t="str">
        <f>'R4 - Incentives and Other Rev'!B52</f>
        <v>Carry-over Network innovation input for RORE</v>
      </c>
      <c r="C75" s="377" t="str">
        <f>Data!$C$9</f>
        <v>£m 18/19</v>
      </c>
      <c r="D75" s="43">
        <f>-'R4 - Incentives and Other Rev'!D52</f>
        <v>-7.6716386983830195E-2</v>
      </c>
      <c r="E75" s="43">
        <f>-'R4 - Incentives and Other Rev'!E52</f>
        <v>0</v>
      </c>
      <c r="F75" s="43">
        <f>-'R4 - Incentives and Other Rev'!F52</f>
        <v>0</v>
      </c>
      <c r="G75" s="43">
        <f>-'R4 - Incentives and Other Rev'!G52</f>
        <v>0</v>
      </c>
      <c r="H75" s="43">
        <f>-'R4 - Incentives and Other Rev'!H52</f>
        <v>0</v>
      </c>
      <c r="I75" s="34"/>
      <c r="J75" s="18">
        <f>SUM(D75:INDEX(D75:H75,0,MATCH('RFPR cover'!$C$9,$D$6:$H$6,0)))</f>
        <v>-7.6716386983830195E-2</v>
      </c>
      <c r="K75" s="18">
        <f t="shared" si="21"/>
        <v>-7.6716386983830195E-2</v>
      </c>
      <c r="L75" s="34"/>
    </row>
    <row r="76" spans="1:12">
      <c r="A76" s="370" t="s">
        <v>496</v>
      </c>
      <c r="B76" s="255" t="str">
        <f>'R4 - Incentives and Other Rev'!B59</f>
        <v>Strategic innovation input for RORE</v>
      </c>
      <c r="C76" s="377" t="str">
        <f>Data!$C$9</f>
        <v>£m 18/19</v>
      </c>
      <c r="D76" s="43">
        <f>-'R4 - Incentives and Other Rev'!D59</f>
        <v>0</v>
      </c>
      <c r="E76" s="43">
        <f>-'R4 - Incentives and Other Rev'!E59</f>
        <v>0</v>
      </c>
      <c r="F76" s="43">
        <f>-'R4 - Incentives and Other Rev'!F59</f>
        <v>0</v>
      </c>
      <c r="G76" s="43">
        <f>-'R4 - Incentives and Other Rev'!G59</f>
        <v>0</v>
      </c>
      <c r="H76" s="43">
        <f>-'R4 - Incentives and Other Rev'!H59</f>
        <v>0</v>
      </c>
      <c r="I76" s="34"/>
      <c r="J76" s="18">
        <f>SUM(D76:INDEX(D76:H76,0,MATCH('RFPR cover'!$C$9,$D$6:$H$6,0)))</f>
        <v>0</v>
      </c>
      <c r="K76" s="18">
        <f t="shared" si="21"/>
        <v>0</v>
      </c>
      <c r="L76" s="34"/>
    </row>
    <row r="77" spans="1:12">
      <c r="A77" s="370" t="s">
        <v>497</v>
      </c>
      <c r="B77" s="255" t="str">
        <f>'R4 - Incentives and Other Rev'!B66</f>
        <v/>
      </c>
      <c r="C77" s="377" t="str">
        <f>Data!$C$9</f>
        <v>£m 18/19</v>
      </c>
      <c r="D77" s="44">
        <f>'R4 - Incentives and Other Rev'!D66</f>
        <v>0</v>
      </c>
      <c r="E77" s="44">
        <f>'R4 - Incentives and Other Rev'!E66</f>
        <v>0</v>
      </c>
      <c r="F77" s="44">
        <f>'R4 - Incentives and Other Rev'!F66</f>
        <v>0</v>
      </c>
      <c r="G77" s="44">
        <f>'R4 - Incentives and Other Rev'!G66</f>
        <v>0</v>
      </c>
      <c r="H77" s="44">
        <f>'R4 - Incentives and Other Rev'!H66</f>
        <v>0</v>
      </c>
      <c r="I77" s="34"/>
      <c r="J77" s="18">
        <f>SUM(D77:INDEX(D77:H77,0,MATCH('RFPR cover'!$C$9,$D$6:$H$6,0)))</f>
        <v>0</v>
      </c>
      <c r="K77" s="18">
        <f t="shared" si="20"/>
        <v>0</v>
      </c>
      <c r="L77" s="34"/>
    </row>
    <row r="78" spans="1:12">
      <c r="A78" s="370" t="s">
        <v>498</v>
      </c>
      <c r="B78" s="255" t="str">
        <f>'R4 - Incentives and Other Rev'!B67</f>
        <v/>
      </c>
      <c r="C78" s="377" t="str">
        <f>Data!$C$9</f>
        <v>£m 18/19</v>
      </c>
      <c r="D78" s="44">
        <f>'R4 - Incentives and Other Rev'!D67</f>
        <v>0</v>
      </c>
      <c r="E78" s="44">
        <f>'R4 - Incentives and Other Rev'!E67</f>
        <v>0</v>
      </c>
      <c r="F78" s="44">
        <f>'R4 - Incentives and Other Rev'!F67</f>
        <v>0</v>
      </c>
      <c r="G78" s="44">
        <f>'R4 - Incentives and Other Rev'!G67</f>
        <v>0</v>
      </c>
      <c r="H78" s="44">
        <f>'R4 - Incentives and Other Rev'!H67</f>
        <v>0</v>
      </c>
      <c r="I78" s="34"/>
      <c r="J78" s="18">
        <f>SUM(D78:INDEX(D78:H78,0,MATCH('RFPR cover'!$C$9,$D$6:$H$6,0)))</f>
        <v>0</v>
      </c>
      <c r="K78" s="18">
        <f t="shared" si="20"/>
        <v>0</v>
      </c>
      <c r="L78" s="34"/>
    </row>
    <row r="79" spans="1:12">
      <c r="A79" s="370" t="s">
        <v>499</v>
      </c>
      <c r="B79" s="255" t="str">
        <f>'R4 - Incentives and Other Rev'!B68</f>
        <v/>
      </c>
      <c r="C79" s="377" t="str">
        <f>Data!$C$9</f>
        <v>£m 18/19</v>
      </c>
      <c r="D79" s="44">
        <f>'R4 - Incentives and Other Rev'!D68</f>
        <v>0</v>
      </c>
      <c r="E79" s="44">
        <f>'R4 - Incentives and Other Rev'!E68</f>
        <v>0</v>
      </c>
      <c r="F79" s="44">
        <f>'R4 - Incentives and Other Rev'!F68</f>
        <v>0</v>
      </c>
      <c r="G79" s="44">
        <f>'R4 - Incentives and Other Rev'!G68</f>
        <v>0</v>
      </c>
      <c r="H79" s="44">
        <f>'R4 - Incentives and Other Rev'!H68</f>
        <v>0</v>
      </c>
      <c r="I79" s="34"/>
      <c r="J79" s="18">
        <f>SUM(D79:INDEX(D79:H79,0,MATCH('RFPR cover'!$C$9,$D$6:$H$6,0)))</f>
        <v>0</v>
      </c>
      <c r="K79" s="18">
        <f t="shared" si="20"/>
        <v>0</v>
      </c>
      <c r="L79" s="34"/>
    </row>
    <row r="80" spans="1:12">
      <c r="A80" s="370" t="s">
        <v>500</v>
      </c>
      <c r="B80" s="255" t="str">
        <f>'R4 - Incentives and Other Rev'!B69</f>
        <v/>
      </c>
      <c r="C80" s="377" t="str">
        <f>Data!$C$9</f>
        <v>£m 18/19</v>
      </c>
      <c r="D80" s="44">
        <f>'R4 - Incentives and Other Rev'!D69</f>
        <v>0</v>
      </c>
      <c r="E80" s="44">
        <f>'R4 - Incentives and Other Rev'!E69</f>
        <v>0</v>
      </c>
      <c r="F80" s="44">
        <f>'R4 - Incentives and Other Rev'!F69</f>
        <v>0</v>
      </c>
      <c r="G80" s="44">
        <f>'R4 - Incentives and Other Rev'!G69</f>
        <v>0</v>
      </c>
      <c r="H80" s="44">
        <f>'R4 - Incentives and Other Rev'!H69</f>
        <v>0</v>
      </c>
      <c r="I80" s="34"/>
      <c r="J80" s="18">
        <f>SUM(D80:INDEX(D80:H80,0,MATCH('RFPR cover'!$C$9,$D$6:$H$6,0)))</f>
        <v>0</v>
      </c>
      <c r="K80" s="18">
        <f>SUM(D80:H80)</f>
        <v>0</v>
      </c>
      <c r="L80" s="34"/>
    </row>
    <row r="81" spans="1:23">
      <c r="A81" s="370" t="s">
        <v>501</v>
      </c>
      <c r="B81" s="255" t="str">
        <f>'R4 - Incentives and Other Rev'!B70</f>
        <v/>
      </c>
      <c r="C81" s="377" t="str">
        <f>Data!$C$9</f>
        <v>£m 18/19</v>
      </c>
      <c r="D81" s="44">
        <f>'R4 - Incentives and Other Rev'!D70</f>
        <v>0</v>
      </c>
      <c r="E81" s="44">
        <f>'R4 - Incentives and Other Rev'!E70</f>
        <v>0</v>
      </c>
      <c r="F81" s="44">
        <f>'R4 - Incentives and Other Rev'!F70</f>
        <v>0</v>
      </c>
      <c r="G81" s="44">
        <f>'R4 - Incentives and Other Rev'!G70</f>
        <v>0</v>
      </c>
      <c r="H81" s="44">
        <f>'R4 - Incentives and Other Rev'!H70</f>
        <v>0</v>
      </c>
      <c r="I81" s="34"/>
      <c r="J81" s="18">
        <f>SUM(D81:INDEX(D81:H81,0,MATCH('RFPR cover'!$C$9,$D$6:$H$6,0)))</f>
        <v>0</v>
      </c>
      <c r="K81" s="18">
        <f>SUM(D81:H81)</f>
        <v>0</v>
      </c>
      <c r="L81" s="34"/>
    </row>
    <row r="82" spans="1:23" ht="14" thickBot="1">
      <c r="B82" s="376" t="s">
        <v>509</v>
      </c>
      <c r="C82" s="377" t="str">
        <f>Data!$C$9</f>
        <v>£m 18/19</v>
      </c>
      <c r="D82" s="44">
        <f>-'R10 - Pensions &amp; Oth Activities'!D54</f>
        <v>-0.56163558666096347</v>
      </c>
      <c r="E82" s="44">
        <f>-'R10 - Pensions &amp; Oth Activities'!E54</f>
        <v>-0.73266022785052887</v>
      </c>
      <c r="F82" s="44">
        <f>-'R10 - Pensions &amp; Oth Activities'!F54</f>
        <v>-0.64449131986184605</v>
      </c>
      <c r="G82" s="44">
        <f>-'R10 - Pensions &amp; Oth Activities'!G54</f>
        <v>-0.25872095044411575</v>
      </c>
      <c r="H82" s="44">
        <f>-'R10 - Pensions &amp; Oth Activities'!H54</f>
        <v>-0.25480321612004342</v>
      </c>
      <c r="I82" s="34"/>
      <c r="J82" s="154">
        <f>SUM(D82:INDEX(D82:H82,0,MATCH('RFPR cover'!$C$9,$D$6:$H$6,0)))</f>
        <v>-1.9387871343733385</v>
      </c>
      <c r="K82" s="154">
        <f t="shared" si="20"/>
        <v>-2.4523113009374979</v>
      </c>
      <c r="L82" s="34"/>
    </row>
    <row r="83" spans="1:23" ht="14" thickBot="1">
      <c r="B83" s="379" t="s">
        <v>510</v>
      </c>
      <c r="C83" s="380" t="str">
        <f>Data!$C$9</f>
        <v>£m 18/19</v>
      </c>
      <c r="D83" s="162">
        <f>SUM(D65:D82)</f>
        <v>44.69266465457202</v>
      </c>
      <c r="E83" s="164">
        <f>SUM(E65:E82)</f>
        <v>40.746872123107714</v>
      </c>
      <c r="F83" s="164">
        <f>SUM(F65:F82)</f>
        <v>38.031689196916112</v>
      </c>
      <c r="G83" s="164">
        <f>SUM(G65:G82)</f>
        <v>44.840139771535547</v>
      </c>
      <c r="H83" s="163">
        <f>SUM(H65:H82)</f>
        <v>50.891724828017495</v>
      </c>
      <c r="I83" s="89"/>
      <c r="J83" s="162">
        <f>SUM(J65:J82)</f>
        <v>123.47122597459584</v>
      </c>
      <c r="K83" s="163">
        <f>SUM(K65:K82)</f>
        <v>219.20309057414883</v>
      </c>
      <c r="L83" s="34"/>
    </row>
    <row r="84" spans="1:23">
      <c r="B84" s="376" t="s">
        <v>511</v>
      </c>
      <c r="C84" s="377" t="str">
        <f>Data!$C$9</f>
        <v>£m 18/19</v>
      </c>
      <c r="D84" s="44">
        <f>IFERROR('R5 - Financing'!D85,0)</f>
        <v>40.047410471347973</v>
      </c>
      <c r="E84" s="44">
        <f>IFERROR('R5 - Financing'!E85,0)</f>
        <v>73.085814170683378</v>
      </c>
      <c r="F84" s="44">
        <f>IFERROR('R5 - Financing'!F85,0)</f>
        <v>57.72780473096207</v>
      </c>
      <c r="G84" s="44">
        <f>IFERROR('R5 - Financing'!G85,0)</f>
        <v>18.545664036533896</v>
      </c>
      <c r="H84" s="44">
        <f>IFERROR('R5 - Financing'!H85,0)</f>
        <v>8.5755742071622549</v>
      </c>
      <c r="I84" s="34"/>
      <c r="J84" s="161">
        <f>SUM(D84:INDEX(D84:H84,0,MATCH('RFPR cover'!$C$9,$D$6:$H$6,0)))</f>
        <v>170.86102937299341</v>
      </c>
      <c r="K84" s="161">
        <f>SUM(D84:H84)</f>
        <v>197.98226761668957</v>
      </c>
      <c r="L84" s="34"/>
    </row>
    <row r="85" spans="1:23">
      <c r="B85" s="376" t="s">
        <v>512</v>
      </c>
      <c r="C85" s="377" t="str">
        <f>Data!$C$9</f>
        <v>£m 18/19</v>
      </c>
      <c r="D85" s="44">
        <f>IFERROR('R5 - Financing'!D87,0)</f>
        <v>0.45228094636297556</v>
      </c>
      <c r="E85" s="44">
        <f>IFERROR('R5 - Financing'!E87,0)</f>
        <v>-0.32162315765995686</v>
      </c>
      <c r="F85" s="44">
        <f>IFERROR('R5 - Financing'!F87,0)</f>
        <v>-0.60355836385441108</v>
      </c>
      <c r="G85" s="44">
        <f>IFERROR('R5 - Financing'!G87,0)</f>
        <v>-3.1662048671208254E-2</v>
      </c>
      <c r="H85" s="44">
        <f>IFERROR('R5 - Financing'!H87,0)</f>
        <v>-0.6362194322055954</v>
      </c>
      <c r="I85" s="34"/>
      <c r="J85" s="18">
        <f>SUM(D85:INDEX(D85:H85,0,MATCH('RFPR cover'!$C$9,$D$6:$H$6,0)))</f>
        <v>-0.47290057515139239</v>
      </c>
      <c r="K85" s="18">
        <f>SUM(D85:H85)</f>
        <v>-1.140782056028196</v>
      </c>
      <c r="L85" s="34"/>
    </row>
    <row r="86" spans="1:23">
      <c r="B86" s="376" t="s">
        <v>513</v>
      </c>
      <c r="C86" s="377" t="str">
        <f>Data!$C$9</f>
        <v>£m 18/19</v>
      </c>
      <c r="D86" s="44">
        <f>IFERROR('R8 - Tax'!E74,0)</f>
        <v>1.6941655720479787</v>
      </c>
      <c r="E86" s="44">
        <f>IFERROR('R8 - Tax'!F74,0)</f>
        <v>2.3217954653283197</v>
      </c>
      <c r="F86" s="44">
        <f>IFERROR('R8 - Tax'!G74,0)</f>
        <v>-1.2940499580129767</v>
      </c>
      <c r="G86" s="44">
        <f>IFERROR('R8 - Tax'!H74,0)</f>
        <v>12.606014107708354</v>
      </c>
      <c r="H86" s="44">
        <f>IFERROR('R8 - Tax'!I74,0)</f>
        <v>2.5291503106449014</v>
      </c>
      <c r="I86" s="34"/>
      <c r="J86" s="18">
        <f>SUM(D86:INDEX(D86:H86,0,MATCH('RFPR cover'!$C$9,$D$6:$H$6,0)))</f>
        <v>2.7219110793633217</v>
      </c>
      <c r="K86" s="18">
        <f>SUM(D86:H86)</f>
        <v>17.857075497716579</v>
      </c>
      <c r="L86" s="34"/>
    </row>
    <row r="87" spans="1:23" ht="14" thickBot="1">
      <c r="B87" s="376" t="s">
        <v>514</v>
      </c>
      <c r="C87" s="377" t="str">
        <f>Data!$C$9</f>
        <v>£m 18/19</v>
      </c>
      <c r="D87" s="44">
        <f>IFERROR('R8 - Tax'!E76,0)</f>
        <v>-8.5933379808967203E-2</v>
      </c>
      <c r="E87" s="44">
        <f>IFERROR('R8 - Tax'!F76,0)</f>
        <v>6.1108399955392301E-2</v>
      </c>
      <c r="F87" s="44">
        <f>IFERROR('R8 - Tax'!G76,0)</f>
        <v>0.15088959096360099</v>
      </c>
      <c r="G87" s="44">
        <f>IFERROR('R8 - Tax'!H76,0)</f>
        <v>7.9155121678020635E-3</v>
      </c>
      <c r="H87" s="44">
        <f>IFERROR('R8 - Tax'!I76,0)</f>
        <v>0.15905485805140529</v>
      </c>
      <c r="I87" s="34"/>
      <c r="J87" s="154">
        <f>SUM(D87:INDEX(D87:H87,0,MATCH('RFPR cover'!$C$9,$D$6:$H$6,0)))</f>
        <v>0.12606461111002609</v>
      </c>
      <c r="K87" s="154">
        <f>SUM(D87:H87)</f>
        <v>0.29303498132923345</v>
      </c>
      <c r="L87" s="34"/>
    </row>
    <row r="88" spans="1:23" ht="14" thickBot="1">
      <c r="B88" s="379" t="s">
        <v>515</v>
      </c>
      <c r="C88" s="380" t="str">
        <f>Data!$C$9</f>
        <v>£m 18/19</v>
      </c>
      <c r="D88" s="247">
        <f>IF(OR(Licensee=Data!$B$86,Licensee=Data!$B$89),"N/A",SUM(D83:D87))</f>
        <v>86.800588264521977</v>
      </c>
      <c r="E88" s="247">
        <f>IF(OR(Licensee=Data!$B$86,Licensee=Data!$B$89),"N/A",SUM(E83:E87))</f>
        <v>115.89396700141484</v>
      </c>
      <c r="F88" s="247">
        <f>IF(OR(Licensee=Data!$B$86,Licensee=Data!$B$89),"N/A",SUM(F83:F87))</f>
        <v>94.012775196974388</v>
      </c>
      <c r="G88" s="247">
        <f>IF(OR(Licensee=Data!$B$86,Licensee=Data!$B$89),"N/A",SUM(G83:G87))</f>
        <v>75.968071379274377</v>
      </c>
      <c r="H88" s="247">
        <f>IF(OR(Licensee=Data!$B$86,Licensee=Data!$B$89),"N/A",SUM(H83:H87))</f>
        <v>61.519284771670463</v>
      </c>
      <c r="I88" s="89"/>
      <c r="J88" s="162">
        <f>SUM(J83:J87)</f>
        <v>296.70733046291122</v>
      </c>
      <c r="K88" s="163">
        <f>SUM(K83:K87)</f>
        <v>434.19468661385611</v>
      </c>
      <c r="L88" s="34"/>
    </row>
    <row r="89" spans="1:23">
      <c r="D89" s="165"/>
      <c r="I89" s="34"/>
      <c r="L89" s="34"/>
    </row>
    <row r="90" spans="1:23">
      <c r="B90" s="381" t="s">
        <v>516</v>
      </c>
      <c r="C90" s="377" t="str">
        <f>Data!$C$9</f>
        <v>£m 18/19</v>
      </c>
      <c r="D90" s="42">
        <f>'R7 - RAV'!F40</f>
        <v>916.13422432508128</v>
      </c>
      <c r="E90" s="32">
        <f>'R7 - RAV'!G40</f>
        <v>929.17722516813501</v>
      </c>
      <c r="F90" s="32">
        <f>'R7 - RAV'!H40</f>
        <v>934.30643447308512</v>
      </c>
      <c r="G90" s="32">
        <f>'R7 - RAV'!I40</f>
        <v>939.04380271515186</v>
      </c>
      <c r="H90" s="32">
        <f>'R7 - RAV'!J40</f>
        <v>944.55726993136091</v>
      </c>
      <c r="I90" s="34"/>
      <c r="L90" s="34"/>
    </row>
    <row r="91" spans="1:23">
      <c r="B91" s="376" t="s">
        <v>517</v>
      </c>
      <c r="C91" s="377" t="str">
        <f>Data!$C$9</f>
        <v>£m 18/19</v>
      </c>
      <c r="D91" s="45">
        <f>IFERROR('R6 - Net Debt'!D73,0)</f>
        <v>863.80092466211931</v>
      </c>
      <c r="E91" s="45">
        <f>IFERROR('R6 - Net Debt'!E73,0)</f>
        <v>938.795816654909</v>
      </c>
      <c r="F91" s="45">
        <f>IFERROR('R6 - Net Debt'!F73,0)</f>
        <v>961.75188380346049</v>
      </c>
      <c r="G91" s="45">
        <f>IFERROR('R6 - Net Debt'!G73,0)</f>
        <v>935.05294926881493</v>
      </c>
      <c r="H91" s="45">
        <f>IFERROR('R6 - Net Debt'!H73,0)</f>
        <v>906.79356055494281</v>
      </c>
      <c r="I91" s="34"/>
      <c r="L91" s="34"/>
    </row>
    <row r="92" spans="1:23">
      <c r="L92" s="34"/>
    </row>
    <row r="93" spans="1:23">
      <c r="L93" s="34"/>
    </row>
    <row r="94" spans="1:23">
      <c r="L94" s="34"/>
      <c r="S94" s="114"/>
      <c r="T94" s="114"/>
      <c r="U94" s="114"/>
      <c r="V94" s="114"/>
      <c r="W94" s="114"/>
    </row>
    <row r="95" spans="1:23">
      <c r="S95" s="114"/>
      <c r="T95" s="114"/>
      <c r="U95" s="114"/>
      <c r="V95" s="114"/>
      <c r="W95" s="114"/>
    </row>
    <row r="99" spans="13:17">
      <c r="M99" s="114"/>
      <c r="N99" s="114"/>
      <c r="O99" s="114"/>
      <c r="P99" s="114"/>
      <c r="Q99" s="114"/>
    </row>
    <row r="101" spans="13:17">
      <c r="M101" s="114"/>
      <c r="N101" s="114"/>
      <c r="O101" s="114"/>
      <c r="P101" s="114"/>
      <c r="Q101" s="114"/>
    </row>
  </sheetData>
  <sheetProtection sort="0" autoFilter="0" pivotTables="0"/>
  <phoneticPr fontId="260" type="noConversion"/>
  <conditionalFormatting sqref="D6:G6">
    <cfRule type="expression" dxfId="96" priority="8">
      <formula>AND(D$5="Actuals",E$5="Forecast")</formula>
    </cfRule>
  </conditionalFormatting>
  <conditionalFormatting sqref="D7:H7">
    <cfRule type="expression" dxfId="95" priority="2">
      <formula>AND(D$5="Actuals",E$5="Forecast")</formula>
    </cfRule>
  </conditionalFormatting>
  <conditionalFormatting sqref="H6">
    <cfRule type="expression" dxfId="94" priority="201">
      <formula>AND(H$5="Actuals",#REF!="Forecast")</formula>
    </cfRule>
  </conditionalFormatting>
  <pageMargins left="0.70866141732283472" right="0.70866141732283472" top="0.74803149606299213" bottom="0.74803149606299213" header="0.31496062992125984" footer="0.31496062992125984"/>
  <pageSetup paperSize="8" scale="83" orientation="landscape" r:id="rId1"/>
  <headerFooter>
    <oddFooter>&amp;C_x000D_&amp;1#&amp;"Calibri"&amp;10&amp;K000000 OFFICIAL-InternalOnly</oddFooter>
  </headerFooter>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2"/>
  <sheetViews>
    <sheetView zoomScale="85" zoomScaleNormal="85" workbookViewId="0">
      <selection activeCell="A4" sqref="A4"/>
    </sheetView>
  </sheetViews>
  <sheetFormatPr defaultColWidth="9" defaultRowHeight="13.5" outlineLevelCol="1"/>
  <cols>
    <col min="1" max="1" width="0.765625" style="114" customWidth="1"/>
    <col min="2" max="2" width="54.84375" style="88" customWidth="1"/>
    <col min="3" max="3" width="37.15234375" style="88" customWidth="1"/>
    <col min="4" max="4" width="14.4609375" style="29" customWidth="1"/>
    <col min="5" max="5" width="10.3828125" style="114" customWidth="1"/>
    <col min="6" max="9" width="11.15234375" style="114" customWidth="1"/>
    <col min="10" max="10" width="5" style="114" customWidth="1"/>
    <col min="11" max="20" width="9.23046875" style="114" customWidth="1" outlineLevel="1"/>
    <col min="21" max="16384" width="9" style="114"/>
  </cols>
  <sheetData>
    <row r="1" spans="1:14" ht="20">
      <c r="A1" s="324" t="s">
        <v>518</v>
      </c>
      <c r="B1" s="382"/>
      <c r="C1" s="382"/>
      <c r="D1" s="383"/>
      <c r="E1" s="384"/>
      <c r="F1" s="384"/>
      <c r="G1" s="384"/>
      <c r="H1" s="384"/>
      <c r="I1" s="384"/>
      <c r="J1" s="385"/>
    </row>
    <row r="2" spans="1:14" ht="20">
      <c r="A2" s="329" t="str">
        <f t="shared" ref="A2" si="0">Licensee</f>
        <v>Cadent-NW</v>
      </c>
      <c r="B2" s="330"/>
      <c r="C2" s="330"/>
      <c r="D2" s="386"/>
      <c r="E2" s="332"/>
      <c r="F2" s="332"/>
      <c r="G2" s="332"/>
      <c r="H2" s="332"/>
      <c r="I2" s="332"/>
      <c r="J2" s="334"/>
    </row>
    <row r="3" spans="1:14" ht="20">
      <c r="A3" s="331">
        <f>Reporting_Year</f>
        <v>2024</v>
      </c>
      <c r="B3" s="387"/>
      <c r="C3" s="387"/>
      <c r="D3" s="388"/>
      <c r="E3" s="335"/>
      <c r="F3" s="335"/>
      <c r="G3" s="335"/>
      <c r="H3" s="335"/>
      <c r="I3" s="335"/>
      <c r="J3" s="337"/>
    </row>
    <row r="4" spans="1:14" s="339" customFormat="1" ht="12.75" customHeight="1">
      <c r="B4" s="389"/>
      <c r="C4" s="389"/>
      <c r="D4" s="29"/>
    </row>
    <row r="5" spans="1:14" s="339" customFormat="1">
      <c r="B5" s="389"/>
      <c r="C5" s="389"/>
      <c r="D5" s="29"/>
      <c r="E5" s="338" t="str">
        <f>IF(E6&lt;=Reporting_Year,"Actuals","Forecast")</f>
        <v>Actuals</v>
      </c>
      <c r="F5" s="338" t="str">
        <f>IF(F6&lt;=Reporting_Year,"Actuals","Forecast")</f>
        <v>Actuals</v>
      </c>
      <c r="G5" s="338" t="str">
        <f>IF(G6&lt;=Reporting_Year,"Actuals","Forecast")</f>
        <v>Actuals</v>
      </c>
      <c r="H5" s="338" t="str">
        <f>IF(H6&lt;=Reporting_Year,"Actuals","Forecast")</f>
        <v>Forecast</v>
      </c>
      <c r="I5" s="338" t="str">
        <f>IF(I6&lt;=Reporting_Year,"Actuals","Forecast")</f>
        <v>Forecast</v>
      </c>
    </row>
    <row r="6" spans="1:14" s="339" customFormat="1">
      <c r="B6" s="389"/>
      <c r="C6" s="389"/>
      <c r="D6" s="29"/>
      <c r="E6" s="340">
        <f>RIIO_2_start_date</f>
        <v>2022</v>
      </c>
      <c r="F6" s="340">
        <f>E6+1</f>
        <v>2023</v>
      </c>
      <c r="G6" s="340">
        <f>F6+1</f>
        <v>2024</v>
      </c>
      <c r="H6" s="340">
        <f t="shared" ref="H6:I6" si="1">G6+1</f>
        <v>2025</v>
      </c>
      <c r="I6" s="340">
        <f t="shared" si="1"/>
        <v>2026</v>
      </c>
    </row>
    <row r="7" spans="1:14" s="339" customFormat="1">
      <c r="B7" s="86"/>
      <c r="C7" s="86"/>
      <c r="D7" s="29"/>
      <c r="E7" s="343" t="str">
        <f>RIIO_2_start_date-1&amp;"/"&amp;RIGHT(RIIO_2_start_date,2)</f>
        <v>2021/22</v>
      </c>
      <c r="F7" s="343" t="str">
        <f>RIIO_2_start_date&amp;"/"&amp;RIGHT(RIIO_2_start_date+1,2)</f>
        <v>2022/23</v>
      </c>
      <c r="G7" s="343" t="str">
        <f>RIIO_2_start_date+1&amp;"/"&amp;RIGHT(RIIO_2_start_date+2,2)</f>
        <v>2023/24</v>
      </c>
      <c r="H7" s="343" t="str">
        <f>RIIO_2_start_date+2&amp;"/"&amp;RIGHT(RIIO_2_start_date+3,2)</f>
        <v>2024/25</v>
      </c>
      <c r="I7" s="343" t="str">
        <f>RIIO_2_start_date+3&amp;"/"&amp;RIGHT(RIIO_2_start_date+4,2)</f>
        <v>2025/26</v>
      </c>
    </row>
    <row r="8" spans="1:14" s="339" customFormat="1">
      <c r="B8" s="86"/>
      <c r="C8" s="86"/>
      <c r="D8" s="29"/>
      <c r="E8" s="390"/>
      <c r="F8" s="390"/>
      <c r="G8" s="390"/>
      <c r="H8" s="390"/>
      <c r="I8" s="390"/>
    </row>
    <row r="9" spans="1:14" s="339" customFormat="1">
      <c r="B9" s="391" t="s">
        <v>519</v>
      </c>
      <c r="C9" s="391"/>
      <c r="D9" s="392"/>
      <c r="E9" s="393"/>
      <c r="F9" s="393"/>
      <c r="G9" s="393"/>
      <c r="H9" s="393"/>
      <c r="I9" s="393"/>
      <c r="J9" s="394"/>
    </row>
    <row r="10" spans="1:14" s="339" customFormat="1">
      <c r="B10" s="86"/>
      <c r="C10" s="86"/>
      <c r="D10" s="29"/>
      <c r="E10" s="390"/>
      <c r="F10" s="390"/>
      <c r="G10" s="390"/>
      <c r="H10" s="390"/>
      <c r="I10" s="390"/>
    </row>
    <row r="11" spans="1:14" s="339" customFormat="1">
      <c r="B11" s="395" t="s">
        <v>520</v>
      </c>
      <c r="C11" s="86"/>
      <c r="D11" s="29"/>
    </row>
    <row r="12" spans="1:14" s="339" customFormat="1">
      <c r="B12" s="396"/>
      <c r="C12" s="86"/>
      <c r="D12" s="29"/>
    </row>
    <row r="13" spans="1:14" s="339" customFormat="1">
      <c r="B13" s="88" t="s">
        <v>521</v>
      </c>
      <c r="C13" s="341" t="str">
        <f>IF(Licensee="NGGT (SO)","SORt* x  PIt* / PI2018/19",IF(Sector="ED2","Rt* x  PIt* / PI2020/21","Rt* x  PIt* / PI2018/19"))</f>
        <v>Rt* x  PIt* / PI2018/19</v>
      </c>
      <c r="D13" s="28" t="s">
        <v>522</v>
      </c>
      <c r="E13" s="397">
        <v>439.61150937658181</v>
      </c>
      <c r="F13" s="397">
        <v>586.55975522580741</v>
      </c>
      <c r="G13" s="397">
        <v>576.54905604511146</v>
      </c>
      <c r="H13" s="397"/>
      <c r="I13" s="397"/>
      <c r="N13" s="341"/>
    </row>
    <row r="14" spans="1:14" s="339" customFormat="1">
      <c r="B14" s="1218" t="s">
        <v>523</v>
      </c>
      <c r="C14" s="114" t="str">
        <f>IF(Licensee="NGGT (SO)","SOADJt*","ADJt*")</f>
        <v>ADJt*</v>
      </c>
      <c r="D14" s="28" t="s">
        <v>522</v>
      </c>
      <c r="E14" s="397">
        <v>0</v>
      </c>
      <c r="F14" s="397">
        <v>33.857491253155153</v>
      </c>
      <c r="G14" s="397">
        <v>1.2264793286137898</v>
      </c>
      <c r="H14" s="397"/>
      <c r="I14" s="397"/>
    </row>
    <row r="15" spans="1:14" s="339" customFormat="1">
      <c r="B15" s="88" t="str">
        <f>IF(Sector="ED2","Calculated revenue","Adjusted revenue (as published)")</f>
        <v>Adjusted revenue (as published)</v>
      </c>
      <c r="C15" s="114" t="str">
        <f>IF(Licensee="NGGT (SO)","SOADJRt*",IF(Sector="ED2"," ","ADJRt*"))</f>
        <v>ADJRt*</v>
      </c>
      <c r="D15" s="28" t="s">
        <v>522</v>
      </c>
      <c r="E15" s="443">
        <f>SUM(E13:E14)</f>
        <v>439.61150937658181</v>
      </c>
      <c r="F15" s="443">
        <f t="shared" ref="F15:G15" si="2">SUM(F13:F14)</f>
        <v>620.41724647896251</v>
      </c>
      <c r="G15" s="443">
        <f t="shared" si="2"/>
        <v>577.77553537372523</v>
      </c>
      <c r="H15" s="443">
        <f t="shared" ref="H15:I15" si="3">SUM(H13:H14)</f>
        <v>0</v>
      </c>
      <c r="I15" s="443">
        <f t="shared" si="3"/>
        <v>0</v>
      </c>
    </row>
    <row r="16" spans="1:14" s="339" customFormat="1">
      <c r="B16" s="88" t="s">
        <v>524</v>
      </c>
      <c r="C16" s="114" t="str">
        <f>IF(OR(Licensee="ESO",Licensee="NGGT (SO)"),"SOLARt","LARt")</f>
        <v>LARt</v>
      </c>
      <c r="D16" s="28" t="s">
        <v>522</v>
      </c>
      <c r="E16" s="397">
        <v>13.896656783962017</v>
      </c>
      <c r="F16" s="397">
        <v>17.488716595859589</v>
      </c>
      <c r="G16" s="397">
        <v>-0.59788981947021069</v>
      </c>
      <c r="H16" s="397"/>
      <c r="I16" s="397"/>
    </row>
    <row r="17" spans="2:10" s="339" customFormat="1">
      <c r="B17" s="88" t="s">
        <v>525</v>
      </c>
      <c r="C17" s="114" t="str">
        <f>IF(Licensee="NGGT (SO)","SOKt","Kt")</f>
        <v>Kt</v>
      </c>
      <c r="D17" s="28" t="s">
        <v>522</v>
      </c>
      <c r="E17" s="397">
        <v>2.2402549021590343</v>
      </c>
      <c r="F17" s="397">
        <v>9.3204958528954904</v>
      </c>
      <c r="G17" s="397">
        <v>13.817668821611427</v>
      </c>
      <c r="H17" s="397"/>
      <c r="I17" s="397"/>
    </row>
    <row r="18" spans="2:10" s="339" customFormat="1">
      <c r="B18" s="88" t="s">
        <v>526</v>
      </c>
      <c r="C18" s="114" t="s">
        <v>527</v>
      </c>
      <c r="D18" s="28" t="s">
        <v>522</v>
      </c>
      <c r="E18" s="1217">
        <v>0</v>
      </c>
      <c r="F18" s="1217">
        <v>0</v>
      </c>
      <c r="G18" s="1217">
        <v>0</v>
      </c>
      <c r="H18" s="1217"/>
      <c r="I18" s="1217"/>
    </row>
    <row r="19" spans="2:10" s="339" customFormat="1">
      <c r="B19" s="86" t="s">
        <v>528</v>
      </c>
      <c r="C19" s="86" t="str">
        <f>IF(Licensee="ESO","SOIARt",IF(Licensee="NGGT (SO)","SOARt","ARt"))</f>
        <v>ARt</v>
      </c>
      <c r="D19" s="29" t="s">
        <v>522</v>
      </c>
      <c r="E19" s="442">
        <f>SUM(E15:E18)</f>
        <v>455.7484210627029</v>
      </c>
      <c r="F19" s="442">
        <f t="shared" ref="F19:G19" si="4">SUM(F15:F18)</f>
        <v>647.22645892771766</v>
      </c>
      <c r="G19" s="442">
        <f t="shared" si="4"/>
        <v>590.99531437586643</v>
      </c>
      <c r="H19" s="442">
        <f t="shared" ref="H19:I19" si="5">SUM(H15:H18)</f>
        <v>0</v>
      </c>
      <c r="I19" s="442">
        <f t="shared" si="5"/>
        <v>0</v>
      </c>
    </row>
    <row r="20" spans="2:10" s="339" customFormat="1">
      <c r="B20" s="389"/>
      <c r="C20" s="389"/>
      <c r="D20" s="29"/>
      <c r="E20" s="398"/>
      <c r="F20" s="398"/>
      <c r="G20" s="398"/>
      <c r="H20" s="399"/>
      <c r="I20" s="399"/>
    </row>
    <row r="21" spans="2:10" s="339" customFormat="1">
      <c r="B21" s="389" t="s">
        <v>529</v>
      </c>
      <c r="C21" s="396"/>
      <c r="D21" s="29" t="s">
        <v>522</v>
      </c>
      <c r="E21" s="442">
        <f>IF(ISBLANK(E25),0,E25-E19)</f>
        <v>-9.2003528905266876</v>
      </c>
      <c r="F21" s="442">
        <f t="shared" ref="F21:G21" si="6">IF(ISBLANK(F25),0,F25-F19)</f>
        <v>-13.36162269194358</v>
      </c>
      <c r="G21" s="442">
        <f t="shared" si="6"/>
        <v>0.57009446414406284</v>
      </c>
      <c r="H21" s="442">
        <f t="shared" ref="H21:I21" si="7">IF(ISBLANK(H25),0,H25-H19)</f>
        <v>0</v>
      </c>
      <c r="I21" s="442">
        <f t="shared" si="7"/>
        <v>0</v>
      </c>
    </row>
    <row r="22" spans="2:10" s="339" customFormat="1">
      <c r="B22" s="389"/>
      <c r="C22" s="389"/>
      <c r="D22" s="29"/>
    </row>
    <row r="23" spans="2:10" s="339" customFormat="1">
      <c r="B23" s="389"/>
      <c r="C23" s="389"/>
      <c r="D23" s="29"/>
    </row>
    <row r="24" spans="2:10" s="339" customFormat="1">
      <c r="B24" s="389"/>
      <c r="C24" s="389"/>
      <c r="D24" s="29"/>
    </row>
    <row r="25" spans="2:10" s="339" customFormat="1">
      <c r="B25" s="396" t="s">
        <v>530</v>
      </c>
      <c r="C25" s="396" t="s">
        <v>531</v>
      </c>
      <c r="D25" s="29" t="s">
        <v>522</v>
      </c>
      <c r="E25" s="397">
        <v>446.54806817217622</v>
      </c>
      <c r="F25" s="397">
        <v>633.86483623577408</v>
      </c>
      <c r="G25" s="397">
        <v>591.56540884001049</v>
      </c>
      <c r="H25" s="397"/>
      <c r="I25" s="397"/>
    </row>
    <row r="26" spans="2:10" s="339" customFormat="1">
      <c r="B26" s="389"/>
      <c r="C26" s="389"/>
      <c r="D26" s="29"/>
    </row>
    <row r="27" spans="2:10" s="339" customFormat="1">
      <c r="B27" s="396" t="s">
        <v>532</v>
      </c>
      <c r="C27" s="396"/>
      <c r="D27" s="29"/>
      <c r="E27" s="29"/>
      <c r="F27" s="29"/>
      <c r="G27" s="29"/>
      <c r="H27" s="29"/>
      <c r="I27" s="29"/>
      <c r="J27" s="29"/>
    </row>
    <row r="28" spans="2:10" s="339" customFormat="1">
      <c r="B28" s="400" t="s">
        <v>533</v>
      </c>
      <c r="C28" s="400"/>
      <c r="D28" s="29" t="s">
        <v>522</v>
      </c>
      <c r="E28" s="401">
        <v>0</v>
      </c>
      <c r="F28" s="401">
        <v>0</v>
      </c>
      <c r="G28" s="401">
        <v>0</v>
      </c>
      <c r="H28" s="401"/>
      <c r="I28" s="401"/>
    </row>
    <row r="29" spans="2:10" s="339" customFormat="1">
      <c r="B29" s="400" t="s">
        <v>534</v>
      </c>
      <c r="C29" s="400"/>
      <c r="D29" s="29" t="s">
        <v>522</v>
      </c>
      <c r="E29" s="401">
        <v>0</v>
      </c>
      <c r="F29" s="401">
        <v>0</v>
      </c>
      <c r="G29" s="401">
        <v>0</v>
      </c>
      <c r="H29" s="401"/>
      <c r="I29" s="401"/>
    </row>
    <row r="30" spans="2:10" s="339" customFormat="1">
      <c r="B30" s="400" t="s">
        <v>535</v>
      </c>
      <c r="C30" s="400"/>
      <c r="D30" s="29" t="s">
        <v>522</v>
      </c>
      <c r="E30" s="401">
        <v>0</v>
      </c>
      <c r="F30" s="401">
        <v>0</v>
      </c>
      <c r="G30" s="401">
        <v>0</v>
      </c>
      <c r="H30" s="401"/>
      <c r="I30" s="401"/>
    </row>
    <row r="31" spans="2:10" s="339" customFormat="1">
      <c r="B31" s="400" t="s">
        <v>536</v>
      </c>
      <c r="C31" s="400"/>
      <c r="D31" s="29" t="s">
        <v>522</v>
      </c>
      <c r="E31" s="401">
        <v>0</v>
      </c>
      <c r="F31" s="401">
        <v>0</v>
      </c>
      <c r="G31" s="401">
        <v>0</v>
      </c>
      <c r="H31" s="401"/>
      <c r="I31" s="401"/>
    </row>
    <row r="32" spans="2:10" s="339" customFormat="1">
      <c r="B32" s="400" t="s">
        <v>537</v>
      </c>
      <c r="C32" s="400"/>
      <c r="D32" s="29" t="s">
        <v>522</v>
      </c>
      <c r="E32" s="401">
        <v>0</v>
      </c>
      <c r="F32" s="401">
        <v>0</v>
      </c>
      <c r="G32" s="401">
        <v>0</v>
      </c>
      <c r="H32" s="401"/>
      <c r="I32" s="401"/>
    </row>
    <row r="33" spans="2:9" s="339" customFormat="1">
      <c r="B33" s="400" t="s">
        <v>538</v>
      </c>
      <c r="C33" s="400"/>
      <c r="D33" s="29" t="s">
        <v>522</v>
      </c>
      <c r="E33" s="401">
        <v>0.38045973660034477</v>
      </c>
      <c r="F33" s="401">
        <v>0.43790380559113412</v>
      </c>
      <c r="G33" s="401">
        <v>0.48927231011924938</v>
      </c>
      <c r="H33" s="401"/>
      <c r="I33" s="401"/>
    </row>
    <row r="34" spans="2:9" s="339" customFormat="1">
      <c r="B34" s="400" t="s">
        <v>539</v>
      </c>
      <c r="C34" s="400"/>
      <c r="D34" s="29" t="s">
        <v>522</v>
      </c>
      <c r="E34" s="401">
        <v>0</v>
      </c>
      <c r="F34" s="401">
        <v>0</v>
      </c>
      <c r="G34" s="401">
        <v>0</v>
      </c>
      <c r="H34" s="401"/>
      <c r="I34" s="401"/>
    </row>
    <row r="35" spans="2:9" s="339" customFormat="1">
      <c r="B35" s="182" t="s">
        <v>540</v>
      </c>
      <c r="C35" s="182"/>
      <c r="D35" s="29" t="s">
        <v>522</v>
      </c>
      <c r="E35" s="401">
        <v>0</v>
      </c>
      <c r="F35" s="401">
        <v>0</v>
      </c>
      <c r="G35" s="401">
        <v>0</v>
      </c>
      <c r="H35" s="401"/>
      <c r="I35" s="401"/>
    </row>
    <row r="36" spans="2:9" s="339" customFormat="1">
      <c r="B36" s="402" t="s">
        <v>541</v>
      </c>
      <c r="C36" s="403"/>
      <c r="D36" s="29" t="s">
        <v>522</v>
      </c>
      <c r="E36" s="401">
        <v>-1.9505021000000109</v>
      </c>
      <c r="F36" s="401">
        <v>0.13308721000006796</v>
      </c>
      <c r="G36" s="401">
        <v>-0.30440751000000538</v>
      </c>
      <c r="H36" s="401"/>
      <c r="I36" s="401"/>
    </row>
    <row r="37" spans="2:9" s="339" customFormat="1">
      <c r="B37" s="396" t="s">
        <v>542</v>
      </c>
      <c r="C37" s="396"/>
      <c r="D37" s="29" t="s">
        <v>522</v>
      </c>
      <c r="E37" s="442">
        <f>SUM(E28:E36)</f>
        <v>-1.5700423633996661</v>
      </c>
      <c r="F37" s="442">
        <f t="shared" ref="F37:I37" si="8">SUM(F28:F36)</f>
        <v>0.57099101559120213</v>
      </c>
      <c r="G37" s="442">
        <f t="shared" si="8"/>
        <v>0.184864800119244</v>
      </c>
      <c r="H37" s="442">
        <f t="shared" si="8"/>
        <v>0</v>
      </c>
      <c r="I37" s="442">
        <f t="shared" si="8"/>
        <v>0</v>
      </c>
    </row>
    <row r="38" spans="2:9" s="339" customFormat="1">
      <c r="B38" s="389"/>
      <c r="C38" s="389"/>
      <c r="D38" s="29"/>
    </row>
    <row r="39" spans="2:9" s="339" customFormat="1">
      <c r="B39" s="396" t="s">
        <v>543</v>
      </c>
      <c r="D39" s="396"/>
      <c r="E39" s="404"/>
    </row>
    <row r="40" spans="2:9" s="339" customFormat="1">
      <c r="B40" s="402" t="s">
        <v>544</v>
      </c>
      <c r="C40" s="402"/>
      <c r="D40" s="29" t="s">
        <v>522</v>
      </c>
      <c r="E40" s="401">
        <v>3.257733975247981</v>
      </c>
      <c r="F40" s="401">
        <v>2.7520722391355497</v>
      </c>
      <c r="G40" s="401">
        <v>2.4999213013130288</v>
      </c>
      <c r="H40" s="401"/>
      <c r="I40" s="401"/>
    </row>
    <row r="41" spans="2:9" s="339" customFormat="1">
      <c r="B41" s="402" t="s">
        <v>545</v>
      </c>
      <c r="C41" s="402"/>
      <c r="D41" s="29" t="s">
        <v>522</v>
      </c>
      <c r="E41" s="401">
        <v>0.58805651000000003</v>
      </c>
      <c r="F41" s="401">
        <v>0.52767844999999991</v>
      </c>
      <c r="G41" s="401">
        <v>0.50618209999999997</v>
      </c>
      <c r="H41" s="401"/>
      <c r="I41" s="401"/>
    </row>
    <row r="42" spans="2:9" s="339" customFormat="1">
      <c r="B42" s="402" t="s">
        <v>546</v>
      </c>
      <c r="C42" s="402"/>
      <c r="D42" s="29" t="s">
        <v>522</v>
      </c>
      <c r="E42" s="401">
        <v>1.0869247118001797</v>
      </c>
      <c r="F42" s="401">
        <v>1.313679851449316</v>
      </c>
      <c r="G42" s="401">
        <v>1.7059609018549633</v>
      </c>
      <c r="H42" s="401"/>
      <c r="I42" s="401"/>
    </row>
    <row r="43" spans="2:9" s="339" customFormat="1">
      <c r="B43" s="402" t="s">
        <v>547</v>
      </c>
      <c r="C43" s="402"/>
      <c r="D43" s="29" t="s">
        <v>522</v>
      </c>
      <c r="E43" s="401">
        <v>2.4676364100000003</v>
      </c>
      <c r="F43" s="401">
        <v>6.7647470970569588</v>
      </c>
      <c r="G43" s="401">
        <v>1.2515052288468711</v>
      </c>
      <c r="H43" s="401"/>
      <c r="I43" s="401"/>
    </row>
    <row r="44" spans="2:9" s="339" customFormat="1">
      <c r="B44" s="402" t="s">
        <v>548</v>
      </c>
      <c r="C44" s="402"/>
      <c r="D44" s="29" t="s">
        <v>522</v>
      </c>
      <c r="E44" s="401">
        <v>1.4813130248907669</v>
      </c>
      <c r="F44" s="401">
        <v>0.21368398000000002</v>
      </c>
      <c r="G44" s="401">
        <v>0.28728449</v>
      </c>
      <c r="H44" s="401"/>
      <c r="I44" s="401"/>
    </row>
    <row r="45" spans="2:9" s="339" customFormat="1">
      <c r="B45" s="402" t="s">
        <v>549</v>
      </c>
      <c r="C45" s="402"/>
      <c r="D45" s="29" t="s">
        <v>522</v>
      </c>
      <c r="E45" s="401">
        <v>2.0754477499999999</v>
      </c>
      <c r="F45" s="401">
        <v>0</v>
      </c>
      <c r="G45" s="401">
        <v>-0.61502182020000007</v>
      </c>
      <c r="H45" s="401"/>
      <c r="I45" s="401"/>
    </row>
    <row r="46" spans="2:9" s="339" customFormat="1">
      <c r="B46" s="402" t="s">
        <v>550</v>
      </c>
      <c r="C46" s="402"/>
      <c r="D46" s="29" t="s">
        <v>522</v>
      </c>
      <c r="E46" s="401">
        <v>-0.92340560053800003</v>
      </c>
      <c r="F46" s="401">
        <v>-101.91114821478517</v>
      </c>
      <c r="G46" s="401">
        <v>-33.980131123362327</v>
      </c>
      <c r="H46" s="401"/>
      <c r="I46" s="401"/>
    </row>
    <row r="47" spans="2:9" s="339" customFormat="1">
      <c r="B47" s="402" t="s">
        <v>551</v>
      </c>
      <c r="C47" s="402"/>
      <c r="D47" s="29" t="s">
        <v>522</v>
      </c>
      <c r="E47" s="401">
        <v>6.6169412324820764E-2</v>
      </c>
      <c r="F47" s="401">
        <v>4.0207305191642249E-2</v>
      </c>
      <c r="G47" s="401">
        <v>6.1426882138173905E-2</v>
      </c>
      <c r="H47" s="401"/>
      <c r="I47" s="401"/>
    </row>
    <row r="48" spans="2:9" s="339" customFormat="1">
      <c r="B48" s="402" t="s">
        <v>552</v>
      </c>
      <c r="C48" s="402"/>
      <c r="D48" s="29" t="s">
        <v>522</v>
      </c>
      <c r="E48" s="401">
        <v>1528.5743257656979</v>
      </c>
      <c r="F48" s="401">
        <v>1795.8428941180855</v>
      </c>
      <c r="G48" s="401">
        <v>1713.707885289278</v>
      </c>
      <c r="H48" s="401"/>
      <c r="I48" s="401"/>
    </row>
    <row r="49" spans="2:10" s="339" customFormat="1">
      <c r="B49" s="402" t="s">
        <v>216</v>
      </c>
      <c r="C49" s="402"/>
      <c r="D49" s="29" t="s">
        <v>522</v>
      </c>
      <c r="E49" s="401">
        <v>0.34777223179941003</v>
      </c>
      <c r="F49" s="401">
        <v>2.0357922500465975E-2</v>
      </c>
      <c r="G49" s="401">
        <v>-0.19500000000000001</v>
      </c>
      <c r="H49" s="401"/>
      <c r="I49" s="401"/>
    </row>
    <row r="50" spans="2:10" s="339" customFormat="1">
      <c r="B50" s="402" t="s">
        <v>553</v>
      </c>
      <c r="C50" s="402"/>
      <c r="D50" s="29" t="s">
        <v>522</v>
      </c>
      <c r="E50" s="401">
        <v>0</v>
      </c>
      <c r="F50" s="401">
        <v>0</v>
      </c>
      <c r="G50" s="401">
        <v>0</v>
      </c>
      <c r="H50" s="401"/>
      <c r="I50" s="401"/>
    </row>
    <row r="51" spans="2:10" s="339" customFormat="1">
      <c r="B51" s="402" t="s">
        <v>553</v>
      </c>
      <c r="C51" s="402"/>
      <c r="D51" s="29" t="s">
        <v>522</v>
      </c>
      <c r="E51" s="401">
        <v>0</v>
      </c>
      <c r="F51" s="401">
        <v>0</v>
      </c>
      <c r="G51" s="401">
        <v>0</v>
      </c>
      <c r="H51" s="401"/>
      <c r="I51" s="401"/>
    </row>
    <row r="52" spans="2:10" s="339" customFormat="1">
      <c r="B52" s="402" t="s">
        <v>553</v>
      </c>
      <c r="C52" s="402"/>
      <c r="D52" s="29" t="s">
        <v>522</v>
      </c>
      <c r="E52" s="401">
        <v>0</v>
      </c>
      <c r="F52" s="401">
        <v>0</v>
      </c>
      <c r="G52" s="401">
        <v>0</v>
      </c>
      <c r="H52" s="401"/>
      <c r="I52" s="401"/>
    </row>
    <row r="53" spans="2:10" s="339" customFormat="1">
      <c r="B53" s="402" t="s">
        <v>553</v>
      </c>
      <c r="C53" s="402"/>
      <c r="D53" s="29" t="s">
        <v>522</v>
      </c>
      <c r="E53" s="401">
        <v>0</v>
      </c>
      <c r="F53" s="401">
        <v>0</v>
      </c>
      <c r="G53" s="401">
        <v>0</v>
      </c>
      <c r="H53" s="401"/>
      <c r="I53" s="401"/>
    </row>
    <row r="54" spans="2:10" s="339" customFormat="1">
      <c r="B54" s="402" t="s">
        <v>553</v>
      </c>
      <c r="C54" s="402"/>
      <c r="D54" s="29" t="s">
        <v>522</v>
      </c>
      <c r="E54" s="401">
        <v>0</v>
      </c>
      <c r="F54" s="401">
        <v>0</v>
      </c>
      <c r="G54" s="401">
        <v>0</v>
      </c>
      <c r="H54" s="401"/>
      <c r="I54" s="401"/>
    </row>
    <row r="55" spans="2:10" s="339" customFormat="1">
      <c r="B55" s="402" t="s">
        <v>553</v>
      </c>
      <c r="C55" s="402"/>
      <c r="D55" s="29" t="s">
        <v>522</v>
      </c>
      <c r="E55" s="401">
        <v>0</v>
      </c>
      <c r="F55" s="401">
        <v>0</v>
      </c>
      <c r="G55" s="401">
        <v>0</v>
      </c>
      <c r="H55" s="401"/>
      <c r="I55" s="401"/>
    </row>
    <row r="56" spans="2:10" s="339" customFormat="1">
      <c r="B56" s="396" t="s">
        <v>554</v>
      </c>
      <c r="C56" s="396"/>
      <c r="D56" s="29" t="s">
        <v>522</v>
      </c>
      <c r="E56" s="442">
        <f t="shared" ref="E56:I56" si="9">SUM(E40:E55)</f>
        <v>1539.0219741912231</v>
      </c>
      <c r="F56" s="442">
        <f t="shared" si="9"/>
        <v>1705.5641727486341</v>
      </c>
      <c r="G56" s="442">
        <f t="shared" si="9"/>
        <v>1685.2300132498688</v>
      </c>
      <c r="H56" s="442">
        <f t="shared" si="9"/>
        <v>0</v>
      </c>
      <c r="I56" s="442">
        <f t="shared" si="9"/>
        <v>0</v>
      </c>
    </row>
    <row r="57" spans="2:10" s="339" customFormat="1">
      <c r="B57" s="389"/>
      <c r="C57" s="389"/>
      <c r="D57" s="29"/>
      <c r="E57" s="405"/>
      <c r="F57" s="405"/>
      <c r="G57" s="405"/>
      <c r="H57" s="405"/>
      <c r="I57" s="405"/>
    </row>
    <row r="58" spans="2:10" s="339" customFormat="1">
      <c r="B58" s="406" t="s">
        <v>555</v>
      </c>
      <c r="C58" s="406"/>
      <c r="D58" s="29" t="s">
        <v>522</v>
      </c>
      <c r="E58" s="442">
        <f>E25+E37+E56</f>
        <v>1983.9999999999995</v>
      </c>
      <c r="F58" s="442">
        <f t="shared" ref="F58:I58" si="10">F25+F37+F56</f>
        <v>2339.9999999999991</v>
      </c>
      <c r="G58" s="442">
        <f t="shared" si="10"/>
        <v>2276.9802868899988</v>
      </c>
      <c r="H58" s="442">
        <f t="shared" si="10"/>
        <v>0</v>
      </c>
      <c r="I58" s="442">
        <f t="shared" si="10"/>
        <v>0</v>
      </c>
    </row>
    <row r="59" spans="2:10" s="339" customFormat="1">
      <c r="B59" s="407" t="s">
        <v>556</v>
      </c>
      <c r="C59" s="407"/>
      <c r="D59" s="29" t="s">
        <v>522</v>
      </c>
      <c r="E59" s="401">
        <v>1984</v>
      </c>
      <c r="F59" s="401">
        <v>2340</v>
      </c>
      <c r="G59" s="401">
        <v>2276.9805964899997</v>
      </c>
      <c r="H59" s="401"/>
      <c r="I59" s="401"/>
    </row>
    <row r="60" spans="2:10" s="339" customFormat="1">
      <c r="B60" s="389" t="s">
        <v>557</v>
      </c>
      <c r="C60" s="389"/>
      <c r="D60" s="29"/>
      <c r="E60" s="444" t="str">
        <f>IF(ABS(E58-E59)&lt;Data!$F$7,"OK","Error")</f>
        <v>OK</v>
      </c>
      <c r="F60" s="444" t="str">
        <f>IF(ABS(F58-F59)&lt;Data!$F$7,"OK","Error")</f>
        <v>OK</v>
      </c>
      <c r="G60" s="444" t="str">
        <f>IF(ABS(G58-G59)&lt;Data!$F$7,"OK","Error")</f>
        <v>OK</v>
      </c>
      <c r="H60" s="444" t="str">
        <f>IF(ABS(H58-H59)&lt;Data!$F$7,"OK","Error")</f>
        <v>OK</v>
      </c>
      <c r="I60" s="444" t="str">
        <f>IF(ABS(I58-I59)&lt;Data!$F$7,"OK","Error")</f>
        <v>OK</v>
      </c>
    </row>
    <row r="61" spans="2:10" s="339" customFormat="1">
      <c r="B61" s="389"/>
      <c r="C61" s="389"/>
      <c r="D61" s="29"/>
      <c r="E61" s="408"/>
      <c r="F61" s="408"/>
      <c r="G61" s="408"/>
      <c r="H61" s="408"/>
      <c r="I61" s="408"/>
    </row>
    <row r="62" spans="2:10" s="339" customFormat="1">
      <c r="B62" s="389"/>
      <c r="C62" s="389"/>
      <c r="D62" s="29"/>
    </row>
    <row r="63" spans="2:10" s="339" customFormat="1">
      <c r="B63" s="389"/>
      <c r="C63" s="389"/>
      <c r="D63" s="29"/>
    </row>
    <row r="64" spans="2:10" s="339" customFormat="1">
      <c r="B64" s="391" t="s">
        <v>558</v>
      </c>
      <c r="C64" s="391"/>
      <c r="D64" s="392"/>
      <c r="E64" s="393"/>
      <c r="F64" s="393"/>
      <c r="G64" s="393"/>
      <c r="H64" s="393"/>
      <c r="I64" s="393"/>
      <c r="J64" s="394"/>
    </row>
    <row r="65" spans="1:14" s="339" customFormat="1">
      <c r="A65" s="114"/>
      <c r="B65" s="88"/>
      <c r="C65" s="88"/>
      <c r="D65" s="29"/>
      <c r="E65" s="114"/>
      <c r="F65" s="114"/>
      <c r="G65" s="114"/>
      <c r="H65" s="114"/>
      <c r="I65" s="114"/>
      <c r="J65" s="114"/>
      <c r="K65" s="114"/>
      <c r="L65" s="114"/>
      <c r="M65" s="114"/>
      <c r="N65" s="114"/>
    </row>
    <row r="66" spans="1:14" s="339" customFormat="1">
      <c r="A66" s="114"/>
      <c r="B66" s="88"/>
      <c r="C66" s="88"/>
      <c r="D66" s="29"/>
      <c r="E66" s="338" t="str">
        <f>IF(E$6&lt;=Reporting_Year,"Actuals","N/A")</f>
        <v>Actuals</v>
      </c>
      <c r="F66" s="338" t="str">
        <f>IF(F$6&lt;=Reporting_Year,"Actuals","N/A")</f>
        <v>Actuals</v>
      </c>
      <c r="G66" s="338" t="str">
        <f>IF(G$6&lt;=Reporting_Year,"Actuals","N/A")</f>
        <v>Actuals</v>
      </c>
      <c r="H66" s="338" t="str">
        <f>IF(H$6&lt;=Reporting_Year,"Actuals","N/A")</f>
        <v>N/A</v>
      </c>
      <c r="I66" s="338" t="str">
        <f>IF(I$6&lt;=Reporting_Year,"Actuals","N/A")</f>
        <v>N/A</v>
      </c>
      <c r="J66" s="114"/>
      <c r="K66" s="114"/>
      <c r="L66" s="114"/>
      <c r="M66" s="114"/>
      <c r="N66" s="114"/>
    </row>
    <row r="67" spans="1:14" s="339" customFormat="1">
      <c r="A67" s="114"/>
      <c r="B67" s="88"/>
      <c r="C67" s="88"/>
      <c r="D67" s="29"/>
      <c r="E67" s="114"/>
      <c r="F67" s="114"/>
      <c r="G67" s="114"/>
      <c r="H67" s="114"/>
      <c r="I67" s="114"/>
      <c r="J67" s="114"/>
      <c r="K67" s="114"/>
      <c r="L67" s="114"/>
      <c r="M67" s="114"/>
      <c r="N67" s="114"/>
    </row>
    <row r="68" spans="1:14" s="339" customFormat="1">
      <c r="A68" s="114"/>
      <c r="B68" s="346" t="s">
        <v>559</v>
      </c>
      <c r="C68" s="88"/>
      <c r="D68" s="29" t="s">
        <v>522</v>
      </c>
      <c r="E68" s="445">
        <f t="shared" ref="E68:I68" si="11">E59</f>
        <v>1984</v>
      </c>
      <c r="F68" s="445">
        <f t="shared" si="11"/>
        <v>2340</v>
      </c>
      <c r="G68" s="445">
        <f t="shared" si="11"/>
        <v>2276.9805964899997</v>
      </c>
      <c r="H68" s="445">
        <f t="shared" si="11"/>
        <v>0</v>
      </c>
      <c r="I68" s="445">
        <f t="shared" si="11"/>
        <v>0</v>
      </c>
      <c r="J68" s="114"/>
      <c r="K68" s="114"/>
      <c r="L68" s="114"/>
      <c r="M68" s="114"/>
      <c r="N68" s="114"/>
    </row>
    <row r="69" spans="1:14" s="339" customFormat="1">
      <c r="A69" s="114"/>
      <c r="B69" s="339" t="s">
        <v>560</v>
      </c>
      <c r="C69" s="88"/>
      <c r="D69" s="29" t="s">
        <v>522</v>
      </c>
      <c r="E69" s="445">
        <f>E25</f>
        <v>446.54806817217622</v>
      </c>
      <c r="F69" s="445">
        <f>F25</f>
        <v>633.86483623577408</v>
      </c>
      <c r="G69" s="445">
        <f t="shared" ref="G69:I69" si="12">G25</f>
        <v>591.56540884001049</v>
      </c>
      <c r="H69" s="445">
        <f t="shared" si="12"/>
        <v>0</v>
      </c>
      <c r="I69" s="445">
        <f t="shared" si="12"/>
        <v>0</v>
      </c>
      <c r="J69" s="114" t="s">
        <v>561</v>
      </c>
      <c r="K69" s="114"/>
      <c r="L69" s="114"/>
      <c r="M69" s="114"/>
      <c r="N69" s="114"/>
    </row>
    <row r="70" spans="1:14" s="339" customFormat="1">
      <c r="A70" s="114"/>
      <c r="B70" s="407"/>
      <c r="C70" s="88"/>
      <c r="D70" s="29"/>
      <c r="E70" s="409"/>
      <c r="F70" s="409"/>
      <c r="G70" s="409"/>
      <c r="H70" s="114"/>
      <c r="I70" s="114"/>
      <c r="J70" s="114"/>
      <c r="K70" s="114"/>
      <c r="L70" s="114"/>
      <c r="M70" s="114"/>
      <c r="N70" s="114"/>
    </row>
    <row r="71" spans="1:14">
      <c r="B71" s="410"/>
    </row>
    <row r="72" spans="1:14">
      <c r="B72" s="346" t="s">
        <v>562</v>
      </c>
      <c r="D72" s="29" t="s">
        <v>522</v>
      </c>
      <c r="E72" s="445">
        <f>'R3 - Totex - Reconciliation'!D129</f>
        <v>896.53487623000001</v>
      </c>
      <c r="F72" s="445">
        <f>'R3 - Totex - Reconciliation'!E129</f>
        <v>972.95526010000003</v>
      </c>
      <c r="G72" s="445">
        <f>'R3 - Totex - Reconciliation'!F129</f>
        <v>922</v>
      </c>
      <c r="H72" s="445">
        <f>'R3 - Totex - Reconciliation'!G129</f>
        <v>0</v>
      </c>
      <c r="I72" s="445">
        <f>'R3 - Totex - Reconciliation'!H129</f>
        <v>0</v>
      </c>
    </row>
    <row r="73" spans="1:14">
      <c r="B73" s="411" t="s">
        <v>563</v>
      </c>
      <c r="D73" s="114"/>
    </row>
    <row r="74" spans="1:14" ht="8.15" customHeight="1">
      <c r="B74" s="114"/>
      <c r="D74" s="114"/>
    </row>
    <row r="75" spans="1:14" ht="12.65" customHeight="1">
      <c r="B75" s="339" t="s">
        <v>564</v>
      </c>
      <c r="D75" s="29" t="s">
        <v>522</v>
      </c>
      <c r="E75" s="446">
        <f>'R3 - Totex - Reconciliation'!D157</f>
        <v>-697.99947857449308</v>
      </c>
      <c r="F75" s="446">
        <f>'R3 - Totex - Reconciliation'!E157</f>
        <v>-770.297918528948</v>
      </c>
      <c r="G75" s="446">
        <f>'R3 - Totex - Reconciliation'!F157</f>
        <v>-711.45601276541424</v>
      </c>
      <c r="H75" s="446">
        <f>'R3 - Totex - Reconciliation'!G157</f>
        <v>0</v>
      </c>
      <c r="I75" s="446">
        <f>'R3 - Totex - Reconciliation'!H157</f>
        <v>0</v>
      </c>
    </row>
    <row r="76" spans="1:14">
      <c r="B76" s="114" t="s">
        <v>565</v>
      </c>
      <c r="D76" s="29" t="s">
        <v>522</v>
      </c>
      <c r="E76" s="401">
        <v>0</v>
      </c>
      <c r="F76" s="401">
        <v>0</v>
      </c>
      <c r="G76" s="401">
        <v>0</v>
      </c>
      <c r="H76" s="401"/>
      <c r="I76" s="401"/>
    </row>
    <row r="77" spans="1:14" ht="5.15" customHeight="1">
      <c r="B77" s="114"/>
      <c r="D77" s="88"/>
      <c r="E77" s="88"/>
      <c r="F77" s="88"/>
      <c r="G77" s="88"/>
      <c r="H77" s="88"/>
      <c r="I77" s="88"/>
    </row>
    <row r="78" spans="1:14">
      <c r="B78" s="339" t="s">
        <v>566</v>
      </c>
      <c r="D78" s="29" t="s">
        <v>522</v>
      </c>
      <c r="E78" s="445">
        <f>'R3 - Totex - Reconciliation'!D129+'R3 - Totex - Reconciliation'!D157+E76</f>
        <v>198.53539765550693</v>
      </c>
      <c r="F78" s="447">
        <f>'R3 - Totex - Reconciliation'!E129+'R3 - Totex - Reconciliation'!E157+F76</f>
        <v>202.65734157105203</v>
      </c>
      <c r="G78" s="447">
        <f>'R3 - Totex - Reconciliation'!F129+'R3 - Totex - Reconciliation'!F157+G76</f>
        <v>210.54398723458576</v>
      </c>
      <c r="H78" s="447">
        <f>'R3 - Totex - Reconciliation'!G129+'R3 - Totex - Reconciliation'!G157+H76</f>
        <v>0</v>
      </c>
      <c r="I78" s="447">
        <f>'R3 - Totex - Reconciliation'!H129+'R3 - Totex - Reconciliation'!H157+I76</f>
        <v>0</v>
      </c>
      <c r="K78" s="88"/>
      <c r="N78" s="88"/>
    </row>
    <row r="79" spans="1:14">
      <c r="B79" s="411" t="s">
        <v>567</v>
      </c>
      <c r="D79" s="29" t="s">
        <v>522</v>
      </c>
      <c r="E79" s="448" t="str">
        <f>IF(ABS(E78-SUM(E72,E75,E76))&lt;=materiality_threshold,"ok","error")</f>
        <v>ok</v>
      </c>
      <c r="F79" s="448" t="str">
        <f>IF(ABS(F78-SUM(F72,F75,F76))&lt;=materiality_threshold,"ok","error")</f>
        <v>ok</v>
      </c>
      <c r="G79" s="448" t="str">
        <f>IF(ABS(G78-SUM(G72,G75,G76))&lt;=materiality_threshold,"ok","error")</f>
        <v>ok</v>
      </c>
      <c r="H79" s="448" t="str">
        <f>IF(ABS(H78-SUM(H72,H75,H76))&lt;=materiality_threshold,"ok","error")</f>
        <v>ok</v>
      </c>
      <c r="I79" s="448" t="str">
        <f>IF(ABS(I78-SUM(I72,I75,I76))&lt;=materiality_threshold,"ok","error")</f>
        <v>ok</v>
      </c>
    </row>
    <row r="80" spans="1:14">
      <c r="B80" s="114"/>
      <c r="E80" s="29"/>
      <c r="F80" s="29"/>
      <c r="G80" s="29"/>
      <c r="H80" s="29"/>
      <c r="I80" s="29"/>
    </row>
    <row r="81" spans="2:13">
      <c r="B81" s="346" t="s">
        <v>568</v>
      </c>
      <c r="D81" s="29" t="s">
        <v>522</v>
      </c>
      <c r="E81" s="449">
        <f>E68-E72</f>
        <v>1087.46512377</v>
      </c>
      <c r="F81" s="449">
        <f>F68-F72</f>
        <v>1367.0447399</v>
      </c>
      <c r="G81" s="449">
        <f>G68-G72</f>
        <v>1354.9805964899997</v>
      </c>
      <c r="H81" s="449">
        <f>H68-H72</f>
        <v>0</v>
      </c>
      <c r="I81" s="449">
        <f>I68-I72</f>
        <v>0</v>
      </c>
    </row>
    <row r="82" spans="2:13">
      <c r="B82" s="412" t="s">
        <v>569</v>
      </c>
      <c r="D82" s="29" t="s">
        <v>522</v>
      </c>
      <c r="E82" s="449">
        <f>E69-E78</f>
        <v>248.01267051666929</v>
      </c>
      <c r="F82" s="449">
        <f>F69-F78</f>
        <v>431.20749466472205</v>
      </c>
      <c r="G82" s="449">
        <f>G69-G78</f>
        <v>381.02142160542473</v>
      </c>
      <c r="H82" s="449">
        <f>H69-H78</f>
        <v>0</v>
      </c>
      <c r="I82" s="449">
        <f>I69-I78</f>
        <v>0</v>
      </c>
    </row>
    <row r="84" spans="2:13">
      <c r="B84" s="346" t="s">
        <v>570</v>
      </c>
      <c r="D84" s="29" t="s">
        <v>522</v>
      </c>
      <c r="E84" s="447">
        <f>'R3 - Totex - Reconciliation'!D124</f>
        <v>402.46512377000005</v>
      </c>
      <c r="F84" s="447">
        <f>'R3 - Totex - Reconciliation'!E124</f>
        <v>422.04473989999997</v>
      </c>
      <c r="G84" s="447">
        <f>'R3 - Totex - Reconciliation'!F124</f>
        <v>462</v>
      </c>
      <c r="H84" s="447">
        <f>'R3 - Totex - Reconciliation'!G124</f>
        <v>0</v>
      </c>
      <c r="I84" s="447">
        <f>'R3 - Totex - Reconciliation'!H124</f>
        <v>0</v>
      </c>
    </row>
    <row r="85" spans="2:13" ht="16" customHeight="1">
      <c r="B85" s="411" t="s">
        <v>563</v>
      </c>
    </row>
    <row r="86" spans="2:13" ht="22" customHeight="1">
      <c r="B86" s="114" t="s">
        <v>571</v>
      </c>
      <c r="D86" s="114"/>
    </row>
    <row r="87" spans="2:13">
      <c r="B87" s="389" t="s">
        <v>572</v>
      </c>
      <c r="D87" s="29" t="s">
        <v>522</v>
      </c>
      <c r="E87" s="413">
        <v>9</v>
      </c>
      <c r="F87" s="413">
        <v>12</v>
      </c>
      <c r="G87" s="413">
        <v>18</v>
      </c>
      <c r="H87" s="413">
        <v>0</v>
      </c>
      <c r="I87" s="413">
        <v>0</v>
      </c>
    </row>
    <row r="88" spans="2:13">
      <c r="B88" s="402" t="s">
        <v>573</v>
      </c>
      <c r="C88" s="402"/>
      <c r="D88" s="29" t="s">
        <v>522</v>
      </c>
      <c r="E88" s="413">
        <v>0</v>
      </c>
      <c r="F88" s="413">
        <v>0</v>
      </c>
      <c r="G88" s="401"/>
      <c r="H88" s="401"/>
      <c r="I88" s="401"/>
    </row>
    <row r="89" spans="2:13">
      <c r="B89" s="389" t="s">
        <v>574</v>
      </c>
      <c r="D89" s="29" t="s">
        <v>522</v>
      </c>
      <c r="E89" s="450">
        <f>SUM(E87:E88)</f>
        <v>9</v>
      </c>
      <c r="F89" s="450">
        <f t="shared" ref="F89:I89" si="13">SUM(F87:F88)</f>
        <v>12</v>
      </c>
      <c r="G89" s="450">
        <f t="shared" si="13"/>
        <v>18</v>
      </c>
      <c r="H89" s="450">
        <f t="shared" si="13"/>
        <v>0</v>
      </c>
      <c r="I89" s="450">
        <f t="shared" si="13"/>
        <v>0</v>
      </c>
    </row>
    <row r="90" spans="2:13" ht="5.15" customHeight="1">
      <c r="B90" s="389"/>
      <c r="D90" s="88"/>
      <c r="E90" s="88"/>
      <c r="F90" s="88"/>
      <c r="G90" s="88"/>
      <c r="H90" s="88"/>
      <c r="I90" s="88"/>
      <c r="J90" s="88"/>
      <c r="K90" s="88"/>
      <c r="L90" s="88"/>
      <c r="M90" s="88"/>
    </row>
    <row r="91" spans="2:13">
      <c r="B91" s="339" t="s">
        <v>575</v>
      </c>
      <c r="D91" s="29" t="s">
        <v>522</v>
      </c>
      <c r="E91" s="451">
        <f>SUM(E84,E89)</f>
        <v>411.46512377000005</v>
      </c>
      <c r="F91" s="451">
        <f t="shared" ref="F91:I91" si="14">SUM(F84,F89)</f>
        <v>434.04473989999997</v>
      </c>
      <c r="G91" s="451">
        <f t="shared" si="14"/>
        <v>480</v>
      </c>
      <c r="H91" s="451">
        <f t="shared" si="14"/>
        <v>0</v>
      </c>
      <c r="I91" s="451">
        <f t="shared" si="14"/>
        <v>0</v>
      </c>
    </row>
    <row r="92" spans="2:13">
      <c r="B92" s="114"/>
      <c r="C92" s="114"/>
      <c r="D92" s="114"/>
    </row>
    <row r="93" spans="2:13">
      <c r="B93" s="414" t="s">
        <v>576</v>
      </c>
      <c r="C93" s="415"/>
      <c r="D93" s="323" t="s">
        <v>522</v>
      </c>
      <c r="E93" s="443">
        <f>E81-E84</f>
        <v>685</v>
      </c>
      <c r="F93" s="443">
        <f t="shared" ref="F93:I93" si="15">F81-F84</f>
        <v>945</v>
      </c>
      <c r="G93" s="443">
        <f t="shared" si="15"/>
        <v>892.9805964899997</v>
      </c>
      <c r="H93" s="443">
        <f t="shared" si="15"/>
        <v>0</v>
      </c>
      <c r="I93" s="443">
        <f t="shared" si="15"/>
        <v>0</v>
      </c>
    </row>
    <row r="94" spans="2:13">
      <c r="B94" s="416" t="s">
        <v>577</v>
      </c>
      <c r="D94" s="29" t="s">
        <v>522</v>
      </c>
      <c r="E94" s="451">
        <f>E82-E91</f>
        <v>-163.45245325333076</v>
      </c>
      <c r="F94" s="451">
        <f t="shared" ref="F94:I94" si="16">F82-F91</f>
        <v>-2.8372452352779192</v>
      </c>
      <c r="G94" s="451">
        <f t="shared" si="16"/>
        <v>-98.978578394575266</v>
      </c>
      <c r="H94" s="451">
        <f t="shared" si="16"/>
        <v>0</v>
      </c>
      <c r="I94" s="451">
        <f t="shared" si="16"/>
        <v>0</v>
      </c>
    </row>
    <row r="95" spans="2:13">
      <c r="B95" s="416"/>
      <c r="E95" s="417"/>
      <c r="F95" s="417"/>
      <c r="G95" s="417"/>
      <c r="H95" s="417"/>
      <c r="I95" s="418"/>
    </row>
    <row r="96" spans="2:13">
      <c r="B96" s="419" t="s">
        <v>578</v>
      </c>
      <c r="D96" s="29" t="s">
        <v>522</v>
      </c>
      <c r="E96" s="452">
        <f>'R5 - Financing'!D9</f>
        <v>316.3534681299999</v>
      </c>
      <c r="F96" s="452">
        <f>'R5 - Financing'!E9</f>
        <v>204.97499434999986</v>
      </c>
      <c r="G96" s="452">
        <f>'R5 - Financing'!F9</f>
        <v>202.85811992473543</v>
      </c>
      <c r="H96" s="452">
        <f>'R5 - Financing'!G9</f>
        <v>181.68456240652563</v>
      </c>
      <c r="I96" s="452">
        <f>'R5 - Financing'!H9</f>
        <v>188.81385155382426</v>
      </c>
    </row>
    <row r="97" spans="2:9">
      <c r="B97" s="420" t="s">
        <v>579</v>
      </c>
      <c r="D97" s="29" t="s">
        <v>522</v>
      </c>
      <c r="E97" s="452">
        <f>'R5 - Financing'!D29</f>
        <v>61.194688023249626</v>
      </c>
      <c r="F97" s="452">
        <f>'R5 - Financing'!E29</f>
        <v>95.001859131331003</v>
      </c>
      <c r="G97" s="452">
        <f>'R5 - Financing'!F29</f>
        <v>67.010853592923922</v>
      </c>
      <c r="H97" s="452">
        <f>'R5 - Financing'!G29</f>
        <v>50.606088917977388</v>
      </c>
      <c r="I97" s="452">
        <f>'R5 - Financing'!H29</f>
        <v>52.264943330079348</v>
      </c>
    </row>
    <row r="98" spans="2:9">
      <c r="B98" s="421" t="s">
        <v>580</v>
      </c>
      <c r="D98" s="29" t="s">
        <v>522</v>
      </c>
      <c r="E98" s="451">
        <f>E96-E97</f>
        <v>255.15878010675027</v>
      </c>
      <c r="F98" s="451">
        <f>F96-F97</f>
        <v>109.97313521866886</v>
      </c>
      <c r="G98" s="451">
        <f>G96-G97</f>
        <v>135.84726633181151</v>
      </c>
      <c r="H98" s="451">
        <f>H96-H97</f>
        <v>131.07847348854824</v>
      </c>
      <c r="I98" s="453">
        <f>I96-I97</f>
        <v>136.54890822374492</v>
      </c>
    </row>
    <row r="99" spans="2:9">
      <c r="B99" s="416"/>
      <c r="E99" s="417"/>
      <c r="F99" s="417"/>
      <c r="G99" s="417"/>
      <c r="H99" s="417"/>
      <c r="I99" s="418"/>
    </row>
    <row r="100" spans="2:9">
      <c r="B100" s="419" t="s">
        <v>581</v>
      </c>
      <c r="D100" s="29" t="s">
        <v>522</v>
      </c>
      <c r="E100" s="413">
        <v>462</v>
      </c>
      <c r="F100" s="413">
        <v>160</v>
      </c>
      <c r="G100" s="401">
        <v>174</v>
      </c>
      <c r="H100" s="401"/>
      <c r="I100" s="401"/>
    </row>
    <row r="101" spans="2:9">
      <c r="B101" s="419" t="s">
        <v>582</v>
      </c>
      <c r="D101" s="29" t="s">
        <v>522</v>
      </c>
      <c r="E101" s="413">
        <v>-379</v>
      </c>
      <c r="F101" s="413">
        <v>-63</v>
      </c>
      <c r="G101" s="401">
        <v>-14</v>
      </c>
      <c r="H101" s="401"/>
      <c r="I101" s="401"/>
    </row>
    <row r="102" spans="2:9">
      <c r="B102" s="419" t="s">
        <v>583</v>
      </c>
      <c r="D102" s="29" t="s">
        <v>522</v>
      </c>
      <c r="E102" s="443">
        <f>SUM(E100:E101)</f>
        <v>83</v>
      </c>
      <c r="F102" s="443">
        <f t="shared" ref="F102:I102" si="17">SUM(F100:F101)</f>
        <v>97</v>
      </c>
      <c r="G102" s="443">
        <f t="shared" si="17"/>
        <v>160</v>
      </c>
      <c r="H102" s="443">
        <f t="shared" si="17"/>
        <v>0</v>
      </c>
      <c r="I102" s="443">
        <f t="shared" si="17"/>
        <v>0</v>
      </c>
    </row>
    <row r="103" spans="2:9">
      <c r="B103" s="420" t="s">
        <v>584</v>
      </c>
      <c r="D103" s="29" t="s">
        <v>522</v>
      </c>
      <c r="E103" s="452">
        <f>Adjusted_regulated_tax_liability</f>
        <v>21.231714992325749</v>
      </c>
      <c r="F103" s="452">
        <f>Adjusted_regulated_tax_liability</f>
        <v>14.875469576546408</v>
      </c>
      <c r="G103" s="452">
        <f>Adjusted_regulated_tax_liability</f>
        <v>39.098824135912182</v>
      </c>
      <c r="H103" s="452">
        <f>Adjusted_regulated_tax_liability</f>
        <v>27.359187685165868</v>
      </c>
      <c r="I103" s="452">
        <f>Adjusted_regulated_tax_liability</f>
        <v>41.557872527861555</v>
      </c>
    </row>
    <row r="104" spans="2:9">
      <c r="B104" s="421" t="s">
        <v>580</v>
      </c>
      <c r="D104" s="29" t="s">
        <v>522</v>
      </c>
      <c r="E104" s="454">
        <f>E102-E103</f>
        <v>61.768285007674251</v>
      </c>
      <c r="F104" s="454">
        <f t="shared" ref="F104:I104" si="18">F102-F103</f>
        <v>82.124530423453592</v>
      </c>
      <c r="G104" s="454">
        <f t="shared" si="18"/>
        <v>120.90117586408782</v>
      </c>
      <c r="H104" s="454">
        <f t="shared" si="18"/>
        <v>-27.359187685165868</v>
      </c>
      <c r="I104" s="454">
        <f t="shared" si="18"/>
        <v>-41.557872527861555</v>
      </c>
    </row>
    <row r="105" spans="2:9">
      <c r="B105" s="422"/>
      <c r="E105" s="417"/>
      <c r="F105" s="417"/>
      <c r="G105" s="417"/>
      <c r="H105" s="417"/>
      <c r="I105" s="418"/>
    </row>
    <row r="106" spans="2:9">
      <c r="B106" s="423" t="s">
        <v>585</v>
      </c>
      <c r="D106" s="29" t="s">
        <v>522</v>
      </c>
      <c r="E106" s="443">
        <f>IFERROR(E93-E96-E100,0)</f>
        <v>-93.353468129999897</v>
      </c>
      <c r="F106" s="443">
        <f>IFERROR(F93-F96-F100,0)</f>
        <v>580.02500565000014</v>
      </c>
      <c r="G106" s="443">
        <f>IFERROR(G93-G96-G100,0)</f>
        <v>516.12247656526426</v>
      </c>
      <c r="H106" s="443">
        <f>IFERROR(H93-H96-H100,0)</f>
        <v>-181.68456240652563</v>
      </c>
      <c r="I106" s="443">
        <f>IFERROR(I93-I96-I100,0)</f>
        <v>-188.81385155382426</v>
      </c>
    </row>
    <row r="107" spans="2:9">
      <c r="B107" s="424" t="s">
        <v>586</v>
      </c>
      <c r="D107" s="29" t="s">
        <v>522</v>
      </c>
      <c r="E107" s="443">
        <f>IFERROR(E94-E97-E103,0)</f>
        <v>-245.87885626890613</v>
      </c>
      <c r="F107" s="443">
        <f>IFERROR(F94-F97-F103,0)</f>
        <v>-112.71457394315533</v>
      </c>
      <c r="G107" s="443">
        <f>IFERROR(G94-G97-G103,0)</f>
        <v>-205.08825612341138</v>
      </c>
      <c r="H107" s="443">
        <f>IFERROR(H94-H97-H103,0)</f>
        <v>-77.965276603143252</v>
      </c>
      <c r="I107" s="443">
        <f>IFERROR(I94-I97-I103,0)</f>
        <v>-93.822815857940896</v>
      </c>
    </row>
    <row r="108" spans="2:9">
      <c r="B108" s="421" t="s">
        <v>580</v>
      </c>
      <c r="D108" s="29" t="s">
        <v>522</v>
      </c>
      <c r="E108" s="451">
        <f>IFERROR(E106-E107,0)</f>
        <v>152.52538813890624</v>
      </c>
      <c r="F108" s="451">
        <f>IFERROR(F106-F107,0)</f>
        <v>692.73957959315544</v>
      </c>
      <c r="G108" s="451">
        <f>IFERROR(G106-G107,0)</f>
        <v>721.21073268867565</v>
      </c>
      <c r="H108" s="451">
        <f>IFERROR(H106-H107,0)</f>
        <v>-103.71928580338238</v>
      </c>
      <c r="I108" s="451">
        <f>IFERROR(I106-I107,0)</f>
        <v>-94.991035695883369</v>
      </c>
    </row>
    <row r="109" spans="2:9">
      <c r="B109" s="422"/>
      <c r="C109" s="114"/>
      <c r="D109" s="114"/>
      <c r="I109" s="425"/>
    </row>
    <row r="110" spans="2:9">
      <c r="B110" s="426"/>
      <c r="C110" s="427"/>
      <c r="D110" s="206"/>
      <c r="E110" s="207"/>
      <c r="F110" s="206"/>
      <c r="G110" s="206"/>
      <c r="H110" s="206"/>
      <c r="I110" s="208"/>
    </row>
    <row r="111" spans="2:9">
      <c r="B111" s="114"/>
      <c r="D111" s="114"/>
    </row>
    <row r="112" spans="2:9">
      <c r="B112" s="114"/>
      <c r="C112" s="114"/>
      <c r="D112" s="114"/>
    </row>
    <row r="113" spans="2:9">
      <c r="B113" s="428"/>
      <c r="D113" s="114"/>
    </row>
    <row r="114" spans="2:9">
      <c r="B114" s="429" t="s">
        <v>587</v>
      </c>
      <c r="C114" s="114"/>
      <c r="D114" s="114"/>
    </row>
    <row r="115" spans="2:9">
      <c r="B115" s="1357"/>
      <c r="C115" s="1358"/>
      <c r="D115" s="1358"/>
      <c r="E115" s="1358"/>
      <c r="F115" s="1358"/>
      <c r="G115" s="430"/>
      <c r="H115" s="430"/>
      <c r="I115" s="431"/>
    </row>
    <row r="116" spans="2:9">
      <c r="B116" s="432"/>
      <c r="C116" s="433"/>
      <c r="D116" s="434"/>
      <c r="E116" s="435"/>
      <c r="F116" s="435"/>
      <c r="G116" s="435"/>
      <c r="H116" s="435"/>
      <c r="I116" s="436"/>
    </row>
    <row r="117" spans="2:9">
      <c r="B117" s="432"/>
      <c r="C117" s="433"/>
      <c r="D117" s="434"/>
      <c r="E117" s="435"/>
      <c r="F117" s="435"/>
      <c r="G117" s="435"/>
      <c r="H117" s="435"/>
      <c r="I117" s="436"/>
    </row>
    <row r="118" spans="2:9">
      <c r="B118" s="432"/>
      <c r="C118" s="433"/>
      <c r="D118" s="434"/>
      <c r="E118" s="435"/>
      <c r="F118" s="435"/>
      <c r="G118" s="435"/>
      <c r="H118" s="435"/>
      <c r="I118" s="436"/>
    </row>
    <row r="119" spans="2:9">
      <c r="B119" s="432"/>
      <c r="C119" s="433"/>
      <c r="D119" s="434"/>
      <c r="E119" s="435"/>
      <c r="F119" s="435"/>
      <c r="G119" s="435"/>
      <c r="H119" s="435"/>
      <c r="I119" s="436"/>
    </row>
    <row r="120" spans="2:9">
      <c r="B120" s="437"/>
      <c r="C120" s="438"/>
      <c r="D120" s="439"/>
      <c r="E120" s="440"/>
      <c r="F120" s="440"/>
      <c r="G120" s="440"/>
      <c r="H120" s="440"/>
      <c r="I120" s="441"/>
    </row>
    <row r="122" spans="2:9" ht="13.5" customHeight="1"/>
    <row r="128" spans="2:9" ht="15" customHeight="1"/>
    <row r="142" ht="91.5" customHeight="1"/>
  </sheetData>
  <sheetProtection insertRows="0" autoFilter="0" pivotTables="0"/>
  <mergeCells count="1">
    <mergeCell ref="B115:F115"/>
  </mergeCells>
  <conditionalFormatting sqref="C36">
    <cfRule type="expression" dxfId="93" priority="62">
      <formula>C$5="Forecast"</formula>
    </cfRule>
  </conditionalFormatting>
  <conditionalFormatting sqref="E87:F88">
    <cfRule type="expression" dxfId="92" priority="9">
      <formula>D$12="N/A"</formula>
    </cfRule>
  </conditionalFormatting>
  <conditionalFormatting sqref="E100:F101">
    <cfRule type="expression" dxfId="91" priority="8">
      <formula>D$12="N/A"</formula>
    </cfRule>
  </conditionalFormatting>
  <conditionalFormatting sqref="E40:G55">
    <cfRule type="expression" priority="3">
      <formula>$E18="Forecast"</formula>
    </cfRule>
  </conditionalFormatting>
  <conditionalFormatting sqref="E59:G59">
    <cfRule type="expression" priority="1">
      <formula>$E37="Forecast"</formula>
    </cfRule>
    <cfRule type="expression" priority="2">
      <formula>E$5="Forecast"</formula>
    </cfRule>
  </conditionalFormatting>
  <conditionalFormatting sqref="E6:H6">
    <cfRule type="expression" dxfId="90" priority="29">
      <formula>AND(E$5="Actuals",F$5="Forecast")</formula>
    </cfRule>
  </conditionalFormatting>
  <conditionalFormatting sqref="E66:H66">
    <cfRule type="expression" dxfId="89" priority="32">
      <formula>AND(E$5="Actuals",F$5="N/A")</formula>
    </cfRule>
  </conditionalFormatting>
  <conditionalFormatting sqref="E7:I7">
    <cfRule type="expression" dxfId="88" priority="31">
      <formula>AND(E$5="Actuals",F$5="Forecast")</formula>
    </cfRule>
  </conditionalFormatting>
  <conditionalFormatting sqref="E13:I19 E21:I21 E25:I25">
    <cfRule type="expression" dxfId="87" priority="4">
      <formula>E$5="Forecast"</formula>
    </cfRule>
  </conditionalFormatting>
  <conditionalFormatting sqref="E28:I36 E40:I55">
    <cfRule type="expression" priority="27">
      <formula>E$5="Forecast"</formula>
    </cfRule>
  </conditionalFormatting>
  <conditionalFormatting sqref="E28:I36">
    <cfRule type="expression" priority="28">
      <formula>$E6="Forecast"</formula>
    </cfRule>
  </conditionalFormatting>
  <conditionalFormatting sqref="E60:I60">
    <cfRule type="expression" dxfId="86" priority="66">
      <formula>E$5="Forecast"</formula>
    </cfRule>
  </conditionalFormatting>
  <conditionalFormatting sqref="E68:I70 E72:I72">
    <cfRule type="expression" dxfId="85" priority="58">
      <formula>D$12="N/A"</formula>
    </cfRule>
  </conditionalFormatting>
  <conditionalFormatting sqref="E75:I76">
    <cfRule type="expression" dxfId="84" priority="18">
      <formula>E$5="Forecast"</formula>
    </cfRule>
  </conditionalFormatting>
  <conditionalFormatting sqref="E78:I78">
    <cfRule type="expression" dxfId="83" priority="13">
      <formula>D$12="N/A"</formula>
    </cfRule>
  </conditionalFormatting>
  <conditionalFormatting sqref="E78:I79">
    <cfRule type="expression" dxfId="82" priority="12">
      <formula>E$5="Forecast"</formula>
    </cfRule>
  </conditionalFormatting>
  <conditionalFormatting sqref="E84:I84">
    <cfRule type="expression" dxfId="81" priority="10">
      <formula>E$5="Forecast"</formula>
    </cfRule>
    <cfRule type="expression" dxfId="80" priority="11">
      <formula>D$12="N/A"</formula>
    </cfRule>
  </conditionalFormatting>
  <conditionalFormatting sqref="E87:I87">
    <cfRule type="expression" dxfId="79" priority="6">
      <formula>E$5="Forecast"</formula>
    </cfRule>
  </conditionalFormatting>
  <conditionalFormatting sqref="E88:I89 E100:I100 E101:F101 E28:I37 E40:I56 E58:I60 E66:I66 E68:I69 E72:I72 E91:I91 E93:I94 E96:I98 E102:I104">
    <cfRule type="expression" dxfId="78" priority="26">
      <formula>E$5="Forecast"</formula>
    </cfRule>
  </conditionalFormatting>
  <conditionalFormatting sqref="E106:I108">
    <cfRule type="expression" dxfId="77" priority="24">
      <formula>E$5="Forecast"</formula>
    </cfRule>
  </conditionalFormatting>
  <conditionalFormatting sqref="G87:I87">
    <cfRule type="expression" dxfId="76" priority="7">
      <formula>F$12="N/A"</formula>
    </cfRule>
  </conditionalFormatting>
  <conditionalFormatting sqref="G101:I101">
    <cfRule type="expression" dxfId="75" priority="5">
      <formula>G$5="Forecast"</formula>
    </cfRule>
  </conditionalFormatting>
  <conditionalFormatting sqref="H25:I25">
    <cfRule type="expression" priority="14">
      <formula>H$5="Forecast"</formula>
    </cfRule>
    <cfRule type="expression" priority="15">
      <formula>$E3="Forecast"</formula>
    </cfRule>
  </conditionalFormatting>
  <conditionalFormatting sqref="I6">
    <cfRule type="expression" dxfId="73" priority="30">
      <formula>AND(I$5="Actuals",#REF!="Forecast")</formula>
    </cfRule>
  </conditionalFormatting>
  <conditionalFormatting sqref="I66">
    <cfRule type="expression" dxfId="72" priority="244">
      <formula>AND(I$5="Actuals",#REF!="N/A")</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extLst>
    <ext xmlns:x14="http://schemas.microsoft.com/office/spreadsheetml/2009/9/main" uri="{78C0D931-6437-407d-A8EE-F0AAD7539E65}">
      <x14:conditionalFormattings>
        <x14:conditionalFormatting xmlns:xm="http://schemas.microsoft.com/office/excel/2006/main">
          <x14:cfRule type="expression" priority="19" id="{F64DC2A1-1BFC-4A45-BEAE-BCD4DDABF2EA}">
            <xm:f>'RFPR cover'!$C$7="ESO"</xm:f>
            <x14:dxf>
              <fill>
                <patternFill>
                  <fgColor auto="1"/>
                  <bgColor theme="7" tint="0.79998168889431442"/>
                </patternFill>
              </fill>
            </x14:dxf>
          </x14:cfRule>
          <xm:sqref>H25:I25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T253"/>
  <sheetViews>
    <sheetView zoomScale="80" zoomScaleNormal="80" workbookViewId="0">
      <pane xSplit="3" ySplit="7" topLeftCell="D8" activePane="bottomRight" state="frozen"/>
      <selection pane="topRight" activeCell="D1" sqref="D1"/>
      <selection pane="bottomLeft" activeCell="A8" sqref="A8"/>
      <selection pane="bottomRight" activeCell="A5" sqref="A5"/>
    </sheetView>
  </sheetViews>
  <sheetFormatPr defaultColWidth="9.15234375" defaultRowHeight="13.5"/>
  <cols>
    <col min="1" max="1" width="8.3828125" style="339" customWidth="1"/>
    <col min="2" max="2" width="64.4609375" style="389" customWidth="1"/>
    <col min="3" max="3" width="13.3828125" style="29" customWidth="1"/>
    <col min="4" max="8" width="11.15234375" style="339" customWidth="1"/>
    <col min="9" max="10" width="12.84375" style="339" customWidth="1"/>
    <col min="11" max="16384" width="9.15234375" style="339"/>
  </cols>
  <sheetData>
    <row r="1" spans="1:19" s="114" customFormat="1" ht="20">
      <c r="A1" s="324" t="s">
        <v>588</v>
      </c>
      <c r="B1" s="325"/>
      <c r="C1" s="455"/>
      <c r="D1" s="327"/>
      <c r="E1" s="327"/>
      <c r="F1" s="327"/>
      <c r="G1" s="327"/>
      <c r="H1" s="327"/>
      <c r="I1" s="328"/>
      <c r="J1" s="328"/>
      <c r="K1" s="456"/>
    </row>
    <row r="2" spans="1:19" s="114" customFormat="1" ht="20">
      <c r="A2" s="329" t="str">
        <f>Licensee</f>
        <v>Cadent-NW</v>
      </c>
      <c r="B2" s="330"/>
      <c r="C2" s="386"/>
      <c r="D2" s="332"/>
      <c r="E2" s="332"/>
      <c r="F2" s="332"/>
      <c r="G2" s="332"/>
      <c r="H2" s="332"/>
      <c r="I2" s="333"/>
      <c r="J2" s="333"/>
      <c r="K2" s="334"/>
    </row>
    <row r="3" spans="1:19" s="114" customFormat="1" ht="20">
      <c r="A3" s="331">
        <f>Reporting_Year</f>
        <v>2024</v>
      </c>
      <c r="B3" s="387"/>
      <c r="C3" s="388"/>
      <c r="D3" s="335"/>
      <c r="E3" s="335"/>
      <c r="F3" s="335"/>
      <c r="G3" s="335"/>
      <c r="H3" s="335"/>
      <c r="I3" s="336"/>
      <c r="J3" s="336"/>
      <c r="K3" s="337"/>
    </row>
    <row r="4" spans="1:19" ht="12.75" customHeight="1"/>
    <row r="5" spans="1:19" ht="30" customHeight="1">
      <c r="D5" s="338" t="str">
        <f>IF(D6&lt;=Reporting_Year,"Actuals","Forecast")</f>
        <v>Actuals</v>
      </c>
      <c r="E5" s="338" t="str">
        <f t="shared" ref="E5:H5" si="0">IF(E6&lt;=Reporting_Year,"Actuals","Forecast")</f>
        <v>Actuals</v>
      </c>
      <c r="F5" s="338" t="str">
        <f t="shared" si="0"/>
        <v>Actuals</v>
      </c>
      <c r="G5" s="338" t="str">
        <f t="shared" si="0"/>
        <v>Forecast</v>
      </c>
      <c r="H5" s="338" t="str">
        <f t="shared" si="0"/>
        <v>Forecast</v>
      </c>
    </row>
    <row r="6" spans="1:19" ht="27.75" customHeight="1">
      <c r="D6" s="457">
        <f>'RFPR cover'!$C$6</f>
        <v>2022</v>
      </c>
      <c r="E6" s="458">
        <f>D6+1</f>
        <v>2023</v>
      </c>
      <c r="F6" s="458">
        <f t="shared" ref="F6:H6" si="1">E6+1</f>
        <v>2024</v>
      </c>
      <c r="G6" s="458">
        <f t="shared" si="1"/>
        <v>2025</v>
      </c>
      <c r="H6" s="458">
        <f t="shared" si="1"/>
        <v>2026</v>
      </c>
      <c r="I6" s="342" t="str">
        <f>"Cumulative to "&amp;'RFPR cover'!$C$9</f>
        <v>Cumulative to 2024</v>
      </c>
      <c r="J6" s="459" t="s">
        <v>483</v>
      </c>
    </row>
    <row r="7" spans="1:19">
      <c r="D7" s="343" t="str">
        <f>RIIO_2_start_date-1&amp;"/"&amp;RIGHT(RIIO_2_start_date,2)</f>
        <v>2021/22</v>
      </c>
      <c r="E7" s="343" t="str">
        <f>RIIO_2_start_date&amp;"/"&amp;RIGHT(RIIO_2_start_date+1,2)</f>
        <v>2022/23</v>
      </c>
      <c r="F7" s="343" t="str">
        <f>RIIO_2_start_date+1&amp;"/"&amp;RIGHT(RIIO_2_start_date+2,2)</f>
        <v>2023/24</v>
      </c>
      <c r="G7" s="343" t="str">
        <f>RIIO_2_start_date+2&amp;"/"&amp;RIGHT(RIIO_2_start_date+3,2)</f>
        <v>2024/25</v>
      </c>
      <c r="H7" s="343" t="str">
        <f>RIIO_2_start_date+3&amp;"/"&amp;RIGHT(RIIO_2_start_date+4,2)</f>
        <v>2025/26</v>
      </c>
    </row>
    <row r="8" spans="1:19">
      <c r="B8" s="460" t="s">
        <v>589</v>
      </c>
      <c r="C8" s="461"/>
      <c r="D8" s="461"/>
      <c r="E8" s="461"/>
      <c r="F8" s="461"/>
      <c r="G8" s="461"/>
      <c r="H8" s="462"/>
      <c r="I8" s="462"/>
      <c r="J8" s="462"/>
      <c r="K8" s="389"/>
    </row>
    <row r="9" spans="1:19">
      <c r="B9" s="463" t="s">
        <v>590</v>
      </c>
      <c r="C9" s="464"/>
      <c r="D9" s="464"/>
      <c r="E9" s="464"/>
      <c r="F9" s="464"/>
      <c r="G9" s="464"/>
      <c r="H9" s="464"/>
      <c r="I9" s="464"/>
      <c r="J9" s="464"/>
      <c r="K9" s="389"/>
      <c r="L9" s="389"/>
    </row>
    <row r="11" spans="1:19">
      <c r="B11" s="465" t="str">
        <f>IF(Sector="GD2","Capitalisation 1 totex (excluding repex)","Capitalisation 1 totex")</f>
        <v>Capitalisation 1 totex (excluding repex)</v>
      </c>
      <c r="C11" s="466"/>
      <c r="D11" s="394"/>
      <c r="E11" s="394"/>
      <c r="F11" s="394"/>
      <c r="G11" s="394"/>
      <c r="H11" s="394"/>
      <c r="I11" s="394"/>
      <c r="J11" s="394"/>
      <c r="K11" s="389"/>
    </row>
    <row r="12" spans="1:19">
      <c r="B12" s="396"/>
      <c r="D12" s="467"/>
      <c r="E12" s="467"/>
      <c r="F12" s="467"/>
      <c r="G12" s="467"/>
      <c r="H12" s="467"/>
      <c r="I12" s="467"/>
      <c r="J12" s="467"/>
      <c r="K12" s="389"/>
    </row>
    <row r="13" spans="1:19">
      <c r="B13" s="88" t="s">
        <v>591</v>
      </c>
      <c r="C13" s="468" t="str">
        <f>Data!$C$9</f>
        <v>£m 18/19</v>
      </c>
      <c r="D13" s="469">
        <v>123.46528735888324</v>
      </c>
      <c r="E13" s="469">
        <v>141.07625289468638</v>
      </c>
      <c r="F13" s="469">
        <v>151.58965080138594</v>
      </c>
      <c r="G13" s="469">
        <v>137.39764630851028</v>
      </c>
      <c r="H13" s="469">
        <v>128.62316443550077</v>
      </c>
      <c r="I13" s="499">
        <f>SUM(D13:INDEX(D13:H13,0,MATCH('RFPR cover'!$C$9,$D$6:$H$6,0)))</f>
        <v>416.13119105495559</v>
      </c>
      <c r="J13" s="500">
        <f>SUM(D13:H13)</f>
        <v>682.15200179896669</v>
      </c>
      <c r="K13" s="389"/>
    </row>
    <row r="14" spans="1:19" ht="17.149999999999999" customHeight="1">
      <c r="B14" s="470" t="s">
        <v>592</v>
      </c>
      <c r="C14" s="468" t="str">
        <f>Data!$C$9</f>
        <v>£m 18/19</v>
      </c>
      <c r="D14" s="469">
        <v>130.88700352182798</v>
      </c>
      <c r="E14" s="469">
        <v>133.00241678215301</v>
      </c>
      <c r="F14" s="469">
        <v>126.14004791354641</v>
      </c>
      <c r="G14" s="469">
        <v>114.54341383251709</v>
      </c>
      <c r="H14" s="469">
        <v>108.50643343489293</v>
      </c>
      <c r="I14" s="501">
        <f>SUM(D14:INDEX(D14:H14,0,MATCH('RFPR cover'!$C$9,$D$6:$H$6,0)))</f>
        <v>390.02946821752738</v>
      </c>
      <c r="J14" s="502">
        <f>SUM(D14:H14)</f>
        <v>613.07931548493741</v>
      </c>
      <c r="K14" s="471"/>
    </row>
    <row r="15" spans="1:19">
      <c r="B15" s="86" t="s">
        <v>593</v>
      </c>
      <c r="C15" s="468" t="str">
        <f>Data!$C$9</f>
        <v>£m 18/19</v>
      </c>
      <c r="D15" s="498">
        <f>D14-D13</f>
        <v>7.4217161629447332</v>
      </c>
      <c r="E15" s="498">
        <f>E14-E13</f>
        <v>-8.0738361125333711</v>
      </c>
      <c r="F15" s="498">
        <f t="shared" ref="F15:J15" si="2">F14-F13</f>
        <v>-25.449602887839532</v>
      </c>
      <c r="G15" s="498">
        <f t="shared" si="2"/>
        <v>-22.854232475993186</v>
      </c>
      <c r="H15" s="498">
        <f t="shared" si="2"/>
        <v>-20.116731000607842</v>
      </c>
      <c r="I15" s="21">
        <f t="shared" si="2"/>
        <v>-26.101722837428213</v>
      </c>
      <c r="J15" s="23">
        <f t="shared" si="2"/>
        <v>-69.072686314029283</v>
      </c>
      <c r="K15" s="1359"/>
      <c r="L15" s="1359"/>
      <c r="M15" s="1359"/>
      <c r="N15" s="136"/>
      <c r="O15" s="136"/>
      <c r="P15" s="136"/>
      <c r="Q15" s="114"/>
      <c r="R15" s="114"/>
      <c r="S15" s="114"/>
    </row>
    <row r="16" spans="1:19">
      <c r="B16" s="86"/>
      <c r="C16" s="468"/>
      <c r="D16" s="472"/>
      <c r="E16" s="472"/>
      <c r="F16" s="472"/>
      <c r="G16" s="472"/>
      <c r="H16" s="472"/>
      <c r="I16" s="472"/>
      <c r="J16" s="472"/>
      <c r="K16" s="473"/>
      <c r="L16" s="473"/>
      <c r="M16" s="473"/>
      <c r="N16" s="473"/>
      <c r="O16" s="473"/>
      <c r="P16" s="473"/>
      <c r="Q16" s="114"/>
      <c r="R16" s="114"/>
      <c r="S16" s="114"/>
    </row>
    <row r="17" spans="2:19">
      <c r="B17" s="389" t="s">
        <v>594</v>
      </c>
      <c r="C17" s="29" t="s">
        <v>486</v>
      </c>
      <c r="D17" s="503">
        <f>INDEX(Data!$C$63:$C$91,MATCH('RFPR cover'!$C$7,Data!$B$63:$B$91,0),0)</f>
        <v>0.5</v>
      </c>
      <c r="E17" s="503">
        <f>INDEX(Data!$C$63:$C$91,MATCH('RFPR cover'!$C$7,Data!$B$63:$B$91,0),0)</f>
        <v>0.5</v>
      </c>
      <c r="F17" s="503">
        <f>INDEX(Data!$C$63:$C$91,MATCH('RFPR cover'!$C$7,Data!$B$63:$B$91,0),0)</f>
        <v>0.5</v>
      </c>
      <c r="G17" s="503">
        <f>INDEX(Data!$C$63:$C$91,MATCH('RFPR cover'!$C$7,Data!$B$63:$B$91,0),0)</f>
        <v>0.5</v>
      </c>
      <c r="H17" s="503">
        <f>INDEX(Data!$C$63:$C$91,MATCH('RFPR cover'!$C$7,Data!$B$63:$B$91,0),0)</f>
        <v>0.5</v>
      </c>
      <c r="I17" s="474"/>
      <c r="J17" s="474"/>
      <c r="K17" s="114"/>
      <c r="L17" s="114"/>
      <c r="M17" s="114"/>
      <c r="N17" s="114"/>
      <c r="O17" s="114"/>
      <c r="P17" s="114"/>
      <c r="Q17" s="114"/>
      <c r="R17" s="114"/>
      <c r="S17" s="114"/>
    </row>
    <row r="18" spans="2:19">
      <c r="K18" s="114"/>
      <c r="L18" s="114"/>
      <c r="M18" s="114"/>
      <c r="N18" s="114"/>
      <c r="O18" s="114"/>
      <c r="P18" s="114"/>
      <c r="Q18" s="114"/>
      <c r="R18" s="114"/>
      <c r="S18" s="114"/>
    </row>
    <row r="19" spans="2:19">
      <c r="B19" s="389" t="s">
        <v>595</v>
      </c>
      <c r="C19" s="468" t="str">
        <f>Data!$C$9</f>
        <v>£m 18/19</v>
      </c>
      <c r="D19" s="498">
        <f>D15*D17</f>
        <v>3.7108580814723666</v>
      </c>
      <c r="E19" s="498">
        <f t="shared" ref="E19:H19" si="3">E15*E17</f>
        <v>-4.0369180562666855</v>
      </c>
      <c r="F19" s="498">
        <f t="shared" si="3"/>
        <v>-12.724801443919766</v>
      </c>
      <c r="G19" s="498">
        <f t="shared" si="3"/>
        <v>-11.427116237996593</v>
      </c>
      <c r="H19" s="498">
        <f t="shared" si="3"/>
        <v>-10.058365500303921</v>
      </c>
      <c r="I19" s="18">
        <f>SUM(D19:INDEX(D19:H19,0,MATCH('RFPR cover'!$C$9,$D$6:$H$6,0)))</f>
        <v>-13.050861418714085</v>
      </c>
      <c r="J19" s="20">
        <f>SUM(D19:H19)</f>
        <v>-34.536343157014599</v>
      </c>
      <c r="K19" s="114"/>
      <c r="L19" s="114"/>
      <c r="M19" s="114"/>
      <c r="N19" s="114"/>
      <c r="O19" s="114"/>
      <c r="P19" s="114"/>
      <c r="Q19" s="114"/>
      <c r="R19" s="114"/>
      <c r="S19" s="114"/>
    </row>
    <row r="20" spans="2:19">
      <c r="B20" s="389" t="s">
        <v>596</v>
      </c>
      <c r="C20" s="468" t="str">
        <f>Data!$C$9</f>
        <v>£m 18/19</v>
      </c>
      <c r="D20" s="498">
        <f>D15*(1-D17)</f>
        <v>3.7108580814723666</v>
      </c>
      <c r="E20" s="498">
        <f t="shared" ref="E20:H20" si="4">E15*(1-E17)</f>
        <v>-4.0369180562666855</v>
      </c>
      <c r="F20" s="498">
        <f t="shared" si="4"/>
        <v>-12.724801443919766</v>
      </c>
      <c r="G20" s="498">
        <f t="shared" si="4"/>
        <v>-11.427116237996593</v>
      </c>
      <c r="H20" s="498">
        <f t="shared" si="4"/>
        <v>-10.058365500303921</v>
      </c>
      <c r="I20" s="15">
        <f>SUM(D20:INDEX(D20:H20,0,MATCH('RFPR cover'!$C$9,$D$6:$H$6,0)))</f>
        <v>-13.050861418714085</v>
      </c>
      <c r="J20" s="17">
        <f>SUM(D20:H20)</f>
        <v>-34.536343157014599</v>
      </c>
      <c r="L20" s="114"/>
      <c r="M20" s="114"/>
      <c r="N20" s="114"/>
      <c r="O20" s="114"/>
      <c r="P20" s="114"/>
      <c r="Q20" s="114"/>
      <c r="R20" s="114"/>
      <c r="S20" s="114"/>
    </row>
    <row r="21" spans="2:19">
      <c r="C21" s="389"/>
      <c r="D21" s="389"/>
      <c r="E21" s="389"/>
      <c r="F21" s="389"/>
      <c r="G21" s="389"/>
      <c r="H21" s="389"/>
      <c r="I21" s="389"/>
      <c r="J21" s="389"/>
      <c r="L21" s="114"/>
      <c r="M21" s="114"/>
      <c r="N21" s="114"/>
      <c r="O21" s="114"/>
      <c r="P21" s="114"/>
      <c r="Q21" s="114"/>
      <c r="R21" s="114"/>
      <c r="S21" s="114"/>
    </row>
    <row r="22" spans="2:19">
      <c r="B22" s="396" t="s">
        <v>597</v>
      </c>
      <c r="L22" s="114"/>
      <c r="M22" s="114"/>
      <c r="N22" s="114"/>
      <c r="O22" s="114"/>
      <c r="P22" s="114"/>
    </row>
    <row r="23" spans="2:19">
      <c r="B23" s="402" t="s">
        <v>598</v>
      </c>
      <c r="C23" s="468" t="str">
        <f>Data!$C$9</f>
        <v>£m 18/19</v>
      </c>
      <c r="D23" s="475">
        <v>0</v>
      </c>
      <c r="E23" s="475">
        <v>0</v>
      </c>
      <c r="F23" s="475">
        <v>0</v>
      </c>
      <c r="G23" s="475">
        <v>0</v>
      </c>
      <c r="H23" s="475">
        <v>0</v>
      </c>
      <c r="I23" s="15">
        <f>SUM(D23:INDEX(D23:H23,0,MATCH('RFPR cover'!$C$9,$D$6:$H$6,0)))</f>
        <v>0</v>
      </c>
      <c r="J23" s="17">
        <f t="shared" ref="J23:J28" si="5">SUM(D23:H23)</f>
        <v>0</v>
      </c>
      <c r="L23" s="114"/>
      <c r="M23" s="114"/>
      <c r="N23" s="114"/>
      <c r="O23" s="114"/>
      <c r="P23" s="114"/>
      <c r="Q23" s="114"/>
      <c r="R23" s="114"/>
      <c r="S23" s="114"/>
    </row>
    <row r="24" spans="2:19">
      <c r="B24" s="402" t="s">
        <v>599</v>
      </c>
      <c r="C24" s="468" t="str">
        <f>Data!$C$9</f>
        <v>£m 18/19</v>
      </c>
      <c r="D24" s="475">
        <v>0</v>
      </c>
      <c r="E24" s="475">
        <v>0</v>
      </c>
      <c r="F24" s="475">
        <v>0</v>
      </c>
      <c r="G24" s="475">
        <v>0</v>
      </c>
      <c r="H24" s="475">
        <v>0</v>
      </c>
      <c r="I24" s="15">
        <f>SUM(D24:INDEX(D24:H24,0,MATCH('RFPR cover'!$C$9,$D$6:$H$6,0)))</f>
        <v>0</v>
      </c>
      <c r="J24" s="17">
        <f t="shared" si="5"/>
        <v>0</v>
      </c>
      <c r="L24" s="114"/>
      <c r="M24" s="114"/>
      <c r="N24" s="114"/>
      <c r="O24" s="114"/>
      <c r="P24" s="114"/>
      <c r="Q24" s="114"/>
      <c r="R24" s="114"/>
      <c r="S24" s="114"/>
    </row>
    <row r="25" spans="2:19">
      <c r="B25" s="402" t="s">
        <v>599</v>
      </c>
      <c r="C25" s="468" t="str">
        <f>Data!$C$9</f>
        <v>£m 18/19</v>
      </c>
      <c r="D25" s="475">
        <v>0</v>
      </c>
      <c r="E25" s="475">
        <v>0</v>
      </c>
      <c r="F25" s="475">
        <v>0</v>
      </c>
      <c r="G25" s="475">
        <v>0</v>
      </c>
      <c r="H25" s="475">
        <v>0</v>
      </c>
      <c r="I25" s="15">
        <f>SUM(D25:INDEX(D25:H25,0,MATCH('RFPR cover'!$C$9,$D$6:$H$6,0)))</f>
        <v>0</v>
      </c>
      <c r="J25" s="17">
        <f t="shared" si="5"/>
        <v>0</v>
      </c>
      <c r="L25" s="114"/>
      <c r="M25" s="114"/>
      <c r="N25" s="114"/>
      <c r="O25" s="114"/>
      <c r="P25" s="114"/>
      <c r="Q25" s="114"/>
      <c r="R25" s="114"/>
      <c r="S25" s="114"/>
    </row>
    <row r="26" spans="2:19">
      <c r="B26" s="402" t="s">
        <v>599</v>
      </c>
      <c r="C26" s="468" t="str">
        <f>Data!$C$9</f>
        <v>£m 18/19</v>
      </c>
      <c r="D26" s="475">
        <v>0</v>
      </c>
      <c r="E26" s="475">
        <v>0</v>
      </c>
      <c r="F26" s="475">
        <v>0</v>
      </c>
      <c r="G26" s="475">
        <v>0</v>
      </c>
      <c r="H26" s="475">
        <v>0</v>
      </c>
      <c r="I26" s="15">
        <f>SUM(D26:INDEX(D26:H26,0,MATCH('RFPR cover'!$C$9,$D$6:$H$6,0)))</f>
        <v>0</v>
      </c>
      <c r="J26" s="17">
        <f t="shared" si="5"/>
        <v>0</v>
      </c>
      <c r="L26" s="114"/>
      <c r="M26" s="114"/>
      <c r="N26" s="114"/>
      <c r="O26" s="114"/>
      <c r="P26" s="114"/>
      <c r="Q26" s="114"/>
      <c r="R26" s="114"/>
      <c r="S26" s="114"/>
    </row>
    <row r="27" spans="2:19">
      <c r="B27" s="402" t="s">
        <v>599</v>
      </c>
      <c r="C27" s="468" t="str">
        <f>Data!$C$9</f>
        <v>£m 18/19</v>
      </c>
      <c r="D27" s="475">
        <v>0</v>
      </c>
      <c r="E27" s="475">
        <v>0</v>
      </c>
      <c r="F27" s="475">
        <v>0</v>
      </c>
      <c r="G27" s="475">
        <v>0</v>
      </c>
      <c r="H27" s="475">
        <v>0</v>
      </c>
      <c r="I27" s="15">
        <f>SUM(D27:INDEX(D27:H27,0,MATCH('RFPR cover'!$C$9,$D$6:$H$6,0)))</f>
        <v>0</v>
      </c>
      <c r="J27" s="17">
        <f t="shared" si="5"/>
        <v>0</v>
      </c>
      <c r="L27" s="114"/>
      <c r="M27" s="114"/>
      <c r="N27" s="114"/>
      <c r="O27" s="114"/>
      <c r="P27" s="114"/>
      <c r="Q27" s="114"/>
      <c r="R27" s="114"/>
      <c r="S27" s="114"/>
    </row>
    <row r="28" spans="2:19">
      <c r="B28" s="402" t="s">
        <v>599</v>
      </c>
      <c r="C28" s="468" t="str">
        <f>Data!$C$9</f>
        <v>£m 18/19</v>
      </c>
      <c r="D28" s="475">
        <v>0</v>
      </c>
      <c r="E28" s="475">
        <v>0</v>
      </c>
      <c r="F28" s="475">
        <v>0</v>
      </c>
      <c r="G28" s="475">
        <v>0</v>
      </c>
      <c r="H28" s="475">
        <v>0</v>
      </c>
      <c r="I28" s="15">
        <f>SUM(D28:INDEX(D28:H28,0,MATCH('RFPR cover'!$C$9,$D$6:$H$6,0)))</f>
        <v>0</v>
      </c>
      <c r="J28" s="17">
        <f t="shared" si="5"/>
        <v>0</v>
      </c>
      <c r="L28" s="114"/>
      <c r="M28" s="114"/>
      <c r="N28" s="114"/>
      <c r="O28" s="114"/>
      <c r="P28" s="114"/>
      <c r="Q28" s="114"/>
      <c r="R28" s="114"/>
      <c r="S28" s="114"/>
    </row>
    <row r="29" spans="2:19">
      <c r="B29" s="402" t="s">
        <v>599</v>
      </c>
      <c r="C29" s="468" t="str">
        <f>Data!$C$9</f>
        <v>£m 18/19</v>
      </c>
      <c r="D29" s="475">
        <v>0</v>
      </c>
      <c r="E29" s="475">
        <v>0</v>
      </c>
      <c r="F29" s="475">
        <v>0</v>
      </c>
      <c r="G29" s="475">
        <v>0</v>
      </c>
      <c r="H29" s="475">
        <v>0</v>
      </c>
      <c r="I29" s="15">
        <f>SUM(D29:INDEX(D29:H29,0,MATCH('RFPR cover'!$C$9,$D$6:$H$6,0)))</f>
        <v>0</v>
      </c>
      <c r="J29" s="17">
        <f t="shared" ref="J29" si="6">SUM(D29:H29)</f>
        <v>0</v>
      </c>
      <c r="L29" s="114"/>
      <c r="M29" s="114"/>
      <c r="N29" s="114"/>
      <c r="O29" s="114"/>
      <c r="P29" s="114"/>
      <c r="Q29" s="114"/>
      <c r="R29" s="114"/>
      <c r="S29" s="114"/>
    </row>
    <row r="30" spans="2:19">
      <c r="B30" s="396" t="s">
        <v>600</v>
      </c>
      <c r="C30" s="468" t="str">
        <f>Data!$C$9</f>
        <v>£m 18/19</v>
      </c>
      <c r="D30" s="498">
        <f>SUM(D23:D29)</f>
        <v>0</v>
      </c>
      <c r="E30" s="498">
        <f t="shared" ref="E30:H30" si="7">SUM(E23:E29)</f>
        <v>0</v>
      </c>
      <c r="F30" s="498">
        <f t="shared" si="7"/>
        <v>0</v>
      </c>
      <c r="G30" s="498">
        <f t="shared" si="7"/>
        <v>0</v>
      </c>
      <c r="H30" s="498">
        <f t="shared" si="7"/>
        <v>0</v>
      </c>
      <c r="I30" s="15">
        <f>SUM(D30:INDEX(D30:H30,0,MATCH('RFPR cover'!$C$9,$D$6:$H$6,0)))</f>
        <v>0</v>
      </c>
      <c r="J30" s="17">
        <f t="shared" ref="J30" si="8">SUM(D30:H30)</f>
        <v>0</v>
      </c>
      <c r="L30" s="114"/>
      <c r="M30" s="114"/>
      <c r="N30" s="114"/>
      <c r="O30" s="114"/>
      <c r="P30" s="114"/>
      <c r="Q30" s="114"/>
      <c r="R30" s="114"/>
      <c r="S30" s="114"/>
    </row>
    <row r="31" spans="2:19">
      <c r="B31" s="396"/>
      <c r="L31" s="114"/>
      <c r="M31" s="114"/>
      <c r="N31" s="114"/>
      <c r="O31" s="114"/>
      <c r="P31" s="114"/>
      <c r="Q31" s="114"/>
      <c r="R31" s="114"/>
      <c r="S31" s="114"/>
    </row>
    <row r="32" spans="2:19">
      <c r="B32" s="396" t="s">
        <v>601</v>
      </c>
      <c r="L32" s="114"/>
      <c r="M32" s="114"/>
      <c r="N32" s="114"/>
      <c r="O32" s="114"/>
      <c r="P32" s="114"/>
      <c r="Q32" s="114"/>
      <c r="R32" s="114"/>
      <c r="S32" s="114"/>
    </row>
    <row r="33" spans="2:19">
      <c r="B33" s="402" t="s">
        <v>598</v>
      </c>
      <c r="C33" s="468" t="str">
        <f>Data!$C$9</f>
        <v>£m 18/19</v>
      </c>
      <c r="D33" s="475">
        <v>0</v>
      </c>
      <c r="E33" s="475">
        <v>0</v>
      </c>
      <c r="F33" s="475">
        <v>0</v>
      </c>
      <c r="G33" s="475">
        <v>0</v>
      </c>
      <c r="H33" s="475">
        <v>0</v>
      </c>
      <c r="I33" s="15">
        <f>SUM(D33:INDEX(D33:H33,0,MATCH('RFPR cover'!$C$9,$D$6:$H$6,0)))</f>
        <v>0</v>
      </c>
      <c r="J33" s="17">
        <f>SUM(D33:H33)</f>
        <v>0</v>
      </c>
      <c r="L33" s="114"/>
      <c r="M33" s="114"/>
      <c r="N33" s="114"/>
      <c r="O33" s="114"/>
      <c r="P33" s="114"/>
      <c r="Q33" s="114"/>
      <c r="R33" s="114"/>
      <c r="S33" s="114"/>
    </row>
    <row r="34" spans="2:19">
      <c r="B34" s="402" t="s">
        <v>599</v>
      </c>
      <c r="C34" s="468" t="str">
        <f>Data!$C$9</f>
        <v>£m 18/19</v>
      </c>
      <c r="D34" s="475">
        <v>0</v>
      </c>
      <c r="E34" s="475">
        <v>0</v>
      </c>
      <c r="F34" s="475">
        <v>0</v>
      </c>
      <c r="G34" s="475">
        <v>0</v>
      </c>
      <c r="H34" s="475">
        <v>0</v>
      </c>
      <c r="I34" s="15">
        <f>SUM(D34:INDEX(D34:H34,0,MATCH('RFPR cover'!$C$9,$D$6:$H$6,0)))</f>
        <v>0</v>
      </c>
      <c r="J34" s="17">
        <f t="shared" ref="J34:J35" si="9">SUM(D34:H34)</f>
        <v>0</v>
      </c>
      <c r="L34" s="114"/>
      <c r="M34" s="114"/>
      <c r="N34" s="114"/>
      <c r="O34" s="114"/>
      <c r="P34" s="114"/>
      <c r="Q34" s="114"/>
      <c r="R34" s="114"/>
      <c r="S34" s="114"/>
    </row>
    <row r="35" spans="2:19">
      <c r="B35" s="396" t="s">
        <v>600</v>
      </c>
      <c r="C35" s="468" t="str">
        <f>Data!$C$9</f>
        <v>£m 18/19</v>
      </c>
      <c r="D35" s="498">
        <f>SUM(D33:D34)</f>
        <v>0</v>
      </c>
      <c r="E35" s="498">
        <f t="shared" ref="E35:H35" si="10">SUM(E33:E34)</f>
        <v>0</v>
      </c>
      <c r="F35" s="498">
        <f t="shared" si="10"/>
        <v>0</v>
      </c>
      <c r="G35" s="498">
        <f t="shared" si="10"/>
        <v>0</v>
      </c>
      <c r="H35" s="498">
        <f t="shared" si="10"/>
        <v>0</v>
      </c>
      <c r="I35" s="15">
        <f>SUM(D35:INDEX(D35:H35,0,MATCH('RFPR cover'!$C$9,$D$6:$H$6,0)))</f>
        <v>0</v>
      </c>
      <c r="J35" s="17">
        <f t="shared" si="9"/>
        <v>0</v>
      </c>
      <c r="L35" s="114"/>
      <c r="M35" s="114"/>
      <c r="N35" s="114"/>
      <c r="O35" s="114"/>
      <c r="P35" s="114"/>
      <c r="Q35" s="114"/>
      <c r="R35" s="114"/>
      <c r="S35" s="114"/>
    </row>
    <row r="36" spans="2:19">
      <c r="B36" s="396"/>
      <c r="L36" s="114"/>
      <c r="M36" s="114"/>
      <c r="N36" s="114"/>
      <c r="O36" s="114"/>
      <c r="P36" s="114"/>
      <c r="Q36" s="114"/>
      <c r="R36" s="114"/>
      <c r="S36" s="114"/>
    </row>
    <row r="37" spans="2:19">
      <c r="B37" s="389" t="s">
        <v>602</v>
      </c>
      <c r="C37" s="468" t="str">
        <f>Data!$C$9</f>
        <v>£m 18/19</v>
      </c>
      <c r="D37" s="498">
        <f>D30*D17</f>
        <v>0</v>
      </c>
      <c r="E37" s="498">
        <f t="shared" ref="E37:H37" si="11">E30*E17</f>
        <v>0</v>
      </c>
      <c r="F37" s="498">
        <f t="shared" si="11"/>
        <v>0</v>
      </c>
      <c r="G37" s="498">
        <f t="shared" si="11"/>
        <v>0</v>
      </c>
      <c r="H37" s="498">
        <f t="shared" si="11"/>
        <v>0</v>
      </c>
      <c r="I37" s="18">
        <f>SUM(D37:INDEX(D37:H37,0,MATCH('RFPR cover'!$C$9,$D$6:$H$6,0)))</f>
        <v>0</v>
      </c>
      <c r="J37" s="20">
        <f>SUM(D37:H37)</f>
        <v>0</v>
      </c>
      <c r="L37" s="114"/>
      <c r="M37" s="114"/>
      <c r="N37" s="114"/>
      <c r="O37" s="114"/>
      <c r="P37" s="114"/>
      <c r="Q37" s="114"/>
      <c r="R37" s="114"/>
      <c r="S37" s="114"/>
    </row>
    <row r="38" spans="2:19">
      <c r="B38" s="389" t="s">
        <v>603</v>
      </c>
      <c r="C38" s="468" t="str">
        <f>Data!$C$9</f>
        <v>£m 18/19</v>
      </c>
      <c r="D38" s="498">
        <f>D30*(1-D17)+D35</f>
        <v>0</v>
      </c>
      <c r="E38" s="498">
        <f t="shared" ref="E38:H38" si="12">E30*(1-E17)+E35</f>
        <v>0</v>
      </c>
      <c r="F38" s="498">
        <f t="shared" si="12"/>
        <v>0</v>
      </c>
      <c r="G38" s="498">
        <f t="shared" si="12"/>
        <v>0</v>
      </c>
      <c r="H38" s="498">
        <f t="shared" si="12"/>
        <v>0</v>
      </c>
      <c r="I38" s="18">
        <f>SUM(D38:INDEX(D38:H38,0,MATCH('RFPR cover'!$C$9,$D$6:$H$6,0)))</f>
        <v>0</v>
      </c>
      <c r="J38" s="17">
        <f>SUM(D38:H38)</f>
        <v>0</v>
      </c>
      <c r="L38" s="114"/>
      <c r="M38" s="114"/>
      <c r="N38" s="114"/>
      <c r="O38" s="114"/>
      <c r="P38" s="114"/>
      <c r="Q38" s="114"/>
      <c r="R38" s="114"/>
      <c r="S38" s="114"/>
    </row>
    <row r="39" spans="2:19">
      <c r="B39" s="396"/>
      <c r="L39" s="114"/>
      <c r="M39" s="114"/>
      <c r="N39" s="114"/>
      <c r="O39" s="114"/>
      <c r="P39" s="114"/>
      <c r="Q39" s="114"/>
      <c r="R39" s="114"/>
      <c r="S39" s="114"/>
    </row>
    <row r="40" spans="2:19">
      <c r="B40" s="396" t="s">
        <v>604</v>
      </c>
      <c r="L40" s="114"/>
      <c r="M40" s="114"/>
      <c r="N40" s="114"/>
      <c r="O40" s="114"/>
      <c r="P40" s="114"/>
      <c r="Q40" s="114"/>
      <c r="R40" s="114"/>
      <c r="S40" s="114"/>
    </row>
    <row r="41" spans="2:19">
      <c r="B41" s="389" t="s">
        <v>595</v>
      </c>
      <c r="C41" s="468" t="str">
        <f>Data!$C$9</f>
        <v>£m 18/19</v>
      </c>
      <c r="D41" s="498">
        <f>D19+D37</f>
        <v>3.7108580814723666</v>
      </c>
      <c r="E41" s="498">
        <f t="shared" ref="E41:H41" si="13">E19+E37</f>
        <v>-4.0369180562666855</v>
      </c>
      <c r="F41" s="498">
        <f t="shared" si="13"/>
        <v>-12.724801443919766</v>
      </c>
      <c r="G41" s="498">
        <f t="shared" si="13"/>
        <v>-11.427116237996593</v>
      </c>
      <c r="H41" s="498">
        <f t="shared" si="13"/>
        <v>-10.058365500303921</v>
      </c>
      <c r="I41" s="18">
        <f>SUM(D41:INDEX(D41:H41,0,MATCH('RFPR cover'!$C$9,$D$6:$H$6,0)))</f>
        <v>-13.050861418714085</v>
      </c>
      <c r="J41" s="20">
        <f>SUM(D41:H41)</f>
        <v>-34.536343157014599</v>
      </c>
      <c r="L41" s="114"/>
      <c r="M41" s="114"/>
      <c r="N41" s="114"/>
      <c r="O41" s="114"/>
      <c r="P41" s="114"/>
      <c r="Q41" s="114"/>
      <c r="R41" s="114"/>
      <c r="S41" s="114"/>
    </row>
    <row r="42" spans="2:19">
      <c r="B42" s="389" t="s">
        <v>596</v>
      </c>
      <c r="C42" s="468" t="str">
        <f>Data!$C$9</f>
        <v>£m 18/19</v>
      </c>
      <c r="D42" s="498">
        <f>D20+D38</f>
        <v>3.7108580814723666</v>
      </c>
      <c r="E42" s="498">
        <f t="shared" ref="E42:H42" si="14">E20+E38</f>
        <v>-4.0369180562666855</v>
      </c>
      <c r="F42" s="498">
        <f t="shared" si="14"/>
        <v>-12.724801443919766</v>
      </c>
      <c r="G42" s="498">
        <f t="shared" si="14"/>
        <v>-11.427116237996593</v>
      </c>
      <c r="H42" s="498">
        <f t="shared" si="14"/>
        <v>-10.058365500303921</v>
      </c>
      <c r="I42" s="18">
        <f>SUM(D42:INDEX(D42:H42,0,MATCH('RFPR cover'!$C$9,$D$6:$H$6,0)))</f>
        <v>-13.050861418714085</v>
      </c>
      <c r="J42" s="17">
        <f t="shared" ref="J42" si="15">SUM(D42:H42)</f>
        <v>-34.536343157014599</v>
      </c>
      <c r="L42" s="114"/>
      <c r="M42" s="114"/>
      <c r="N42" s="114"/>
      <c r="O42" s="114"/>
      <c r="P42" s="114"/>
      <c r="Q42" s="114"/>
      <c r="R42" s="114"/>
      <c r="S42" s="114"/>
    </row>
    <row r="43" spans="2:19">
      <c r="B43" s="396" t="s">
        <v>605</v>
      </c>
      <c r="C43" s="476" t="str">
        <f>Data!$C$9</f>
        <v>£m 18/19</v>
      </c>
      <c r="D43" s="498">
        <f>SUM(D41:D42)</f>
        <v>7.4217161629447332</v>
      </c>
      <c r="E43" s="498">
        <f t="shared" ref="E43:H43" si="16">SUM(E41:E42)</f>
        <v>-8.0738361125333711</v>
      </c>
      <c r="F43" s="498">
        <f t="shared" si="16"/>
        <v>-25.449602887839532</v>
      </c>
      <c r="G43" s="498">
        <f t="shared" si="16"/>
        <v>-22.854232475993186</v>
      </c>
      <c r="H43" s="498">
        <f t="shared" si="16"/>
        <v>-20.116731000607842</v>
      </c>
      <c r="I43" s="15">
        <f>SUM(D43:INDEX(D43:H43,0,MATCH('RFPR cover'!$C$9,$D$6:$H$6,0)))</f>
        <v>-26.10172283742817</v>
      </c>
      <c r="J43" s="17">
        <f t="shared" ref="J43" si="17">SUM(D43:H43)</f>
        <v>-69.072686314029198</v>
      </c>
      <c r="L43" s="114"/>
      <c r="M43" s="114"/>
      <c r="N43" s="114"/>
      <c r="O43" s="114"/>
      <c r="P43" s="114"/>
      <c r="Q43" s="114"/>
      <c r="R43" s="114"/>
      <c r="S43" s="114"/>
    </row>
    <row r="44" spans="2:19">
      <c r="B44" s="396"/>
      <c r="L44" s="114"/>
      <c r="M44" s="114"/>
      <c r="N44" s="114"/>
      <c r="O44" s="114"/>
      <c r="P44" s="114"/>
      <c r="Q44" s="114"/>
      <c r="R44" s="114"/>
      <c r="S44" s="114"/>
    </row>
    <row r="45" spans="2:19">
      <c r="B45" s="465" t="str">
        <f>IF(Sector="GD2","Capitalisation 2 totex (excluding repex)","Capitalisation 2 totex")</f>
        <v>Capitalisation 2 totex (excluding repex)</v>
      </c>
      <c r="C45" s="392"/>
      <c r="D45" s="394"/>
      <c r="E45" s="394"/>
      <c r="F45" s="394"/>
      <c r="G45" s="394"/>
      <c r="H45" s="394"/>
      <c r="I45" s="394"/>
      <c r="J45" s="394"/>
    </row>
    <row r="46" spans="2:19">
      <c r="D46" s="467"/>
      <c r="E46" s="467"/>
      <c r="F46" s="467"/>
      <c r="G46" s="467"/>
      <c r="H46" s="467"/>
      <c r="I46" s="467"/>
      <c r="J46" s="467"/>
    </row>
    <row r="47" spans="2:19">
      <c r="B47" s="88" t="s">
        <v>591</v>
      </c>
      <c r="C47" s="468" t="str">
        <f>Data!$C$9</f>
        <v>£m 18/19</v>
      </c>
      <c r="D47" s="469">
        <v>6.2053170134306592</v>
      </c>
      <c r="E47" s="469">
        <v>5.8261378561141051</v>
      </c>
      <c r="F47" s="469">
        <v>8.9284170196735086</v>
      </c>
      <c r="G47" s="469">
        <v>13.697722145717496</v>
      </c>
      <c r="H47" s="469">
        <v>17.654630819704305</v>
      </c>
      <c r="I47" s="504">
        <f>SUM(D47:INDEX(D47:H47,0,MATCH('RFPR cover'!$C$9,$D$6:$H$6,0)))</f>
        <v>20.95987188921827</v>
      </c>
      <c r="J47" s="505">
        <f>SUM(D47:H47)</f>
        <v>52.312224854640078</v>
      </c>
      <c r="K47" s="471"/>
    </row>
    <row r="48" spans="2:19" ht="15" customHeight="1">
      <c r="B48" s="470" t="s">
        <v>606</v>
      </c>
      <c r="C48" s="468" t="str">
        <f>Data!$C$9</f>
        <v>£m 18/19</v>
      </c>
      <c r="D48" s="469">
        <v>6.7199339097954143</v>
      </c>
      <c r="E48" s="469">
        <v>6.4761046751355185</v>
      </c>
      <c r="F48" s="469">
        <v>10.014515015863216</v>
      </c>
      <c r="G48" s="469">
        <v>14.919184625583155</v>
      </c>
      <c r="H48" s="469">
        <v>21.594339556587311</v>
      </c>
      <c r="I48" s="506">
        <f>SUM(D48:INDEX(D48:H48,0,MATCH('RFPR cover'!$C$9,$D$6:$H$6,0)))</f>
        <v>23.21055360079415</v>
      </c>
      <c r="J48" s="507">
        <f>SUM(D48:H48)</f>
        <v>59.724077782964613</v>
      </c>
      <c r="K48" s="471"/>
    </row>
    <row r="49" spans="2:19">
      <c r="B49" s="86" t="s">
        <v>593</v>
      </c>
      <c r="C49" s="468" t="str">
        <f>Data!$C$9</f>
        <v>£m 18/19</v>
      </c>
      <c r="D49" s="498">
        <f>D48-D47</f>
        <v>0.51461689636475505</v>
      </c>
      <c r="E49" s="498">
        <f t="shared" ref="E49:J49" si="18">E48-E47</f>
        <v>0.6499668190214134</v>
      </c>
      <c r="F49" s="498">
        <f t="shared" si="18"/>
        <v>1.0860979961897073</v>
      </c>
      <c r="G49" s="498">
        <f t="shared" si="18"/>
        <v>1.221462479865659</v>
      </c>
      <c r="H49" s="498">
        <f t="shared" si="18"/>
        <v>3.9397087368830057</v>
      </c>
      <c r="I49" s="153">
        <f t="shared" si="18"/>
        <v>2.2506817115758793</v>
      </c>
      <c r="J49" s="240">
        <f t="shared" si="18"/>
        <v>7.4118529283245351</v>
      </c>
      <c r="K49" s="136"/>
      <c r="L49" s="136"/>
      <c r="M49" s="136"/>
      <c r="N49" s="136"/>
      <c r="O49" s="136"/>
      <c r="P49" s="136"/>
      <c r="Q49" s="114"/>
      <c r="R49" s="114"/>
      <c r="S49" s="114"/>
    </row>
    <row r="50" spans="2:19">
      <c r="B50" s="86"/>
      <c r="C50" s="468"/>
      <c r="D50" s="472"/>
      <c r="E50" s="472"/>
      <c r="F50" s="472"/>
      <c r="G50" s="472"/>
      <c r="H50" s="472"/>
      <c r="I50" s="472"/>
      <c r="J50" s="472"/>
      <c r="K50" s="473"/>
      <c r="L50" s="473"/>
      <c r="M50" s="473"/>
      <c r="N50" s="473"/>
      <c r="O50" s="473"/>
      <c r="P50" s="473"/>
      <c r="Q50" s="114"/>
      <c r="R50" s="114"/>
      <c r="S50" s="114"/>
    </row>
    <row r="51" spans="2:19">
      <c r="B51" s="389" t="s">
        <v>594</v>
      </c>
      <c r="C51" s="29" t="s">
        <v>486</v>
      </c>
      <c r="D51" s="508">
        <f>INDEX(Data!$C$63:$C$91,MATCH('RFPR cover'!$C$7,Data!$B$63:$B$91,0),0)</f>
        <v>0.5</v>
      </c>
      <c r="E51" s="508">
        <f>INDEX(Data!$C$63:$C$91,MATCH('RFPR cover'!$C$7,Data!$B$63:$B$91,0),0)</f>
        <v>0.5</v>
      </c>
      <c r="F51" s="508">
        <f>INDEX(Data!$C$63:$C$91,MATCH('RFPR cover'!$C$7,Data!$B$63:$B$91,0),0)</f>
        <v>0.5</v>
      </c>
      <c r="G51" s="508">
        <f>INDEX(Data!$C$63:$C$91,MATCH('RFPR cover'!$C$7,Data!$B$63:$B$91,0),0)</f>
        <v>0.5</v>
      </c>
      <c r="H51" s="508">
        <f>INDEX(Data!$C$63:$C$91,MATCH('RFPR cover'!$C$7,Data!$B$63:$B$91,0),0)</f>
        <v>0.5</v>
      </c>
      <c r="I51" s="474"/>
      <c r="J51" s="474"/>
      <c r="K51" s="114"/>
      <c r="L51" s="114"/>
      <c r="M51" s="114"/>
      <c r="N51" s="114"/>
      <c r="O51" s="114"/>
      <c r="P51" s="114"/>
      <c r="Q51" s="114"/>
      <c r="R51" s="114"/>
      <c r="S51" s="114"/>
    </row>
    <row r="52" spans="2:19">
      <c r="K52" s="114"/>
      <c r="L52" s="114"/>
      <c r="M52" s="114"/>
      <c r="N52" s="114"/>
      <c r="O52" s="114"/>
      <c r="P52" s="114"/>
      <c r="Q52" s="114"/>
      <c r="R52" s="114"/>
      <c r="S52" s="114"/>
    </row>
    <row r="53" spans="2:19">
      <c r="B53" s="389" t="s">
        <v>595</v>
      </c>
      <c r="C53" s="468" t="str">
        <f>Data!$C$9</f>
        <v>£m 18/19</v>
      </c>
      <c r="D53" s="498">
        <f>D49*D51</f>
        <v>0.25730844818237752</v>
      </c>
      <c r="E53" s="498">
        <f t="shared" ref="E53:H53" si="19">E49*E51</f>
        <v>0.3249834095107067</v>
      </c>
      <c r="F53" s="498">
        <f t="shared" si="19"/>
        <v>0.54304899809485363</v>
      </c>
      <c r="G53" s="498">
        <f t="shared" si="19"/>
        <v>0.61073123993282952</v>
      </c>
      <c r="H53" s="498">
        <f t="shared" si="19"/>
        <v>1.9698543684415029</v>
      </c>
      <c r="I53" s="54">
        <f>SUM(D53:INDEX(D53:H53,0,MATCH('RFPR cover'!$C$9,$D$6:$H$6,0)))</f>
        <v>1.1253408557879379</v>
      </c>
      <c r="J53" s="82">
        <f>SUM(D53:H53)</f>
        <v>3.7059264641622702</v>
      </c>
      <c r="K53" s="114"/>
      <c r="L53" s="114"/>
      <c r="M53" s="114"/>
      <c r="N53" s="114"/>
      <c r="O53" s="114"/>
      <c r="P53" s="114"/>
      <c r="Q53" s="114"/>
      <c r="R53" s="114"/>
      <c r="S53" s="114"/>
    </row>
    <row r="54" spans="2:19">
      <c r="B54" s="389" t="s">
        <v>596</v>
      </c>
      <c r="C54" s="468" t="str">
        <f>Data!$C$9</f>
        <v>£m 18/19</v>
      </c>
      <c r="D54" s="498">
        <f>D49*(1-D51)</f>
        <v>0.25730844818237752</v>
      </c>
      <c r="E54" s="498">
        <f t="shared" ref="E54:H54" si="20">E49*(1-E51)</f>
        <v>0.3249834095107067</v>
      </c>
      <c r="F54" s="498">
        <f t="shared" si="20"/>
        <v>0.54304899809485363</v>
      </c>
      <c r="G54" s="498">
        <f t="shared" si="20"/>
        <v>0.61073123993282952</v>
      </c>
      <c r="H54" s="498">
        <f t="shared" si="20"/>
        <v>1.9698543684415029</v>
      </c>
      <c r="I54" s="83">
        <f>SUM(D54:INDEX(D54:H54,0,MATCH('RFPR cover'!$C$9,$D$6:$H$6,0)))</f>
        <v>1.1253408557879379</v>
      </c>
      <c r="J54" s="84">
        <f>SUM(D54:H54)</f>
        <v>3.7059264641622702</v>
      </c>
      <c r="K54" s="114"/>
      <c r="L54" s="114"/>
      <c r="M54" s="114"/>
      <c r="N54" s="114"/>
      <c r="O54" s="114"/>
      <c r="P54" s="114"/>
      <c r="Q54" s="114"/>
      <c r="R54" s="114"/>
      <c r="S54" s="114"/>
    </row>
    <row r="55" spans="2:19">
      <c r="K55" s="114"/>
      <c r="L55" s="114"/>
      <c r="M55" s="114"/>
      <c r="N55" s="114"/>
      <c r="O55" s="114"/>
      <c r="P55" s="114"/>
      <c r="Q55" s="114"/>
      <c r="R55" s="114"/>
      <c r="S55" s="114"/>
    </row>
    <row r="56" spans="2:19">
      <c r="B56" s="396" t="s">
        <v>597</v>
      </c>
      <c r="K56" s="114"/>
      <c r="L56" s="114"/>
      <c r="M56" s="114"/>
      <c r="N56" s="114"/>
      <c r="O56" s="114"/>
      <c r="P56" s="114"/>
      <c r="Q56" s="114"/>
      <c r="R56" s="114"/>
      <c r="S56" s="114"/>
    </row>
    <row r="57" spans="2:19">
      <c r="B57" s="402" t="s">
        <v>598</v>
      </c>
      <c r="C57" s="468" t="str">
        <f>Data!$C$9</f>
        <v>£m 18/19</v>
      </c>
      <c r="D57" s="475">
        <v>0</v>
      </c>
      <c r="E57" s="475">
        <v>0</v>
      </c>
      <c r="F57" s="475">
        <v>0</v>
      </c>
      <c r="G57" s="475">
        <v>0</v>
      </c>
      <c r="H57" s="475">
        <v>0</v>
      </c>
      <c r="I57" s="15">
        <f>SUM(D57:INDEX(D57:H57,0,MATCH('RFPR cover'!$C$9,$D$6:$H$6,0)))</f>
        <v>0</v>
      </c>
      <c r="J57" s="17">
        <f>SUM(D57:H57)</f>
        <v>0</v>
      </c>
      <c r="K57" s="114"/>
      <c r="L57" s="114"/>
      <c r="M57" s="114"/>
      <c r="N57" s="114"/>
      <c r="O57" s="114"/>
      <c r="P57" s="114"/>
      <c r="Q57" s="114"/>
      <c r="R57" s="114"/>
      <c r="S57" s="114"/>
    </row>
    <row r="58" spans="2:19">
      <c r="B58" s="402" t="s">
        <v>599</v>
      </c>
      <c r="C58" s="468" t="str">
        <f>Data!$C$9</f>
        <v>£m 18/19</v>
      </c>
      <c r="D58" s="475">
        <v>0</v>
      </c>
      <c r="E58" s="475">
        <v>0</v>
      </c>
      <c r="F58" s="475">
        <v>0</v>
      </c>
      <c r="G58" s="475">
        <v>0</v>
      </c>
      <c r="H58" s="475">
        <v>0</v>
      </c>
      <c r="I58" s="15">
        <f>SUM(D58:INDEX(D58:H58,0,MATCH('RFPR cover'!$C$9,$D$6:$H$6,0)))</f>
        <v>0</v>
      </c>
      <c r="J58" s="17">
        <f t="shared" ref="J58:J59" si="21">SUM(D58:H58)</f>
        <v>0</v>
      </c>
      <c r="K58" s="114"/>
      <c r="L58" s="114"/>
      <c r="M58" s="114"/>
      <c r="N58" s="114"/>
      <c r="O58" s="114"/>
      <c r="P58" s="114"/>
      <c r="Q58" s="114"/>
      <c r="R58" s="114"/>
      <c r="S58" s="114"/>
    </row>
    <row r="59" spans="2:19">
      <c r="B59" s="396" t="s">
        <v>600</v>
      </c>
      <c r="C59" s="468" t="str">
        <f>Data!$C$9</f>
        <v>£m 18/19</v>
      </c>
      <c r="D59" s="498">
        <f>SUM(D57:D58)</f>
        <v>0</v>
      </c>
      <c r="E59" s="498">
        <f t="shared" ref="E59" si="22">SUM(E57:E58)</f>
        <v>0</v>
      </c>
      <c r="F59" s="498">
        <f t="shared" ref="F59" si="23">SUM(F57:F58)</f>
        <v>0</v>
      </c>
      <c r="G59" s="498">
        <f t="shared" ref="G59" si="24">SUM(G57:G58)</f>
        <v>0</v>
      </c>
      <c r="H59" s="498">
        <f t="shared" ref="H59" si="25">SUM(H57:H58)</f>
        <v>0</v>
      </c>
      <c r="I59" s="15">
        <f>SUM(D59:INDEX(D59:H59,0,MATCH('RFPR cover'!$C$9,$D$6:$H$6,0)))</f>
        <v>0</v>
      </c>
      <c r="J59" s="17">
        <f t="shared" si="21"/>
        <v>0</v>
      </c>
      <c r="K59" s="396"/>
      <c r="L59" s="396"/>
      <c r="M59" s="396"/>
      <c r="N59" s="396"/>
      <c r="O59" s="396"/>
      <c r="P59" s="396"/>
      <c r="Q59" s="396"/>
      <c r="R59" s="114"/>
      <c r="S59" s="114"/>
    </row>
    <row r="60" spans="2:19">
      <c r="B60" s="396"/>
      <c r="C60" s="396"/>
      <c r="D60" s="396"/>
      <c r="E60" s="396"/>
      <c r="F60" s="396"/>
      <c r="G60" s="396"/>
      <c r="H60" s="396"/>
      <c r="I60" s="396"/>
      <c r="J60" s="396"/>
      <c r="K60" s="396"/>
      <c r="L60" s="396"/>
      <c r="M60" s="396"/>
      <c r="N60" s="396"/>
      <c r="O60" s="396"/>
      <c r="P60" s="396"/>
      <c r="Q60" s="396"/>
      <c r="R60" s="114"/>
      <c r="S60" s="114"/>
    </row>
    <row r="61" spans="2:19">
      <c r="B61" s="396" t="s">
        <v>601</v>
      </c>
      <c r="K61" s="396"/>
      <c r="L61" s="396"/>
      <c r="M61" s="396"/>
      <c r="N61" s="396"/>
      <c r="O61" s="396"/>
      <c r="P61" s="396"/>
      <c r="Q61" s="396"/>
      <c r="R61" s="114"/>
      <c r="S61" s="114"/>
    </row>
    <row r="62" spans="2:19">
      <c r="B62" s="402" t="s">
        <v>598</v>
      </c>
      <c r="C62" s="468" t="str">
        <f>Data!$C$9</f>
        <v>£m 18/19</v>
      </c>
      <c r="D62" s="475">
        <v>0</v>
      </c>
      <c r="E62" s="475">
        <v>0</v>
      </c>
      <c r="F62" s="475">
        <v>0</v>
      </c>
      <c r="G62" s="475">
        <v>0</v>
      </c>
      <c r="H62" s="475">
        <v>0</v>
      </c>
      <c r="I62" s="15">
        <f>SUM(D62:INDEX(D62:H62,0,MATCH('RFPR cover'!$C$9,$D$6:$H$6,0)))</f>
        <v>0</v>
      </c>
      <c r="J62" s="17">
        <f>SUM(D62:H62)</f>
        <v>0</v>
      </c>
      <c r="K62" s="396"/>
      <c r="L62" s="396"/>
      <c r="M62" s="396"/>
      <c r="N62" s="396"/>
      <c r="O62" s="396"/>
      <c r="P62" s="396"/>
      <c r="Q62" s="396"/>
      <c r="R62" s="114"/>
      <c r="S62" s="114"/>
    </row>
    <row r="63" spans="2:19">
      <c r="B63" s="402" t="s">
        <v>599</v>
      </c>
      <c r="C63" s="468" t="str">
        <f>Data!$C$9</f>
        <v>£m 18/19</v>
      </c>
      <c r="D63" s="475">
        <v>0</v>
      </c>
      <c r="E63" s="475">
        <v>0</v>
      </c>
      <c r="F63" s="475">
        <v>0</v>
      </c>
      <c r="G63" s="475">
        <v>0</v>
      </c>
      <c r="H63" s="475">
        <v>0</v>
      </c>
      <c r="I63" s="15">
        <f>SUM(D63:INDEX(D63:H63,0,MATCH('RFPR cover'!$C$9,$D$6:$H$6,0)))</f>
        <v>0</v>
      </c>
      <c r="J63" s="17">
        <f t="shared" ref="J63:J64" si="26">SUM(D63:H63)</f>
        <v>0</v>
      </c>
      <c r="K63" s="396"/>
      <c r="L63" s="396"/>
      <c r="M63" s="396"/>
      <c r="N63" s="396"/>
      <c r="O63" s="396"/>
      <c r="P63" s="396"/>
      <c r="Q63" s="396"/>
      <c r="R63" s="114"/>
      <c r="S63" s="114"/>
    </row>
    <row r="64" spans="2:19">
      <c r="B64" s="396" t="s">
        <v>600</v>
      </c>
      <c r="C64" s="468" t="str">
        <f>Data!$C$9</f>
        <v>£m 18/19</v>
      </c>
      <c r="D64" s="498">
        <f>SUM(D62:D63)</f>
        <v>0</v>
      </c>
      <c r="E64" s="498">
        <f t="shared" ref="E64:H64" si="27">SUM(E62:E63)</f>
        <v>0</v>
      </c>
      <c r="F64" s="498">
        <f t="shared" si="27"/>
        <v>0</v>
      </c>
      <c r="G64" s="498">
        <f t="shared" si="27"/>
        <v>0</v>
      </c>
      <c r="H64" s="498">
        <f t="shared" si="27"/>
        <v>0</v>
      </c>
      <c r="I64" s="15">
        <f>SUM(D64:INDEX(D64:H64,0,MATCH('RFPR cover'!$C$9,$D$6:$H$6,0)))</f>
        <v>0</v>
      </c>
      <c r="J64" s="17">
        <f t="shared" si="26"/>
        <v>0</v>
      </c>
      <c r="K64" s="396"/>
      <c r="L64" s="396"/>
      <c r="M64" s="396"/>
      <c r="N64" s="396"/>
      <c r="O64" s="396"/>
      <c r="P64" s="396"/>
      <c r="Q64" s="396"/>
      <c r="R64" s="114"/>
      <c r="S64" s="114"/>
    </row>
    <row r="65" spans="2:20">
      <c r="B65" s="396"/>
      <c r="C65" s="396"/>
      <c r="D65" s="396"/>
      <c r="E65" s="396"/>
      <c r="F65" s="396"/>
      <c r="G65" s="396"/>
      <c r="H65" s="396"/>
      <c r="I65" s="396"/>
      <c r="J65" s="396"/>
      <c r="K65" s="396"/>
      <c r="L65" s="396"/>
      <c r="M65" s="396"/>
      <c r="N65" s="396"/>
      <c r="O65" s="396"/>
      <c r="P65" s="396"/>
      <c r="Q65" s="396"/>
      <c r="R65" s="114"/>
      <c r="S65" s="114"/>
    </row>
    <row r="66" spans="2:20">
      <c r="B66" s="389" t="s">
        <v>602</v>
      </c>
      <c r="C66" s="468" t="str">
        <f>Data!$C$9</f>
        <v>£m 18/19</v>
      </c>
      <c r="D66" s="498">
        <f>D59*D51</f>
        <v>0</v>
      </c>
      <c r="E66" s="498">
        <f t="shared" ref="E66:H66" si="28">E59*E51</f>
        <v>0</v>
      </c>
      <c r="F66" s="498">
        <f t="shared" si="28"/>
        <v>0</v>
      </c>
      <c r="G66" s="498">
        <f t="shared" si="28"/>
        <v>0</v>
      </c>
      <c r="H66" s="498">
        <f t="shared" si="28"/>
        <v>0</v>
      </c>
      <c r="I66" s="18">
        <f>SUM(D66:INDEX(D66:H66,0,MATCH('RFPR cover'!$C$9,$D$6:$H$6,0)))</f>
        <v>0</v>
      </c>
      <c r="J66" s="20">
        <f>SUM(D66:H66)</f>
        <v>0</v>
      </c>
      <c r="K66" s="396"/>
      <c r="L66" s="396"/>
      <c r="M66" s="396"/>
      <c r="N66" s="396"/>
      <c r="O66" s="396"/>
      <c r="P66" s="396"/>
      <c r="Q66" s="396"/>
      <c r="R66" s="114"/>
      <c r="S66" s="114"/>
    </row>
    <row r="67" spans="2:20">
      <c r="B67" s="389" t="s">
        <v>603</v>
      </c>
      <c r="C67" s="468" t="str">
        <f>Data!$C$9</f>
        <v>£m 18/19</v>
      </c>
      <c r="D67" s="498">
        <f t="shared" ref="D67:H67" si="29">D59*(1-D51)+D64</f>
        <v>0</v>
      </c>
      <c r="E67" s="498">
        <f t="shared" si="29"/>
        <v>0</v>
      </c>
      <c r="F67" s="498">
        <f t="shared" si="29"/>
        <v>0</v>
      </c>
      <c r="G67" s="498">
        <f t="shared" si="29"/>
        <v>0</v>
      </c>
      <c r="H67" s="498">
        <f t="shared" si="29"/>
        <v>0</v>
      </c>
      <c r="I67" s="18">
        <f>SUM(D67:INDEX(D67:H67,0,MATCH('RFPR cover'!$C$9,$D$6:$H$6,0)))</f>
        <v>0</v>
      </c>
      <c r="J67" s="17">
        <f>SUM(D67:H67)</f>
        <v>0</v>
      </c>
      <c r="K67" s="396"/>
      <c r="L67" s="396"/>
      <c r="M67" s="396"/>
      <c r="N67" s="396"/>
      <c r="O67" s="396"/>
      <c r="P67" s="396"/>
      <c r="Q67" s="396"/>
      <c r="R67" s="114"/>
      <c r="S67" s="114"/>
    </row>
    <row r="68" spans="2:20">
      <c r="B68" s="396"/>
      <c r="C68" s="396"/>
      <c r="D68" s="396"/>
      <c r="E68" s="396"/>
      <c r="F68" s="396"/>
      <c r="G68" s="396"/>
      <c r="H68" s="396"/>
      <c r="I68" s="396"/>
      <c r="J68" s="396"/>
      <c r="K68" s="396"/>
      <c r="L68" s="396"/>
      <c r="M68" s="396"/>
      <c r="N68" s="396"/>
      <c r="O68" s="396"/>
      <c r="P68" s="396"/>
      <c r="Q68" s="396"/>
      <c r="R68" s="114"/>
      <c r="S68" s="114"/>
    </row>
    <row r="69" spans="2:20">
      <c r="B69" s="396" t="s">
        <v>604</v>
      </c>
      <c r="C69" s="396"/>
      <c r="D69" s="396"/>
      <c r="E69" s="396"/>
      <c r="F69" s="396"/>
      <c r="G69" s="396"/>
      <c r="H69" s="396"/>
      <c r="I69" s="396"/>
      <c r="J69" s="396"/>
      <c r="K69" s="396"/>
      <c r="L69" s="396"/>
      <c r="M69" s="396"/>
      <c r="N69" s="396"/>
      <c r="O69" s="396"/>
      <c r="P69" s="396"/>
      <c r="Q69" s="396"/>
      <c r="R69" s="114"/>
      <c r="S69" s="114"/>
    </row>
    <row r="70" spans="2:20">
      <c r="B70" s="389" t="s">
        <v>595</v>
      </c>
      <c r="C70" s="468" t="str">
        <f>Data!$C$9</f>
        <v>£m 18/19</v>
      </c>
      <c r="D70" s="498">
        <f>D66+D53</f>
        <v>0.25730844818237752</v>
      </c>
      <c r="E70" s="498">
        <f t="shared" ref="E70:H70" si="30">E66+E53</f>
        <v>0.3249834095107067</v>
      </c>
      <c r="F70" s="498">
        <f t="shared" si="30"/>
        <v>0.54304899809485363</v>
      </c>
      <c r="G70" s="498">
        <f t="shared" si="30"/>
        <v>0.61073123993282952</v>
      </c>
      <c r="H70" s="498">
        <f t="shared" si="30"/>
        <v>1.9698543684415029</v>
      </c>
      <c r="I70" s="15">
        <f>SUM(D70:INDEX(D70:H70,0,MATCH('RFPR cover'!$C$9,$D$6:$H$6,0)))</f>
        <v>1.1253408557879379</v>
      </c>
      <c r="J70" s="17">
        <f>SUM(D70:H70)</f>
        <v>3.7059264641622702</v>
      </c>
      <c r="K70" s="396"/>
      <c r="L70" s="396"/>
      <c r="M70" s="396"/>
      <c r="N70" s="396"/>
      <c r="O70" s="396"/>
      <c r="P70" s="396"/>
      <c r="Q70" s="396"/>
      <c r="R70" s="114"/>
      <c r="S70" s="114"/>
    </row>
    <row r="71" spans="2:20">
      <c r="B71" s="389" t="s">
        <v>596</v>
      </c>
      <c r="C71" s="468" t="str">
        <f>Data!$C$9</f>
        <v>£m 18/19</v>
      </c>
      <c r="D71" s="498">
        <f>D54+D67</f>
        <v>0.25730844818237752</v>
      </c>
      <c r="E71" s="498">
        <f t="shared" ref="E71:H71" si="31">E54+E67</f>
        <v>0.3249834095107067</v>
      </c>
      <c r="F71" s="498">
        <f t="shared" si="31"/>
        <v>0.54304899809485363</v>
      </c>
      <c r="G71" s="498">
        <f t="shared" si="31"/>
        <v>0.61073123993282952</v>
      </c>
      <c r="H71" s="498">
        <f t="shared" si="31"/>
        <v>1.9698543684415029</v>
      </c>
      <c r="I71" s="15">
        <f>SUM(D71:INDEX(D71:H71,0,MATCH('RFPR cover'!$C$9,$D$6:$H$6,0)))</f>
        <v>1.1253408557879379</v>
      </c>
      <c r="J71" s="17">
        <f t="shared" ref="J71" si="32">SUM(D71:H71)</f>
        <v>3.7059264641622702</v>
      </c>
      <c r="K71" s="396"/>
      <c r="L71" s="396"/>
      <c r="M71" s="396"/>
      <c r="N71" s="396"/>
      <c r="O71" s="396"/>
      <c r="P71" s="396"/>
      <c r="Q71" s="396"/>
      <c r="R71" s="114"/>
      <c r="S71" s="114"/>
    </row>
    <row r="72" spans="2:20">
      <c r="B72" s="396" t="s">
        <v>605</v>
      </c>
      <c r="C72" s="476" t="str">
        <f>Data!$C$9</f>
        <v>£m 18/19</v>
      </c>
      <c r="D72" s="498">
        <f>SUM(D70:D71)</f>
        <v>0.51461689636475505</v>
      </c>
      <c r="E72" s="498">
        <f t="shared" ref="E72:H72" si="33">SUM(E70:E71)</f>
        <v>0.6499668190214134</v>
      </c>
      <c r="F72" s="498">
        <f t="shared" si="33"/>
        <v>1.0860979961897073</v>
      </c>
      <c r="G72" s="498">
        <f t="shared" si="33"/>
        <v>1.221462479865659</v>
      </c>
      <c r="H72" s="498">
        <f t="shared" si="33"/>
        <v>3.9397087368830057</v>
      </c>
      <c r="I72" s="15">
        <f>SUM(D72:INDEX(D72:H72,0,MATCH('RFPR cover'!$C$9,$D$6:$H$6,0)))</f>
        <v>2.2506817115758757</v>
      </c>
      <c r="J72" s="17">
        <f t="shared" ref="J72" si="34">SUM(D72:H72)</f>
        <v>7.4118529283245405</v>
      </c>
      <c r="K72" s="114"/>
      <c r="L72" s="114"/>
      <c r="M72" s="114"/>
      <c r="N72" s="114"/>
      <c r="O72" s="114"/>
      <c r="P72" s="114"/>
      <c r="Q72" s="114"/>
      <c r="R72" s="114"/>
      <c r="S72" s="114"/>
    </row>
    <row r="73" spans="2:20">
      <c r="C73" s="468"/>
      <c r="D73" s="468"/>
      <c r="E73" s="468"/>
      <c r="F73" s="468"/>
      <c r="G73" s="468"/>
      <c r="H73" s="468"/>
      <c r="I73" s="468"/>
      <c r="J73" s="468"/>
      <c r="K73" s="468"/>
      <c r="L73" s="468"/>
      <c r="M73" s="468"/>
      <c r="N73" s="468"/>
      <c r="O73" s="468"/>
      <c r="P73" s="468"/>
      <c r="Q73" s="468"/>
      <c r="R73" s="468"/>
      <c r="S73" s="468"/>
      <c r="T73" s="468"/>
    </row>
    <row r="74" spans="2:20">
      <c r="B74" s="477" t="s">
        <v>607</v>
      </c>
      <c r="C74" s="392"/>
      <c r="D74" s="394"/>
      <c r="E74" s="394"/>
      <c r="F74" s="394"/>
      <c r="G74" s="394"/>
      <c r="H74" s="394"/>
      <c r="I74" s="394"/>
      <c r="J74" s="394"/>
      <c r="K74" s="114"/>
      <c r="L74" s="114"/>
      <c r="M74" s="114"/>
      <c r="N74" s="114"/>
      <c r="O74" s="114"/>
      <c r="P74" s="114"/>
      <c r="Q74" s="114"/>
      <c r="R74" s="114"/>
      <c r="S74" s="114"/>
    </row>
    <row r="75" spans="2:20">
      <c r="D75" s="467"/>
      <c r="E75" s="467"/>
      <c r="F75" s="467"/>
      <c r="G75" s="467"/>
      <c r="H75" s="467"/>
      <c r="I75" s="467"/>
      <c r="J75" s="467"/>
      <c r="K75" s="114"/>
      <c r="L75" s="114"/>
      <c r="M75" s="114"/>
      <c r="N75" s="114"/>
      <c r="O75" s="114"/>
      <c r="P75" s="114"/>
      <c r="Q75" s="114"/>
      <c r="R75" s="114"/>
      <c r="S75" s="114"/>
    </row>
    <row r="76" spans="2:20">
      <c r="B76" s="88" t="s">
        <v>608</v>
      </c>
      <c r="C76" s="468" t="str">
        <f>Data!$C$9</f>
        <v>£m 18/19</v>
      </c>
      <c r="D76" s="469">
        <v>105.35168894028182</v>
      </c>
      <c r="E76" s="469">
        <v>97.867300946202519</v>
      </c>
      <c r="F76" s="469">
        <v>100.00418677236125</v>
      </c>
      <c r="G76" s="469">
        <v>94.365637777320643</v>
      </c>
      <c r="H76" s="469">
        <v>97.018935995920984</v>
      </c>
      <c r="I76" s="504">
        <f>SUM(D76:INDEX(D76:H76,0,MATCH('RFPR cover'!$C$9,$D$6:$H$6,0)))</f>
        <v>303.2231766588456</v>
      </c>
      <c r="J76" s="505">
        <f>SUM(D76:H76)</f>
        <v>494.60775043208719</v>
      </c>
      <c r="K76" s="114"/>
      <c r="L76" s="114"/>
      <c r="M76" s="114"/>
      <c r="N76" s="114"/>
      <c r="O76" s="114"/>
      <c r="P76" s="114"/>
      <c r="Q76" s="114"/>
      <c r="R76" s="114"/>
      <c r="S76" s="114"/>
    </row>
    <row r="77" spans="2:20" ht="16.5" customHeight="1">
      <c r="B77" s="470" t="s">
        <v>609</v>
      </c>
      <c r="C77" s="478" t="str">
        <f>Data!$C$9</f>
        <v>£m 18/19</v>
      </c>
      <c r="D77" s="469">
        <v>102.15299980596029</v>
      </c>
      <c r="E77" s="469">
        <v>100.63016710665624</v>
      </c>
      <c r="F77" s="469">
        <v>101.0719040190973</v>
      </c>
      <c r="G77" s="469">
        <v>102.25987587822003</v>
      </c>
      <c r="H77" s="469">
        <v>111.91663663537815</v>
      </c>
      <c r="I77" s="509">
        <f>SUM(D77:INDEX(D77:H77,0,MATCH('RFPR cover'!$C$9,$D$6:$H$6,0)))</f>
        <v>303.85507093171384</v>
      </c>
      <c r="J77" s="510">
        <f>SUM(D77:H77)</f>
        <v>518.03158344531198</v>
      </c>
      <c r="K77" s="479"/>
      <c r="L77" s="479"/>
      <c r="M77" s="479"/>
      <c r="N77" s="479"/>
      <c r="O77" s="479"/>
      <c r="P77" s="479"/>
      <c r="Q77" s="479"/>
      <c r="R77" s="479"/>
      <c r="S77" s="479"/>
    </row>
    <row r="78" spans="2:20">
      <c r="B78" s="86" t="s">
        <v>593</v>
      </c>
      <c r="C78" s="468" t="str">
        <f>Data!$C$9</f>
        <v>£m 18/19</v>
      </c>
      <c r="D78" s="498">
        <f>D77-D76</f>
        <v>-3.1986891343215262</v>
      </c>
      <c r="E78" s="498">
        <f t="shared" ref="E78:J78" si="35">E77-E76</f>
        <v>2.7628661604537257</v>
      </c>
      <c r="F78" s="498">
        <f t="shared" si="35"/>
        <v>1.0677172467360521</v>
      </c>
      <c r="G78" s="498">
        <f t="shared" si="35"/>
        <v>7.8942381008993863</v>
      </c>
      <c r="H78" s="498">
        <f t="shared" si="35"/>
        <v>14.89770063945717</v>
      </c>
      <c r="I78" s="153">
        <f t="shared" si="35"/>
        <v>0.63189427286823729</v>
      </c>
      <c r="J78" s="240">
        <f t="shared" si="35"/>
        <v>23.423833013224794</v>
      </c>
      <c r="K78" s="114"/>
      <c r="L78" s="114"/>
      <c r="M78" s="114"/>
      <c r="N78" s="114"/>
      <c r="O78" s="114"/>
      <c r="P78" s="114"/>
      <c r="Q78" s="114"/>
      <c r="R78" s="114"/>
      <c r="S78" s="114"/>
    </row>
    <row r="79" spans="2:20">
      <c r="B79" s="86"/>
      <c r="C79" s="468"/>
      <c r="D79" s="472"/>
      <c r="E79" s="472"/>
      <c r="F79" s="472"/>
      <c r="G79" s="472"/>
      <c r="H79" s="472"/>
      <c r="I79" s="472"/>
      <c r="J79" s="472"/>
      <c r="K79" s="114"/>
      <c r="L79" s="114"/>
      <c r="M79" s="114"/>
      <c r="N79" s="114"/>
      <c r="O79" s="114"/>
      <c r="P79" s="114"/>
      <c r="Q79" s="114"/>
      <c r="R79" s="114"/>
      <c r="S79" s="114"/>
    </row>
    <row r="80" spans="2:20">
      <c r="B80" s="389" t="s">
        <v>594</v>
      </c>
      <c r="C80" s="29" t="s">
        <v>486</v>
      </c>
      <c r="D80" s="508">
        <f>INDEX(Data!$C$63:$C$91,MATCH('RFPR cover'!$C$7,Data!$B$63:$B$91,0),0)</f>
        <v>0.5</v>
      </c>
      <c r="E80" s="508">
        <f>INDEX(Data!$C$63:$C$91,MATCH('RFPR cover'!$C$7,Data!$B$63:$B$91,0),0)</f>
        <v>0.5</v>
      </c>
      <c r="F80" s="508">
        <f>INDEX(Data!$C$63:$C$91,MATCH('RFPR cover'!$C$7,Data!$B$63:$B$91,0),0)</f>
        <v>0.5</v>
      </c>
      <c r="G80" s="508">
        <f>INDEX(Data!$C$63:$C$91,MATCH('RFPR cover'!$C$7,Data!$B$63:$B$91,0),0)</f>
        <v>0.5</v>
      </c>
      <c r="H80" s="508">
        <f>INDEX(Data!$C$63:$C$91,MATCH('RFPR cover'!$C$7,Data!$B$63:$B$91,0),0)</f>
        <v>0.5</v>
      </c>
      <c r="I80" s="474"/>
      <c r="J80" s="474"/>
      <c r="K80" s="114"/>
      <c r="L80" s="114"/>
      <c r="M80" s="114"/>
      <c r="N80" s="114"/>
      <c r="O80" s="114"/>
      <c r="P80" s="114"/>
      <c r="Q80" s="114"/>
      <c r="R80" s="114"/>
      <c r="S80" s="114"/>
    </row>
    <row r="81" spans="2:19">
      <c r="K81" s="114"/>
      <c r="L81" s="114"/>
      <c r="M81" s="114"/>
      <c r="N81" s="114"/>
      <c r="O81" s="114"/>
      <c r="P81" s="114"/>
      <c r="Q81" s="114"/>
      <c r="R81" s="114"/>
      <c r="S81" s="114"/>
    </row>
    <row r="82" spans="2:19">
      <c r="B82" s="389" t="s">
        <v>595</v>
      </c>
      <c r="C82" s="468" t="str">
        <f>Data!$C$9</f>
        <v>£m 18/19</v>
      </c>
      <c r="D82" s="498">
        <f>D78*D80</f>
        <v>-1.5993445671607631</v>
      </c>
      <c r="E82" s="498">
        <f t="shared" ref="E82:H82" si="36">E78*E80</f>
        <v>1.3814330802268628</v>
      </c>
      <c r="F82" s="498">
        <f t="shared" si="36"/>
        <v>0.53385862336802603</v>
      </c>
      <c r="G82" s="498">
        <f t="shared" si="36"/>
        <v>3.9471190504496931</v>
      </c>
      <c r="H82" s="498">
        <f t="shared" si="36"/>
        <v>7.4488503197285851</v>
      </c>
      <c r="I82" s="54">
        <f>SUM(D82:INDEX(D82:H82,0,MATCH('RFPR cover'!$C$9,$D$6:$H$6,0)))</f>
        <v>0.31594713643412575</v>
      </c>
      <c r="J82" s="82">
        <f>SUM(D82:H82)</f>
        <v>11.711916506612404</v>
      </c>
      <c r="K82" s="114"/>
      <c r="L82" s="114"/>
      <c r="M82" s="114"/>
      <c r="N82" s="114"/>
      <c r="O82" s="114"/>
      <c r="P82" s="114"/>
      <c r="Q82" s="114"/>
      <c r="R82" s="114"/>
      <c r="S82" s="114"/>
    </row>
    <row r="83" spans="2:19">
      <c r="B83" s="389" t="s">
        <v>596</v>
      </c>
      <c r="C83" s="468" t="str">
        <f>Data!$C$9</f>
        <v>£m 18/19</v>
      </c>
      <c r="D83" s="498">
        <f>D78*(1-D80)</f>
        <v>-1.5993445671607631</v>
      </c>
      <c r="E83" s="498">
        <f t="shared" ref="E83:H83" si="37">E78*(1-E80)</f>
        <v>1.3814330802268628</v>
      </c>
      <c r="F83" s="498">
        <f t="shared" si="37"/>
        <v>0.53385862336802603</v>
      </c>
      <c r="G83" s="498">
        <f t="shared" si="37"/>
        <v>3.9471190504496931</v>
      </c>
      <c r="H83" s="498">
        <f t="shared" si="37"/>
        <v>7.4488503197285851</v>
      </c>
      <c r="I83" s="83">
        <f>SUM(D83:INDEX(D83:H83,0,MATCH('RFPR cover'!$C$9,$D$6:$H$6,0)))</f>
        <v>0.31594713643412575</v>
      </c>
      <c r="J83" s="84">
        <f>SUM(D83:H83)</f>
        <v>11.711916506612404</v>
      </c>
      <c r="K83" s="114"/>
      <c r="L83" s="114"/>
      <c r="M83" s="114"/>
      <c r="N83" s="114"/>
      <c r="O83" s="114"/>
      <c r="P83" s="114"/>
      <c r="Q83" s="114"/>
      <c r="R83" s="114"/>
      <c r="S83" s="114"/>
    </row>
    <row r="84" spans="2:19">
      <c r="C84" s="389"/>
      <c r="D84" s="389"/>
      <c r="E84" s="389"/>
      <c r="F84" s="389"/>
      <c r="G84" s="389"/>
      <c r="H84" s="389"/>
      <c r="I84" s="389"/>
      <c r="J84" s="389"/>
      <c r="K84" s="389"/>
      <c r="L84" s="389"/>
      <c r="M84" s="114"/>
      <c r="N84" s="114"/>
      <c r="O84" s="114"/>
      <c r="P84" s="114"/>
      <c r="Q84" s="114"/>
      <c r="R84" s="114"/>
      <c r="S84" s="114"/>
    </row>
    <row r="85" spans="2:19">
      <c r="B85" s="396" t="s">
        <v>597</v>
      </c>
      <c r="K85" s="389"/>
      <c r="L85" s="389"/>
      <c r="M85" s="114"/>
      <c r="N85" s="114"/>
      <c r="O85" s="114"/>
      <c r="P85" s="114"/>
      <c r="Q85" s="114"/>
      <c r="R85" s="114"/>
      <c r="S85" s="114"/>
    </row>
    <row r="86" spans="2:19">
      <c r="B86" s="402" t="s">
        <v>598</v>
      </c>
      <c r="C86" s="468" t="str">
        <f>Data!$C$9</f>
        <v>£m 18/19</v>
      </c>
      <c r="D86" s="475">
        <v>0</v>
      </c>
      <c r="E86" s="475">
        <v>0</v>
      </c>
      <c r="F86" s="475">
        <v>0</v>
      </c>
      <c r="G86" s="475">
        <v>0</v>
      </c>
      <c r="H86" s="475">
        <v>0</v>
      </c>
      <c r="I86" s="15">
        <f>SUM(D86:INDEX(D86:H86,0,MATCH('RFPR cover'!$C$9,$D$6:$H$6,0)))</f>
        <v>0</v>
      </c>
      <c r="J86" s="17">
        <f>SUM(D86:H86)</f>
        <v>0</v>
      </c>
      <c r="K86" s="389"/>
      <c r="L86" s="389"/>
      <c r="M86" s="114"/>
      <c r="N86" s="114"/>
      <c r="O86" s="114"/>
      <c r="P86" s="114"/>
      <c r="Q86" s="114"/>
      <c r="R86" s="114"/>
      <c r="S86" s="114"/>
    </row>
    <row r="87" spans="2:19">
      <c r="B87" s="402" t="s">
        <v>599</v>
      </c>
      <c r="C87" s="468" t="str">
        <f>Data!$C$9</f>
        <v>£m 18/19</v>
      </c>
      <c r="D87" s="475">
        <v>0</v>
      </c>
      <c r="E87" s="475">
        <v>0</v>
      </c>
      <c r="F87" s="475">
        <v>0</v>
      </c>
      <c r="G87" s="475">
        <v>0</v>
      </c>
      <c r="H87" s="475">
        <v>0</v>
      </c>
      <c r="I87" s="15">
        <f>SUM(D87:INDEX(D87:H87,0,MATCH('RFPR cover'!$C$9,$D$6:$H$6,0)))</f>
        <v>0</v>
      </c>
      <c r="J87" s="17">
        <f t="shared" ref="J87:J88" si="38">SUM(D87:H87)</f>
        <v>0</v>
      </c>
      <c r="K87" s="389"/>
      <c r="L87" s="389"/>
      <c r="M87" s="114"/>
      <c r="N87" s="114"/>
      <c r="O87" s="114"/>
      <c r="P87" s="114"/>
      <c r="Q87" s="114"/>
      <c r="R87" s="114"/>
      <c r="S87" s="114"/>
    </row>
    <row r="88" spans="2:19">
      <c r="B88" s="396" t="s">
        <v>600</v>
      </c>
      <c r="C88" s="468" t="str">
        <f>Data!$C$9</f>
        <v>£m 18/19</v>
      </c>
      <c r="D88" s="498">
        <f>SUM(D86:D87)</f>
        <v>0</v>
      </c>
      <c r="E88" s="498">
        <f t="shared" ref="E88" si="39">SUM(E86:E87)</f>
        <v>0</v>
      </c>
      <c r="F88" s="498">
        <f t="shared" ref="F88" si="40">SUM(F86:F87)</f>
        <v>0</v>
      </c>
      <c r="G88" s="498">
        <f t="shared" ref="G88" si="41">SUM(G86:G87)</f>
        <v>0</v>
      </c>
      <c r="H88" s="498">
        <f t="shared" ref="H88" si="42">SUM(H86:H87)</f>
        <v>0</v>
      </c>
      <c r="I88" s="15">
        <f>SUM(D88:INDEX(D88:H88,0,MATCH('RFPR cover'!$C$9,$D$6:$H$6,0)))</f>
        <v>0</v>
      </c>
      <c r="J88" s="17">
        <f t="shared" si="38"/>
        <v>0</v>
      </c>
      <c r="K88" s="389"/>
      <c r="L88" s="389"/>
      <c r="M88" s="114"/>
      <c r="N88" s="114"/>
      <c r="O88" s="114"/>
      <c r="P88" s="114"/>
      <c r="Q88" s="114"/>
      <c r="R88" s="114"/>
      <c r="S88" s="114"/>
    </row>
    <row r="89" spans="2:19">
      <c r="B89" s="396"/>
      <c r="C89" s="396"/>
      <c r="D89" s="396"/>
      <c r="E89" s="396"/>
      <c r="F89" s="396"/>
      <c r="G89" s="396"/>
      <c r="H89" s="396"/>
      <c r="I89" s="396"/>
      <c r="J89" s="396"/>
      <c r="K89" s="389"/>
      <c r="L89" s="389"/>
      <c r="M89" s="114"/>
      <c r="N89" s="114"/>
      <c r="O89" s="114"/>
      <c r="P89" s="114"/>
      <c r="Q89" s="114"/>
      <c r="R89" s="114"/>
      <c r="S89" s="114"/>
    </row>
    <row r="90" spans="2:19">
      <c r="B90" s="389" t="s">
        <v>602</v>
      </c>
      <c r="C90" s="468"/>
      <c r="D90" s="498">
        <f>D88*D80</f>
        <v>0</v>
      </c>
      <c r="E90" s="498">
        <f t="shared" ref="E90:H90" si="43">E88*E80</f>
        <v>0</v>
      </c>
      <c r="F90" s="498">
        <f t="shared" si="43"/>
        <v>0</v>
      </c>
      <c r="G90" s="498">
        <f t="shared" si="43"/>
        <v>0</v>
      </c>
      <c r="H90" s="498">
        <f t="shared" si="43"/>
        <v>0</v>
      </c>
      <c r="I90" s="18">
        <f>SUM(D90:INDEX(D90:H90,0,MATCH('RFPR cover'!$C$9,$D$6:$H$6,0)))</f>
        <v>0</v>
      </c>
      <c r="J90" s="20">
        <f>SUM(D90:H90)</f>
        <v>0</v>
      </c>
      <c r="K90" s="389"/>
      <c r="L90" s="389"/>
      <c r="M90" s="114"/>
      <c r="N90" s="114"/>
      <c r="O90" s="114"/>
      <c r="P90" s="114"/>
      <c r="Q90" s="114"/>
      <c r="R90" s="114"/>
      <c r="S90" s="114"/>
    </row>
    <row r="91" spans="2:19">
      <c r="B91" s="389" t="s">
        <v>603</v>
      </c>
      <c r="C91" s="468"/>
      <c r="D91" s="498">
        <f>D88*(1-D80)</f>
        <v>0</v>
      </c>
      <c r="E91" s="498">
        <f t="shared" ref="E91:H91" si="44">E88*(1-E80)</f>
        <v>0</v>
      </c>
      <c r="F91" s="498">
        <f t="shared" si="44"/>
        <v>0</v>
      </c>
      <c r="G91" s="498">
        <f t="shared" si="44"/>
        <v>0</v>
      </c>
      <c r="H91" s="498">
        <f t="shared" si="44"/>
        <v>0</v>
      </c>
      <c r="I91" s="15">
        <v>0</v>
      </c>
      <c r="J91" s="17">
        <f>SUM(D91:H91)</f>
        <v>0</v>
      </c>
      <c r="K91" s="389"/>
      <c r="L91" s="389"/>
      <c r="M91" s="114"/>
      <c r="N91" s="114"/>
      <c r="O91" s="114"/>
      <c r="P91" s="114"/>
      <c r="Q91" s="114"/>
      <c r="R91" s="114"/>
      <c r="S91" s="114"/>
    </row>
    <row r="92" spans="2:19">
      <c r="B92" s="396"/>
      <c r="C92" s="396"/>
      <c r="D92" s="396"/>
      <c r="E92" s="396"/>
      <c r="F92" s="396"/>
      <c r="G92" s="396"/>
      <c r="H92" s="396"/>
      <c r="I92" s="396"/>
      <c r="J92" s="396"/>
      <c r="K92" s="389"/>
      <c r="L92" s="389"/>
      <c r="M92" s="114"/>
      <c r="N92" s="114"/>
      <c r="O92" s="114"/>
      <c r="P92" s="114"/>
      <c r="Q92" s="114"/>
      <c r="R92" s="114"/>
      <c r="S92" s="114"/>
    </row>
    <row r="93" spans="2:19">
      <c r="B93" s="396" t="s">
        <v>604</v>
      </c>
      <c r="C93" s="396"/>
      <c r="D93" s="396"/>
      <c r="E93" s="396"/>
      <c r="F93" s="396"/>
      <c r="G93" s="396"/>
      <c r="H93" s="396"/>
      <c r="I93" s="396"/>
      <c r="J93" s="396"/>
      <c r="K93" s="389"/>
      <c r="L93" s="389"/>
      <c r="M93" s="114"/>
      <c r="N93" s="114"/>
      <c r="O93" s="114"/>
      <c r="P93" s="114"/>
      <c r="Q93" s="114"/>
      <c r="R93" s="114"/>
      <c r="S93" s="114"/>
    </row>
    <row r="94" spans="2:19">
      <c r="B94" s="389" t="s">
        <v>595</v>
      </c>
      <c r="C94" s="468" t="str">
        <f>Data!$C$9</f>
        <v>£m 18/19</v>
      </c>
      <c r="D94" s="498">
        <f>D90+D82</f>
        <v>-1.5993445671607631</v>
      </c>
      <c r="E94" s="498">
        <f t="shared" ref="E94:H94" si="45">E90+E82</f>
        <v>1.3814330802268628</v>
      </c>
      <c r="F94" s="498">
        <f t="shared" si="45"/>
        <v>0.53385862336802603</v>
      </c>
      <c r="G94" s="498">
        <f t="shared" si="45"/>
        <v>3.9471190504496931</v>
      </c>
      <c r="H94" s="498">
        <f t="shared" si="45"/>
        <v>7.4488503197285851</v>
      </c>
      <c r="I94" s="15">
        <f>SUM(D94:INDEX(D94:H94,0,MATCH('RFPR cover'!$C$9,$D$6:$H$6,0)))</f>
        <v>0.31594713643412575</v>
      </c>
      <c r="J94" s="17">
        <f>SUM(D94:H94)</f>
        <v>11.711916506612404</v>
      </c>
      <c r="K94" s="389"/>
      <c r="L94" s="389"/>
      <c r="M94" s="114"/>
      <c r="N94" s="114"/>
      <c r="O94" s="114"/>
      <c r="P94" s="114"/>
      <c r="Q94" s="114"/>
      <c r="R94" s="114"/>
      <c r="S94" s="114"/>
    </row>
    <row r="95" spans="2:19">
      <c r="B95" s="389" t="s">
        <v>596</v>
      </c>
      <c r="C95" s="468" t="str">
        <f>Data!$C$9</f>
        <v>£m 18/19</v>
      </c>
      <c r="D95" s="498">
        <f>D83+D91</f>
        <v>-1.5993445671607631</v>
      </c>
      <c r="E95" s="498">
        <f t="shared" ref="E95:H95" si="46">E83+E91</f>
        <v>1.3814330802268628</v>
      </c>
      <c r="F95" s="498">
        <f t="shared" si="46"/>
        <v>0.53385862336802603</v>
      </c>
      <c r="G95" s="498">
        <f t="shared" si="46"/>
        <v>3.9471190504496931</v>
      </c>
      <c r="H95" s="498">
        <f t="shared" si="46"/>
        <v>7.4488503197285851</v>
      </c>
      <c r="I95" s="15">
        <f>SUM(D95:INDEX(D95:H95,0,MATCH('RFPR cover'!$C$9,$D$6:$H$6,0)))</f>
        <v>0.31594713643412575</v>
      </c>
      <c r="J95" s="17">
        <f t="shared" ref="J95:J96" si="47">SUM(D95:H95)</f>
        <v>11.711916506612404</v>
      </c>
      <c r="K95" s="389"/>
      <c r="L95" s="389"/>
      <c r="M95" s="114"/>
      <c r="N95" s="114"/>
      <c r="O95" s="114"/>
      <c r="P95" s="114"/>
      <c r="Q95" s="114"/>
      <c r="R95" s="114"/>
      <c r="S95" s="114"/>
    </row>
    <row r="96" spans="2:19">
      <c r="B96" s="396" t="s">
        <v>605</v>
      </c>
      <c r="C96" s="476" t="str">
        <f>Data!$C$9</f>
        <v>£m 18/19</v>
      </c>
      <c r="D96" s="498">
        <f>SUM(D94:D95)</f>
        <v>-3.1986891343215262</v>
      </c>
      <c r="E96" s="498">
        <f t="shared" ref="E96:H96" si="48">SUM(E94:E95)</f>
        <v>2.7628661604537257</v>
      </c>
      <c r="F96" s="498">
        <f t="shared" si="48"/>
        <v>1.0677172467360521</v>
      </c>
      <c r="G96" s="498">
        <f t="shared" si="48"/>
        <v>7.8942381008993863</v>
      </c>
      <c r="H96" s="498">
        <f t="shared" si="48"/>
        <v>14.89770063945717</v>
      </c>
      <c r="I96" s="15">
        <f>SUM(D96:INDEX(D96:H96,0,MATCH('RFPR cover'!$C$9,$D$6:$H$6,0)))</f>
        <v>0.63189427286825151</v>
      </c>
      <c r="J96" s="17">
        <f t="shared" si="47"/>
        <v>23.423833013224808</v>
      </c>
      <c r="K96" s="114"/>
      <c r="L96" s="114"/>
      <c r="M96" s="114"/>
      <c r="N96" s="114"/>
      <c r="O96" s="114"/>
      <c r="P96" s="114"/>
      <c r="Q96" s="114"/>
      <c r="R96" s="114"/>
      <c r="S96" s="114"/>
    </row>
    <row r="97" spans="2:19">
      <c r="K97" s="114"/>
      <c r="L97" s="114"/>
      <c r="M97" s="114"/>
      <c r="N97" s="114"/>
      <c r="O97" s="114"/>
      <c r="P97" s="114"/>
      <c r="Q97" s="114"/>
      <c r="R97" s="114"/>
      <c r="S97" s="114"/>
    </row>
    <row r="98" spans="2:19">
      <c r="B98" s="391" t="s">
        <v>610</v>
      </c>
      <c r="C98" s="392"/>
      <c r="D98" s="394"/>
      <c r="E98" s="394"/>
      <c r="F98" s="394"/>
      <c r="G98" s="394"/>
      <c r="H98" s="394"/>
      <c r="I98" s="394"/>
      <c r="J98" s="394"/>
      <c r="Q98" s="114"/>
      <c r="R98" s="114"/>
      <c r="S98" s="114"/>
    </row>
    <row r="99" spans="2:19">
      <c r="K99" s="114"/>
      <c r="L99" s="114"/>
      <c r="M99" s="114"/>
      <c r="N99" s="114"/>
      <c r="O99" s="114"/>
      <c r="P99" s="114"/>
      <c r="Q99" s="114"/>
      <c r="R99" s="114"/>
      <c r="S99" s="114"/>
    </row>
    <row r="100" spans="2:19">
      <c r="B100" s="396" t="s">
        <v>611</v>
      </c>
      <c r="Q100" s="114"/>
      <c r="R100" s="114"/>
      <c r="S100" s="114"/>
    </row>
    <row r="101" spans="2:19">
      <c r="B101" s="389" t="s">
        <v>612</v>
      </c>
      <c r="C101" s="468" t="str">
        <f>Data!$C$9</f>
        <v>£m 18/19</v>
      </c>
      <c r="D101" s="498">
        <f t="shared" ref="D101:H102" si="49">D41+D70+D94</f>
        <v>2.368821962493981</v>
      </c>
      <c r="E101" s="498">
        <f t="shared" si="49"/>
        <v>-2.330501566529116</v>
      </c>
      <c r="F101" s="498">
        <f t="shared" si="49"/>
        <v>-11.647893822456886</v>
      </c>
      <c r="G101" s="498">
        <f t="shared" si="49"/>
        <v>-6.8692659476140712</v>
      </c>
      <c r="H101" s="498">
        <f t="shared" si="49"/>
        <v>-0.63966081213383319</v>
      </c>
      <c r="I101" s="15">
        <f>SUM(D101:INDEX(D101:H101,0,MATCH('RFPR cover'!$C$9,$D$6:$H$6,0)))</f>
        <v>-11.609573426492021</v>
      </c>
      <c r="J101" s="17">
        <f>SUM(D101:H101)</f>
        <v>-19.118500186239928</v>
      </c>
      <c r="Q101" s="114"/>
      <c r="R101" s="428"/>
      <c r="S101" s="114"/>
    </row>
    <row r="102" spans="2:19">
      <c r="B102" s="389" t="s">
        <v>596</v>
      </c>
      <c r="C102" s="468" t="str">
        <f>Data!$C$9</f>
        <v>£m 18/19</v>
      </c>
      <c r="D102" s="498">
        <f>D42+D71+D95</f>
        <v>2.368821962493981</v>
      </c>
      <c r="E102" s="498">
        <f t="shared" si="49"/>
        <v>-2.330501566529116</v>
      </c>
      <c r="F102" s="498">
        <f t="shared" si="49"/>
        <v>-11.647893822456886</v>
      </c>
      <c r="G102" s="498">
        <f t="shared" si="49"/>
        <v>-6.8692659476140712</v>
      </c>
      <c r="H102" s="498">
        <f t="shared" si="49"/>
        <v>-0.63966081213383319</v>
      </c>
      <c r="I102" s="15">
        <f>SUM(D102:INDEX(D102:H102,0,MATCH('RFPR cover'!$C$9,$D$6:$H$6,0)))</f>
        <v>-11.609573426492021</v>
      </c>
      <c r="J102" s="17">
        <f t="shared" ref="J102:J103" si="50">SUM(D102:H102)</f>
        <v>-19.118500186239928</v>
      </c>
      <c r="Q102" s="114"/>
      <c r="R102" s="114"/>
      <c r="S102" s="114"/>
    </row>
    <row r="103" spans="2:19">
      <c r="B103" s="396" t="s">
        <v>613</v>
      </c>
      <c r="C103" s="476" t="str">
        <f>Data!$C$9</f>
        <v>£m 18/19</v>
      </c>
      <c r="D103" s="498">
        <f>SUM(D101:D102)</f>
        <v>4.7376439249879621</v>
      </c>
      <c r="E103" s="498">
        <f t="shared" ref="E103:H103" si="51">SUM(E101:E102)</f>
        <v>-4.661003133058232</v>
      </c>
      <c r="F103" s="498">
        <f t="shared" si="51"/>
        <v>-23.295787644913773</v>
      </c>
      <c r="G103" s="498">
        <f t="shared" si="51"/>
        <v>-13.738531895228142</v>
      </c>
      <c r="H103" s="498">
        <f t="shared" si="51"/>
        <v>-1.2793216242676664</v>
      </c>
      <c r="I103" s="15">
        <f>SUM(D103:INDEX(D103:H103,0,MATCH('RFPR cover'!$C$9,$D$6:$H$6,0)))</f>
        <v>-23.219146852984043</v>
      </c>
      <c r="J103" s="17">
        <f t="shared" si="50"/>
        <v>-38.237000372479855</v>
      </c>
      <c r="Q103" s="114"/>
      <c r="R103" s="114"/>
      <c r="S103" s="114"/>
    </row>
    <row r="104" spans="2:19">
      <c r="B104" s="396"/>
      <c r="C104" s="476"/>
      <c r="D104" s="476"/>
      <c r="E104" s="476"/>
      <c r="F104" s="476"/>
      <c r="G104" s="476"/>
      <c r="H104" s="476"/>
      <c r="I104" s="476"/>
      <c r="J104" s="476"/>
      <c r="Q104" s="114"/>
      <c r="R104" s="114"/>
      <c r="S104" s="114"/>
    </row>
    <row r="105" spans="2:19">
      <c r="B105" s="460" t="s">
        <v>614</v>
      </c>
      <c r="C105" s="461"/>
      <c r="D105" s="461"/>
      <c r="E105" s="461"/>
      <c r="F105" s="461"/>
      <c r="G105" s="461"/>
      <c r="H105" s="462"/>
      <c r="I105" s="462"/>
      <c r="J105" s="462"/>
    </row>
    <row r="107" spans="2:19">
      <c r="B107" s="339"/>
    </row>
    <row r="108" spans="2:19">
      <c r="B108" s="480"/>
      <c r="D108" s="338" t="str">
        <f t="shared" ref="D108:H108" si="52">IF(D109&lt;=Reporting_Year,"Actuals","N/A")</f>
        <v>Actuals</v>
      </c>
      <c r="E108" s="481" t="str">
        <f t="shared" si="52"/>
        <v>Actuals</v>
      </c>
      <c r="F108" s="481" t="str">
        <f t="shared" si="52"/>
        <v>Actuals</v>
      </c>
      <c r="G108" s="481" t="str">
        <f t="shared" si="52"/>
        <v>N/A</v>
      </c>
      <c r="H108" s="481" t="str">
        <f t="shared" si="52"/>
        <v>N/A</v>
      </c>
    </row>
    <row r="109" spans="2:19">
      <c r="B109" s="339"/>
      <c r="D109" s="457">
        <f>'RFPR cover'!$C$6</f>
        <v>2022</v>
      </c>
      <c r="E109" s="458">
        <f t="shared" ref="E109:H109" si="53">D109+1</f>
        <v>2023</v>
      </c>
      <c r="F109" s="458">
        <f t="shared" si="53"/>
        <v>2024</v>
      </c>
      <c r="G109" s="458">
        <f t="shared" si="53"/>
        <v>2025</v>
      </c>
      <c r="H109" s="458">
        <f t="shared" si="53"/>
        <v>2026</v>
      </c>
    </row>
    <row r="110" spans="2:19">
      <c r="B110" s="339"/>
      <c r="D110" s="343" t="str">
        <f>RIIO_2_start_date-1&amp;"/"&amp;RIGHT(RIIO_2_start_date,2)</f>
        <v>2021/22</v>
      </c>
      <c r="E110" s="343" t="str">
        <f>RIIO_2_start_date&amp;"/"&amp;RIGHT(RIIO_2_start_date+1,2)</f>
        <v>2022/23</v>
      </c>
      <c r="F110" s="343" t="str">
        <f>RIIO_2_start_date+1&amp;"/"&amp;RIGHT(RIIO_2_start_date+2,2)</f>
        <v>2023/24</v>
      </c>
      <c r="G110" s="343" t="str">
        <f>RIIO_2_start_date+2&amp;"/"&amp;RIGHT(RIIO_2_start_date+3,2)</f>
        <v>2024/25</v>
      </c>
      <c r="H110" s="343" t="str">
        <f>RIIO_2_start_date+3&amp;"/"&amp;RIGHT(RIIO_2_start_date+4,2)</f>
        <v>2025/26</v>
      </c>
    </row>
    <row r="111" spans="2:19">
      <c r="B111" s="339"/>
      <c r="D111" s="29"/>
      <c r="E111" s="29"/>
      <c r="F111" s="29"/>
      <c r="G111" s="29"/>
      <c r="H111" s="29"/>
      <c r="I111" s="29"/>
    </row>
    <row r="112" spans="2:19">
      <c r="B112" s="482" t="s">
        <v>615</v>
      </c>
      <c r="C112" s="40"/>
      <c r="D112" s="482"/>
      <c r="E112" s="482"/>
      <c r="F112" s="482"/>
      <c r="G112" s="482"/>
      <c r="H112" s="482"/>
      <c r="Q112" s="114"/>
    </row>
    <row r="113" spans="1:19">
      <c r="B113" s="402" t="s">
        <v>1183</v>
      </c>
      <c r="C113" s="29" t="s">
        <v>522</v>
      </c>
      <c r="D113" s="401">
        <v>778</v>
      </c>
      <c r="E113" s="401">
        <v>886</v>
      </c>
      <c r="F113" s="401">
        <v>983</v>
      </c>
      <c r="G113" s="401"/>
      <c r="H113" s="401"/>
    </row>
    <row r="114" spans="1:19">
      <c r="B114" s="402" t="s">
        <v>1184</v>
      </c>
      <c r="C114" s="29" t="s">
        <v>522</v>
      </c>
      <c r="D114" s="401">
        <v>3</v>
      </c>
      <c r="E114" s="401">
        <v>2.2301176700000003</v>
      </c>
      <c r="F114" s="401">
        <v>2</v>
      </c>
      <c r="G114" s="401"/>
      <c r="H114" s="401"/>
    </row>
    <row r="115" spans="1:19">
      <c r="B115" s="402" t="s">
        <v>1185</v>
      </c>
      <c r="C115" s="29" t="s">
        <v>522</v>
      </c>
      <c r="D115" s="401">
        <v>-2</v>
      </c>
      <c r="E115" s="401">
        <v>-3</v>
      </c>
      <c r="F115" s="401">
        <v>-2</v>
      </c>
      <c r="G115" s="475"/>
      <c r="H115" s="475"/>
    </row>
    <row r="116" spans="1:19">
      <c r="B116" s="402" t="s">
        <v>1186</v>
      </c>
      <c r="C116" s="29" t="s">
        <v>522</v>
      </c>
      <c r="D116" s="401">
        <v>-52.795570429999998</v>
      </c>
      <c r="E116" s="401">
        <v>-52.275568610000008</v>
      </c>
      <c r="F116" s="401">
        <v>-35.672068329999995</v>
      </c>
      <c r="G116" s="401"/>
      <c r="H116" s="401"/>
    </row>
    <row r="117" spans="1:19">
      <c r="B117" s="402" t="s">
        <v>1187</v>
      </c>
      <c r="C117" s="29" t="s">
        <v>522</v>
      </c>
      <c r="D117" s="401">
        <v>0</v>
      </c>
      <c r="E117" s="401">
        <v>0</v>
      </c>
      <c r="F117" s="401">
        <v>0</v>
      </c>
      <c r="G117" s="475"/>
      <c r="H117" s="475"/>
      <c r="R117" s="114"/>
      <c r="S117" s="114"/>
    </row>
    <row r="118" spans="1:19">
      <c r="B118" s="402" t="s">
        <v>1188</v>
      </c>
      <c r="C118" s="29" t="s">
        <v>522</v>
      </c>
      <c r="D118" s="401">
        <v>0</v>
      </c>
      <c r="E118" s="401">
        <v>0</v>
      </c>
      <c r="F118" s="401">
        <v>0</v>
      </c>
      <c r="G118" s="485"/>
      <c r="H118" s="485"/>
    </row>
    <row r="119" spans="1:19">
      <c r="A119" s="480">
        <v>1</v>
      </c>
      <c r="B119" s="402" t="s">
        <v>553</v>
      </c>
      <c r="C119" s="29" t="s">
        <v>522</v>
      </c>
      <c r="D119" s="401">
        <v>0</v>
      </c>
      <c r="E119" s="401">
        <v>0</v>
      </c>
      <c r="F119" s="401">
        <v>0</v>
      </c>
      <c r="G119" s="486"/>
      <c r="H119" s="486"/>
    </row>
    <row r="120" spans="1:19">
      <c r="A120" s="480">
        <v>2</v>
      </c>
      <c r="B120" s="402" t="s">
        <v>553</v>
      </c>
      <c r="C120" s="29" t="s">
        <v>522</v>
      </c>
      <c r="D120" s="483">
        <v>0</v>
      </c>
      <c r="E120" s="483">
        <v>0</v>
      </c>
      <c r="F120" s="483">
        <v>0</v>
      </c>
      <c r="G120" s="475"/>
      <c r="H120" s="475"/>
    </row>
    <row r="121" spans="1:19">
      <c r="A121" s="480">
        <v>3</v>
      </c>
      <c r="B121" s="402" t="s">
        <v>616</v>
      </c>
      <c r="C121" s="29" t="s">
        <v>522</v>
      </c>
      <c r="D121" s="487">
        <v>0</v>
      </c>
      <c r="E121" s="487">
        <v>0</v>
      </c>
      <c r="F121" s="487">
        <v>0</v>
      </c>
      <c r="G121" s="488"/>
      <c r="H121" s="488"/>
    </row>
    <row r="122" spans="1:19">
      <c r="B122" s="482" t="s">
        <v>617</v>
      </c>
      <c r="C122" s="29" t="s">
        <v>522</v>
      </c>
      <c r="D122" s="511">
        <f t="shared" ref="D122:H122" si="54">SUM(D113:D121)</f>
        <v>726.20442957</v>
      </c>
      <c r="E122" s="511">
        <f t="shared" ref="E122:F122" si="55">SUM(E113:E121)</f>
        <v>832.95454905999998</v>
      </c>
      <c r="F122" s="511">
        <f t="shared" si="55"/>
        <v>947.32793167</v>
      </c>
      <c r="G122" s="512">
        <f t="shared" si="54"/>
        <v>0</v>
      </c>
      <c r="H122" s="513">
        <f t="shared" si="54"/>
        <v>0</v>
      </c>
    </row>
    <row r="123" spans="1:19">
      <c r="B123" s="482"/>
      <c r="C123" s="482"/>
      <c r="D123" s="482"/>
      <c r="E123" s="482"/>
      <c r="F123" s="482"/>
      <c r="G123" s="482"/>
      <c r="H123" s="482"/>
      <c r="I123" s="482"/>
      <c r="J123" s="482"/>
      <c r="K123" s="482"/>
      <c r="L123" s="482"/>
      <c r="M123" s="482"/>
    </row>
    <row r="124" spans="1:19">
      <c r="A124" s="480"/>
      <c r="B124" s="402" t="s">
        <v>1189</v>
      </c>
      <c r="C124" s="29" t="s">
        <v>522</v>
      </c>
      <c r="D124" s="401">
        <v>402.46512377000005</v>
      </c>
      <c r="E124" s="401">
        <v>422.04473989999997</v>
      </c>
      <c r="F124" s="401">
        <v>462</v>
      </c>
      <c r="G124" s="401"/>
      <c r="H124" s="401"/>
    </row>
    <row r="125" spans="1:19" ht="21" customHeight="1">
      <c r="A125" s="480"/>
      <c r="B125" s="489" t="s">
        <v>618</v>
      </c>
      <c r="C125" s="480"/>
      <c r="D125" s="480"/>
      <c r="E125" s="480"/>
      <c r="F125" s="480"/>
      <c r="G125" s="480"/>
      <c r="H125" s="480"/>
      <c r="I125" s="480"/>
      <c r="J125" s="480"/>
      <c r="K125" s="29"/>
    </row>
    <row r="126" spans="1:19">
      <c r="A126" s="480">
        <v>1</v>
      </c>
      <c r="B126" s="402" t="s">
        <v>1190</v>
      </c>
      <c r="C126" s="29" t="s">
        <v>522</v>
      </c>
      <c r="D126" s="401">
        <v>896.53487623000001</v>
      </c>
      <c r="E126" s="401">
        <v>972.95526010000003</v>
      </c>
      <c r="F126" s="401">
        <v>922</v>
      </c>
      <c r="G126" s="486"/>
      <c r="H126" s="490"/>
    </row>
    <row r="127" spans="1:19">
      <c r="A127" s="480">
        <v>2</v>
      </c>
      <c r="B127" s="402" t="s">
        <v>553</v>
      </c>
      <c r="C127" s="29" t="s">
        <v>522</v>
      </c>
      <c r="D127" s="483">
        <v>0</v>
      </c>
      <c r="E127" s="483">
        <v>0</v>
      </c>
      <c r="F127" s="483">
        <v>0</v>
      </c>
      <c r="G127" s="475"/>
      <c r="H127" s="491"/>
    </row>
    <row r="128" spans="1:19">
      <c r="A128" s="480">
        <v>3</v>
      </c>
      <c r="B128" s="402" t="s">
        <v>616</v>
      </c>
      <c r="C128" s="29" t="s">
        <v>522</v>
      </c>
      <c r="D128" s="484">
        <v>0</v>
      </c>
      <c r="E128" s="484">
        <v>0</v>
      </c>
      <c r="F128" s="484">
        <v>0</v>
      </c>
      <c r="G128" s="485"/>
      <c r="H128" s="492"/>
    </row>
    <row r="129" spans="1:14">
      <c r="A129" s="480"/>
      <c r="B129" s="482" t="s">
        <v>619</v>
      </c>
      <c r="C129" s="29" t="s">
        <v>522</v>
      </c>
      <c r="D129" s="514">
        <f>SUM(D126:D128)</f>
        <v>896.53487623000001</v>
      </c>
      <c r="E129" s="514">
        <f t="shared" ref="E129:H129" si="56">SUM(E126:E128)</f>
        <v>972.95526010000003</v>
      </c>
      <c r="F129" s="514">
        <f t="shared" si="56"/>
        <v>922</v>
      </c>
      <c r="G129" s="514">
        <f t="shared" si="56"/>
        <v>0</v>
      </c>
      <c r="H129" s="514">
        <f t="shared" si="56"/>
        <v>0</v>
      </c>
    </row>
    <row r="130" spans="1:14">
      <c r="A130" s="480"/>
      <c r="B130" s="482"/>
      <c r="C130" s="482"/>
      <c r="D130" s="482"/>
      <c r="E130" s="482"/>
      <c r="F130" s="482"/>
      <c r="G130" s="482"/>
      <c r="H130" s="482"/>
      <c r="I130" s="482"/>
      <c r="J130" s="482"/>
      <c r="K130" s="482"/>
      <c r="L130" s="482"/>
      <c r="M130" s="482"/>
      <c r="N130" s="482"/>
    </row>
    <row r="131" spans="1:14" s="489" customFormat="1" ht="15" customHeight="1">
      <c r="B131" s="493" t="s">
        <v>620</v>
      </c>
      <c r="C131" s="136" t="s">
        <v>522</v>
      </c>
      <c r="D131" s="498">
        <f>SUM(D122,D124,D129)</f>
        <v>2025.20442957</v>
      </c>
      <c r="E131" s="498">
        <f t="shared" ref="E131:H131" si="57">SUM(E122,E124,E129)</f>
        <v>2227.9545490599999</v>
      </c>
      <c r="F131" s="498">
        <f t="shared" si="57"/>
        <v>2331.32793167</v>
      </c>
      <c r="G131" s="498">
        <f t="shared" si="57"/>
        <v>0</v>
      </c>
      <c r="H131" s="498">
        <f t="shared" si="57"/>
        <v>0</v>
      </c>
    </row>
    <row r="132" spans="1:14" ht="10.5" customHeight="1">
      <c r="B132" s="339"/>
      <c r="D132" s="494"/>
      <c r="E132" s="494"/>
      <c r="F132" s="494"/>
      <c r="G132" s="494"/>
      <c r="H132" s="494"/>
    </row>
    <row r="133" spans="1:14" ht="26.5" customHeight="1">
      <c r="B133" s="482" t="s">
        <v>621</v>
      </c>
    </row>
    <row r="134" spans="1:14">
      <c r="B134" s="495" t="s">
        <v>622</v>
      </c>
    </row>
    <row r="135" spans="1:14">
      <c r="A135" s="480">
        <v>1</v>
      </c>
      <c r="B135" s="402" t="s">
        <v>1189</v>
      </c>
      <c r="C135" s="29" t="s">
        <v>522</v>
      </c>
      <c r="D135" s="401">
        <v>-402.46512377000005</v>
      </c>
      <c r="E135" s="401">
        <v>-422.04473989999997</v>
      </c>
      <c r="F135" s="401">
        <v>-462</v>
      </c>
      <c r="G135" s="496"/>
      <c r="H135" s="496"/>
    </row>
    <row r="136" spans="1:14" ht="7" customHeight="1">
      <c r="A136" s="480"/>
      <c r="B136" s="480"/>
      <c r="C136" s="480"/>
      <c r="D136" s="480"/>
      <c r="E136" s="480"/>
      <c r="F136" s="480"/>
    </row>
    <row r="137" spans="1:14">
      <c r="A137" s="480">
        <v>2</v>
      </c>
      <c r="B137" s="402" t="s">
        <v>1191</v>
      </c>
      <c r="C137" s="29" t="s">
        <v>522</v>
      </c>
      <c r="D137" s="401">
        <v>-10.403745859999999</v>
      </c>
      <c r="E137" s="401">
        <v>-12.348713369999999</v>
      </c>
      <c r="F137" s="401">
        <v>-12.359298900000001</v>
      </c>
      <c r="G137" s="496"/>
      <c r="H137" s="496"/>
    </row>
    <row r="138" spans="1:14">
      <c r="A138" s="480">
        <v>3</v>
      </c>
      <c r="B138" s="402" t="s">
        <v>1192</v>
      </c>
      <c r="C138" s="29" t="s">
        <v>522</v>
      </c>
      <c r="D138" s="401">
        <v>1.79347046</v>
      </c>
      <c r="E138" s="401">
        <v>2.6852506800000002</v>
      </c>
      <c r="F138" s="401">
        <v>1.4039225099999999</v>
      </c>
      <c r="G138" s="496"/>
      <c r="H138" s="496"/>
    </row>
    <row r="139" spans="1:14">
      <c r="A139" s="480">
        <v>4</v>
      </c>
      <c r="B139" s="402" t="s">
        <v>1193</v>
      </c>
      <c r="C139" s="29" t="s">
        <v>522</v>
      </c>
      <c r="D139" s="401">
        <v>-4.6525753400000003</v>
      </c>
      <c r="E139" s="401">
        <v>-6.1055971900000001</v>
      </c>
      <c r="F139" s="401">
        <v>-8.8250174499999989</v>
      </c>
      <c r="G139" s="496"/>
      <c r="H139" s="496"/>
    </row>
    <row r="140" spans="1:14">
      <c r="A140" s="480">
        <v>5</v>
      </c>
      <c r="B140" s="402" t="s">
        <v>1194</v>
      </c>
      <c r="C140" s="29" t="s">
        <v>522</v>
      </c>
      <c r="D140" s="401">
        <v>-9.5392999500000002</v>
      </c>
      <c r="E140" s="401">
        <v>-20.840480009999997</v>
      </c>
      <c r="F140" s="401">
        <v>-23.052216530000003</v>
      </c>
      <c r="G140" s="496"/>
      <c r="H140" s="496"/>
    </row>
    <row r="141" spans="1:14">
      <c r="A141" s="480">
        <v>6</v>
      </c>
      <c r="B141" s="402" t="s">
        <v>1195</v>
      </c>
      <c r="C141" s="29" t="s">
        <v>522</v>
      </c>
      <c r="D141" s="401">
        <v>3.2850432676048613</v>
      </c>
      <c r="E141" s="401">
        <v>2.3176501097377118</v>
      </c>
      <c r="F141" s="401">
        <v>0.74615537099127427</v>
      </c>
      <c r="G141" s="496"/>
      <c r="H141" s="496"/>
    </row>
    <row r="142" spans="1:14">
      <c r="A142" s="480">
        <v>7</v>
      </c>
      <c r="B142" s="402" t="s">
        <v>1196</v>
      </c>
      <c r="C142" s="29" t="s">
        <v>522</v>
      </c>
      <c r="D142" s="401">
        <v>1.3708620000000005E-2</v>
      </c>
      <c r="E142" s="401">
        <v>-6.0820190800000002</v>
      </c>
      <c r="F142" s="401">
        <v>-4.7142196699999994</v>
      </c>
      <c r="G142" s="496"/>
      <c r="H142" s="496"/>
    </row>
    <row r="143" spans="1:14">
      <c r="A143" s="480">
        <v>8</v>
      </c>
      <c r="B143" s="402" t="s">
        <v>1197</v>
      </c>
      <c r="C143" s="29" t="s">
        <v>522</v>
      </c>
      <c r="D143" s="401">
        <v>10.0745662</v>
      </c>
      <c r="E143" s="401">
        <v>12.826214850000001</v>
      </c>
      <c r="F143" s="401">
        <v>21.021187739999995</v>
      </c>
      <c r="G143" s="496"/>
      <c r="H143" s="496"/>
    </row>
    <row r="144" spans="1:14">
      <c r="A144" s="480">
        <v>9</v>
      </c>
      <c r="B144" s="402" t="s">
        <v>1198</v>
      </c>
      <c r="C144" s="29" t="s">
        <v>522</v>
      </c>
      <c r="D144" s="401">
        <v>-8.8624058323207784</v>
      </c>
      <c r="E144" s="401">
        <v>-8.8170855893074123</v>
      </c>
      <c r="F144" s="401">
        <v>0</v>
      </c>
      <c r="G144" s="496"/>
      <c r="H144" s="496"/>
    </row>
    <row r="145" spans="1:8">
      <c r="A145" s="480">
        <v>10</v>
      </c>
      <c r="B145" s="402" t="s">
        <v>1199</v>
      </c>
      <c r="C145" s="29" t="s">
        <v>522</v>
      </c>
      <c r="D145" s="401">
        <v>-7.1329575300000014</v>
      </c>
      <c r="E145" s="401">
        <v>-0.11766795621000002</v>
      </c>
      <c r="F145" s="401">
        <v>0</v>
      </c>
      <c r="G145" s="496"/>
      <c r="H145" s="496"/>
    </row>
    <row r="146" spans="1:8">
      <c r="A146" s="480">
        <v>11</v>
      </c>
      <c r="B146" s="402" t="s">
        <v>1200</v>
      </c>
      <c r="C146" s="29" t="s">
        <v>522</v>
      </c>
      <c r="D146" s="401">
        <v>-3.1436647999999998</v>
      </c>
      <c r="E146" s="401">
        <v>-7.5032499599999998</v>
      </c>
      <c r="F146" s="401">
        <v>-17.276408409999998</v>
      </c>
      <c r="G146" s="496"/>
      <c r="H146" s="496"/>
    </row>
    <row r="147" spans="1:8">
      <c r="A147" s="480">
        <v>12</v>
      </c>
      <c r="B147" s="402" t="s">
        <v>1201</v>
      </c>
      <c r="C147" s="29" t="s">
        <v>522</v>
      </c>
      <c r="D147" s="401">
        <v>-1.2276182099999999</v>
      </c>
      <c r="E147" s="401">
        <v>-1.3463770400000001</v>
      </c>
      <c r="F147" s="401">
        <v>-0.9942915200000001</v>
      </c>
      <c r="G147" s="496"/>
      <c r="H147" s="496"/>
    </row>
    <row r="148" spans="1:8">
      <c r="A148" s="480">
        <v>13</v>
      </c>
      <c r="B148" s="402" t="s">
        <v>1202</v>
      </c>
      <c r="C148" s="29" t="s">
        <v>522</v>
      </c>
      <c r="D148" s="401">
        <v>0.85310900000000001</v>
      </c>
      <c r="E148" s="401">
        <v>1.5523880925</v>
      </c>
      <c r="F148" s="401">
        <v>0</v>
      </c>
      <c r="G148" s="496"/>
      <c r="H148" s="496"/>
    </row>
    <row r="149" spans="1:8">
      <c r="A149" s="480">
        <v>14</v>
      </c>
      <c r="B149" s="402" t="s">
        <v>1203</v>
      </c>
      <c r="C149" s="29" t="s">
        <v>522</v>
      </c>
      <c r="D149" s="401">
        <v>7.8821960522478731</v>
      </c>
      <c r="E149" s="401">
        <v>7.8418883697375463</v>
      </c>
      <c r="F149" s="401">
        <v>0</v>
      </c>
      <c r="G149" s="496"/>
      <c r="H149" s="496"/>
    </row>
    <row r="150" spans="1:8">
      <c r="A150" s="480">
        <v>15</v>
      </c>
      <c r="B150" s="402" t="s">
        <v>1204</v>
      </c>
      <c r="C150" s="29" t="s">
        <v>522</v>
      </c>
      <c r="D150" s="401">
        <v>0.70757203000000002</v>
      </c>
      <c r="E150" s="401">
        <v>0.55837178523449893</v>
      </c>
      <c r="F150" s="401">
        <v>0</v>
      </c>
      <c r="G150" s="496"/>
      <c r="H150" s="496"/>
    </row>
    <row r="151" spans="1:8">
      <c r="A151" s="480">
        <v>16</v>
      </c>
      <c r="B151" s="402" t="s">
        <v>1205</v>
      </c>
      <c r="C151" s="29" t="s">
        <v>522</v>
      </c>
      <c r="D151" s="401">
        <v>0</v>
      </c>
      <c r="E151" s="401">
        <v>0</v>
      </c>
      <c r="F151" s="401">
        <v>-5.4841336000000016</v>
      </c>
      <c r="G151" s="496"/>
      <c r="H151" s="496"/>
    </row>
    <row r="152" spans="1:8">
      <c r="A152" s="480">
        <v>17</v>
      </c>
      <c r="B152" s="402" t="s">
        <v>1206</v>
      </c>
      <c r="C152" s="29" t="s">
        <v>522</v>
      </c>
      <c r="D152" s="401">
        <v>0</v>
      </c>
      <c r="E152" s="401">
        <v>0</v>
      </c>
      <c r="F152" s="401">
        <v>13.588519280000002</v>
      </c>
      <c r="G152" s="496"/>
      <c r="H152" s="496"/>
    </row>
    <row r="153" spans="1:8">
      <c r="A153" s="480">
        <v>18</v>
      </c>
      <c r="B153" s="402" t="s">
        <v>1207</v>
      </c>
      <c r="C153" s="29" t="s">
        <v>522</v>
      </c>
      <c r="D153" s="401">
        <v>0</v>
      </c>
      <c r="E153" s="401">
        <v>0</v>
      </c>
      <c r="F153" s="401">
        <v>-0.41208384000000003</v>
      </c>
      <c r="G153" s="496"/>
      <c r="H153" s="496"/>
    </row>
    <row r="154" spans="1:8">
      <c r="A154" s="480">
        <v>19</v>
      </c>
      <c r="B154" s="402" t="s">
        <v>1208</v>
      </c>
      <c r="D154" s="401">
        <v>-3.2457352284325197E-2</v>
      </c>
      <c r="E154" s="401">
        <v>-4.495381108898755E-2</v>
      </c>
      <c r="F154" s="401">
        <v>1.4</v>
      </c>
      <c r="G154" s="496"/>
      <c r="H154" s="496"/>
    </row>
    <row r="155" spans="1:8">
      <c r="A155" s="480">
        <v>20</v>
      </c>
      <c r="B155" s="402" t="s">
        <v>1209</v>
      </c>
      <c r="D155" s="401">
        <v>0</v>
      </c>
      <c r="E155" s="401">
        <v>0</v>
      </c>
      <c r="F155" s="401">
        <v>2.0155498399999994</v>
      </c>
      <c r="G155" s="496"/>
      <c r="H155" s="496"/>
    </row>
    <row r="156" spans="1:8">
      <c r="A156" s="480">
        <v>21</v>
      </c>
      <c r="B156" s="402" t="s">
        <v>1210</v>
      </c>
      <c r="D156" s="401">
        <v>-677.61441932974071</v>
      </c>
      <c r="E156" s="401">
        <v>-734.87353840955132</v>
      </c>
      <c r="F156" s="401">
        <v>-678.51367758640549</v>
      </c>
      <c r="G156" s="496"/>
      <c r="H156" s="496"/>
    </row>
    <row r="157" spans="1:8" ht="18.649999999999999" customHeight="1">
      <c r="A157" s="480"/>
      <c r="B157" s="339" t="s">
        <v>623</v>
      </c>
      <c r="C157" s="29" t="s">
        <v>522</v>
      </c>
      <c r="D157" s="515">
        <f>SUM(D137:D156)</f>
        <v>-697.99947857449308</v>
      </c>
      <c r="E157" s="515">
        <f t="shared" ref="E157:F157" si="58">SUM(E137:E156)</f>
        <v>-770.297918528948</v>
      </c>
      <c r="F157" s="515">
        <f t="shared" si="58"/>
        <v>-711.45601276541424</v>
      </c>
      <c r="G157" s="515">
        <f t="shared" ref="G157:H157" si="59">SUM(G137:G153)</f>
        <v>0</v>
      </c>
      <c r="H157" s="515">
        <f t="shared" si="59"/>
        <v>0</v>
      </c>
    </row>
    <row r="158" spans="1:8">
      <c r="A158" s="480"/>
      <c r="B158" s="495" t="s">
        <v>624</v>
      </c>
      <c r="C158" s="482"/>
      <c r="D158" s="482"/>
      <c r="E158" s="482"/>
      <c r="F158" s="482"/>
      <c r="G158" s="482"/>
      <c r="H158" s="482"/>
    </row>
    <row r="159" spans="1:8">
      <c r="A159" s="480">
        <v>15</v>
      </c>
      <c r="B159" s="402" t="s">
        <v>1211</v>
      </c>
      <c r="C159" s="29" t="s">
        <v>522</v>
      </c>
      <c r="D159" s="401">
        <v>-2.2717923500000001</v>
      </c>
      <c r="E159" s="401">
        <v>-1.9369548802289609</v>
      </c>
      <c r="F159" s="401">
        <v>-1.8855746912823077</v>
      </c>
      <c r="G159" s="401"/>
      <c r="H159" s="401"/>
    </row>
    <row r="160" spans="1:8">
      <c r="A160" s="480">
        <v>16</v>
      </c>
      <c r="B160" s="402" t="s">
        <v>1212</v>
      </c>
      <c r="C160" s="29" t="s">
        <v>522</v>
      </c>
      <c r="D160" s="401">
        <v>-56</v>
      </c>
      <c r="E160" s="401">
        <v>-31</v>
      </c>
      <c r="F160" s="401">
        <v>-41</v>
      </c>
      <c r="G160" s="401"/>
      <c r="H160" s="401"/>
    </row>
    <row r="161" spans="1:19">
      <c r="A161" s="480">
        <v>17</v>
      </c>
      <c r="B161" s="402" t="s">
        <v>1213</v>
      </c>
      <c r="C161" s="29" t="s">
        <v>522</v>
      </c>
      <c r="D161" s="401">
        <v>-2.5877505599999999</v>
      </c>
      <c r="E161" s="401">
        <v>-2.30118592</v>
      </c>
      <c r="F161" s="401">
        <v>-1.2963666200000001</v>
      </c>
      <c r="G161" s="401"/>
      <c r="H161" s="401"/>
    </row>
    <row r="162" spans="1:19">
      <c r="A162" s="480">
        <v>18</v>
      </c>
      <c r="B162" s="402" t="s">
        <v>1193</v>
      </c>
      <c r="C162" s="29" t="s">
        <v>522</v>
      </c>
      <c r="D162" s="401">
        <v>0</v>
      </c>
      <c r="E162" s="401">
        <v>-1.6748000000000001</v>
      </c>
      <c r="F162" s="401">
        <v>0</v>
      </c>
      <c r="G162" s="401"/>
      <c r="H162" s="401"/>
      <c r="R162" s="114"/>
      <c r="S162" s="114"/>
    </row>
    <row r="163" spans="1:19">
      <c r="A163" s="480">
        <v>19</v>
      </c>
      <c r="B163" s="402" t="s">
        <v>1214</v>
      </c>
      <c r="C163" s="29" t="s">
        <v>522</v>
      </c>
      <c r="D163" s="401">
        <v>0</v>
      </c>
      <c r="E163" s="401">
        <v>0</v>
      </c>
      <c r="F163" s="401">
        <v>5.4841336000000016</v>
      </c>
      <c r="G163" s="401"/>
      <c r="H163" s="401"/>
      <c r="R163" s="114"/>
      <c r="S163" s="114"/>
    </row>
    <row r="164" spans="1:19">
      <c r="A164" s="480">
        <v>20</v>
      </c>
      <c r="B164" s="402" t="s">
        <v>1206</v>
      </c>
      <c r="C164" s="29" t="s">
        <v>522</v>
      </c>
      <c r="D164" s="401">
        <v>0</v>
      </c>
      <c r="E164" s="401">
        <v>0</v>
      </c>
      <c r="F164" s="401">
        <v>-13.588519280000002</v>
      </c>
      <c r="G164" s="401"/>
      <c r="H164" s="401"/>
      <c r="R164" s="114"/>
      <c r="S164" s="114"/>
    </row>
    <row r="165" spans="1:19">
      <c r="A165" s="480">
        <v>21</v>
      </c>
      <c r="B165" s="402" t="s">
        <v>1207</v>
      </c>
      <c r="C165" s="29" t="s">
        <v>522</v>
      </c>
      <c r="D165" s="401">
        <v>0</v>
      </c>
      <c r="E165" s="401">
        <v>0</v>
      </c>
      <c r="F165" s="401">
        <v>0.41208384000000003</v>
      </c>
      <c r="G165" s="401"/>
      <c r="H165" s="401"/>
      <c r="R165" s="114"/>
      <c r="S165" s="114"/>
    </row>
    <row r="166" spans="1:19">
      <c r="A166" s="480">
        <v>22</v>
      </c>
      <c r="B166" s="402" t="s">
        <v>1215</v>
      </c>
      <c r="D166" s="401">
        <v>-487.18830579750579</v>
      </c>
      <c r="E166" s="401">
        <v>-587.0405621598951</v>
      </c>
      <c r="F166" s="401">
        <v>-693.64419108650509</v>
      </c>
      <c r="G166" s="1297"/>
      <c r="H166" s="1297"/>
      <c r="R166" s="114"/>
      <c r="S166" s="114"/>
    </row>
    <row r="167" spans="1:19">
      <c r="A167" s="480">
        <v>23</v>
      </c>
      <c r="B167" s="402" t="s">
        <v>553</v>
      </c>
      <c r="D167" s="401">
        <v>0</v>
      </c>
      <c r="E167" s="401">
        <v>0</v>
      </c>
      <c r="F167" s="401">
        <v>0.2</v>
      </c>
      <c r="G167" s="1297"/>
      <c r="H167" s="1297"/>
      <c r="R167" s="114"/>
      <c r="S167" s="114"/>
    </row>
    <row r="168" spans="1:19">
      <c r="A168" s="480">
        <v>24</v>
      </c>
      <c r="B168" s="402" t="s">
        <v>616</v>
      </c>
      <c r="D168" s="1296"/>
      <c r="E168" s="1296"/>
      <c r="F168" s="488"/>
      <c r="G168" s="1297"/>
      <c r="H168" s="1297"/>
      <c r="R168" s="114"/>
      <c r="S168" s="114"/>
    </row>
    <row r="169" spans="1:19" ht="19.5" customHeight="1" thickBot="1">
      <c r="A169" s="480"/>
      <c r="B169" s="339" t="s">
        <v>625</v>
      </c>
      <c r="C169" s="29" t="s">
        <v>522</v>
      </c>
      <c r="D169" s="516">
        <f>SUM(D159:D168)</f>
        <v>-548.04784870750575</v>
      </c>
      <c r="E169" s="516">
        <f t="shared" ref="E169:F169" si="60">SUM(E159:E168)</f>
        <v>-623.95350296012407</v>
      </c>
      <c r="F169" s="516">
        <f t="shared" si="60"/>
        <v>-745.3184342377873</v>
      </c>
      <c r="G169" s="516">
        <f t="shared" ref="G169:H169" si="61">SUM(G159:G165)</f>
        <v>0</v>
      </c>
      <c r="H169" s="516">
        <f t="shared" si="61"/>
        <v>0</v>
      </c>
      <c r="R169" s="114"/>
      <c r="S169" s="114"/>
    </row>
    <row r="170" spans="1:19" ht="17.5" customHeight="1" thickBot="1">
      <c r="B170" s="482" t="s">
        <v>626</v>
      </c>
      <c r="C170" s="29" t="s">
        <v>522</v>
      </c>
      <c r="D170" s="517">
        <f>D135+D157+D169</f>
        <v>-1648.5124510519991</v>
      </c>
      <c r="E170" s="518">
        <f>E135+E157+E169</f>
        <v>-1816.296161389072</v>
      </c>
      <c r="F170" s="518">
        <f>F135+F157+F169</f>
        <v>-1918.7744470032017</v>
      </c>
      <c r="G170" s="518">
        <f>G135+G157+G169</f>
        <v>0</v>
      </c>
      <c r="H170" s="519">
        <f>H135+H157+H169</f>
        <v>0</v>
      </c>
      <c r="R170" s="114"/>
      <c r="S170" s="114"/>
    </row>
    <row r="171" spans="1:19">
      <c r="B171" s="339"/>
      <c r="D171" s="494"/>
      <c r="E171" s="494"/>
      <c r="F171" s="494"/>
      <c r="G171" s="494"/>
      <c r="H171" s="494"/>
      <c r="R171" s="114"/>
      <c r="S171" s="114"/>
    </row>
    <row r="172" spans="1:19">
      <c r="B172" s="482" t="s">
        <v>627</v>
      </c>
      <c r="C172" s="29" t="s">
        <v>522</v>
      </c>
      <c r="D172" s="498">
        <f>D170+D131</f>
        <v>376.69197851800095</v>
      </c>
      <c r="E172" s="498">
        <f>E170+E131</f>
        <v>411.65838767092782</v>
      </c>
      <c r="F172" s="498">
        <f>F170+F131</f>
        <v>412.55348466679834</v>
      </c>
      <c r="G172" s="498">
        <f>G170+G131</f>
        <v>0</v>
      </c>
      <c r="H172" s="498">
        <f>H170+H131</f>
        <v>0</v>
      </c>
      <c r="R172" s="428"/>
      <c r="S172" s="114"/>
    </row>
    <row r="173" spans="1:19">
      <c r="B173" s="1219" t="s">
        <v>628</v>
      </c>
      <c r="C173" s="29" t="str">
        <f>Price_basis</f>
        <v>£m 18/19</v>
      </c>
      <c r="D173" s="497">
        <v>347.25082748875769</v>
      </c>
      <c r="E173" s="497">
        <v>348.87373872248628</v>
      </c>
      <c r="F173" s="497">
        <v>331.29607262965862</v>
      </c>
      <c r="G173" s="497"/>
      <c r="H173" s="497"/>
      <c r="I173" s="339" t="s">
        <v>629</v>
      </c>
      <c r="R173" s="114"/>
      <c r="S173" s="114"/>
    </row>
    <row r="174" spans="1:19">
      <c r="B174" s="1219" t="s">
        <v>630</v>
      </c>
      <c r="C174" s="29" t="s">
        <v>522</v>
      </c>
      <c r="D174" s="497">
        <v>0</v>
      </c>
      <c r="E174" s="497">
        <v>0</v>
      </c>
      <c r="F174" s="497">
        <v>0</v>
      </c>
      <c r="G174" s="497"/>
      <c r="H174" s="497"/>
      <c r="I174" s="339" t="s">
        <v>629</v>
      </c>
    </row>
    <row r="175" spans="1:19">
      <c r="B175" s="339" t="s">
        <v>631</v>
      </c>
      <c r="C175" s="29" t="s">
        <v>522</v>
      </c>
      <c r="D175" s="520">
        <f>IF(Licensee="ESO",D174, IF(Sector="ED2",D174,D173*INDEX(real_to_nominal_CF,MATCH(D6,calendar_year,0))))</f>
        <v>376.69197851800101</v>
      </c>
      <c r="E175" s="520">
        <f>IF(Licensee="ESO",E174, IF(Sector="ED2",E174,E173*INDEX(real_to_nominal_CF,MATCH(E6,calendar_year,0))))</f>
        <v>411.65838767092788</v>
      </c>
      <c r="F175" s="520">
        <f>IF(Licensee="ESO",F174, IF(Sector="ED2",F174,F173*INDEX(real_to_nominal_CF,MATCH(F6,calendar_year,0))))</f>
        <v>412.60117944818012</v>
      </c>
      <c r="G175" s="520">
        <f>IF(Licensee="ESO",G174, IF(Sector="ED2",G174,G173*INDEX(real_to_nominal_CF,MATCH(G6,calendar_year,0))))</f>
        <v>0</v>
      </c>
      <c r="H175" s="520">
        <f>IF(Licensee="ESO",H174, IF(Sector="ED2",H174,H173*INDEX(real_to_nominal_CF,MATCH(H6,calendar_year,0))))</f>
        <v>0</v>
      </c>
      <c r="I175" s="114"/>
      <c r="R175" s="114"/>
      <c r="S175" s="114"/>
    </row>
    <row r="176" spans="1:19">
      <c r="B176" s="339"/>
      <c r="C176" s="29" t="s">
        <v>632</v>
      </c>
      <c r="D176" s="521" t="str">
        <f>IF(ISNUMBER(D175),IF(D$108="Actuals",IF(ABS(D172-D175)&lt;materiality_threshold,"OK","ERROR"),"N/A"),"'NA'")</f>
        <v>OK</v>
      </c>
      <c r="E176" s="521" t="str">
        <f>IF(ISNUMBER(E175),IF(E$108="Actuals",IF(ABS(E172-E175)&lt;materiality_threshold,"OK","ERROR"),"N/A"),"'NA'")</f>
        <v>OK</v>
      </c>
      <c r="F176" s="521" t="str">
        <f>IF(ISNUMBER(F175),IF(F$108="Actuals",IF(ABS(F172-F175)&lt;materiality_threshold,"OK","ERROR"),"N/A"),"'NA'")</f>
        <v>OK</v>
      </c>
      <c r="G176" s="521" t="str">
        <f>IF(ISNUMBER(G175),"N/A",IF(G$108="Actuals",IF(ABS(G172-G175)&lt;materiality_threshold,"OK","ERROR"),"N/A"))</f>
        <v>N/A</v>
      </c>
      <c r="H176" s="521" t="str">
        <f>IF(ISNUMBER(H175),"N/A",IF(H$108="Actuals",IF(ABS(H172-H175)&lt;materiality_threshold,"OK","ERROR"),"N/A"))</f>
        <v>N/A</v>
      </c>
      <c r="I176" s="339" t="s">
        <v>633</v>
      </c>
      <c r="R176" s="114"/>
      <c r="S176" s="114"/>
    </row>
    <row r="177" spans="1:19">
      <c r="B177" s="339" t="s">
        <v>244</v>
      </c>
      <c r="R177" s="114"/>
      <c r="S177" s="114"/>
    </row>
    <row r="178" spans="1:19">
      <c r="B178" s="482" t="s">
        <v>634</v>
      </c>
    </row>
    <row r="179" spans="1:19">
      <c r="A179" s="480">
        <v>1</v>
      </c>
      <c r="B179" s="402" t="s">
        <v>1216</v>
      </c>
      <c r="C179" s="29" t="s">
        <v>522</v>
      </c>
      <c r="D179" s="401">
        <v>14.79920598494741</v>
      </c>
      <c r="E179" s="401">
        <v>15.328529886989401</v>
      </c>
      <c r="F179" s="401">
        <v>7.0954845270483986</v>
      </c>
      <c r="G179" s="401"/>
      <c r="H179" s="401"/>
    </row>
    <row r="180" spans="1:19">
      <c r="A180" s="480">
        <v>2</v>
      </c>
      <c r="B180" s="402" t="s">
        <v>1217</v>
      </c>
      <c r="C180" s="29" t="s">
        <v>522</v>
      </c>
      <c r="D180" s="401">
        <v>2.6548679160000002</v>
      </c>
      <c r="E180" s="401">
        <v>2.7494578753800001</v>
      </c>
      <c r="F180" s="401">
        <v>3.1423785371876662</v>
      </c>
      <c r="G180" s="475"/>
      <c r="H180" s="475"/>
    </row>
    <row r="181" spans="1:19">
      <c r="A181" s="480">
        <v>3</v>
      </c>
      <c r="B181" s="402" t="s">
        <v>1218</v>
      </c>
      <c r="C181" s="29" t="s">
        <v>522</v>
      </c>
      <c r="D181" s="401">
        <v>50.576025600000008</v>
      </c>
      <c r="E181" s="401">
        <v>50.576025600000015</v>
      </c>
      <c r="F181" s="401">
        <v>42.006198865940632</v>
      </c>
      <c r="G181" s="475"/>
      <c r="H181" s="475"/>
    </row>
    <row r="182" spans="1:19">
      <c r="A182" s="480">
        <v>4</v>
      </c>
      <c r="B182" s="402" t="s">
        <v>1203</v>
      </c>
      <c r="C182" s="29" t="s">
        <v>522</v>
      </c>
      <c r="D182" s="401">
        <v>7.8821960522478731</v>
      </c>
      <c r="E182" s="401">
        <v>7.8418883697375463</v>
      </c>
      <c r="F182" s="401">
        <v>0</v>
      </c>
      <c r="G182" s="475"/>
      <c r="H182" s="475"/>
    </row>
    <row r="183" spans="1:19">
      <c r="A183" s="480">
        <v>5</v>
      </c>
      <c r="B183" s="402" t="s">
        <v>1219</v>
      </c>
      <c r="C183" s="29" t="s">
        <v>522</v>
      </c>
      <c r="D183" s="401">
        <v>40.064948080000001</v>
      </c>
      <c r="E183" s="401">
        <v>39.824008766260071</v>
      </c>
      <c r="F183" s="401">
        <v>32.195016539999997</v>
      </c>
      <c r="G183" s="475"/>
      <c r="H183" s="475"/>
    </row>
    <row r="184" spans="1:19">
      <c r="A184" s="480">
        <v>6</v>
      </c>
      <c r="B184" s="402" t="s">
        <v>1220</v>
      </c>
      <c r="C184" s="29" t="s">
        <v>522</v>
      </c>
      <c r="D184" s="401">
        <v>3.8096813258613555</v>
      </c>
      <c r="E184" s="401">
        <v>3.0761204869529668</v>
      </c>
      <c r="F184" s="401">
        <v>3.5665573854120809</v>
      </c>
      <c r="G184" s="475"/>
      <c r="H184" s="475"/>
    </row>
    <row r="185" spans="1:19">
      <c r="A185" s="480">
        <v>7</v>
      </c>
      <c r="B185" s="402" t="s">
        <v>1221</v>
      </c>
      <c r="C185" s="29" t="s">
        <v>522</v>
      </c>
      <c r="D185" s="401">
        <v>0.63234815318852788</v>
      </c>
      <c r="E185" s="401">
        <v>0.84785869348557297</v>
      </c>
      <c r="F185" s="401">
        <v>0</v>
      </c>
      <c r="G185" s="475"/>
      <c r="H185" s="475"/>
    </row>
    <row r="186" spans="1:19">
      <c r="A186" s="480">
        <v>8</v>
      </c>
      <c r="B186" s="402" t="s">
        <v>1222</v>
      </c>
      <c r="C186" s="29" t="s">
        <v>522</v>
      </c>
      <c r="D186" s="401">
        <v>0.47129999999999994</v>
      </c>
      <c r="E186" s="401">
        <v>1.0031500957750994</v>
      </c>
      <c r="F186" s="401">
        <v>0.19553053103371332</v>
      </c>
      <c r="G186" s="475"/>
      <c r="H186" s="475"/>
    </row>
    <row r="187" spans="1:19">
      <c r="A187" s="480">
        <v>9</v>
      </c>
      <c r="B187" s="402" t="s">
        <v>1202</v>
      </c>
      <c r="C187" s="29" t="s">
        <v>522</v>
      </c>
      <c r="D187" s="401">
        <v>0.85310900000000001</v>
      </c>
      <c r="E187" s="401">
        <v>1.5523880925</v>
      </c>
      <c r="F187" s="401">
        <v>-5.8374460303569978E-2</v>
      </c>
      <c r="G187" s="475"/>
      <c r="H187" s="475"/>
    </row>
    <row r="188" spans="1:19">
      <c r="A188" s="480">
        <v>10</v>
      </c>
      <c r="B188" s="402" t="s">
        <v>553</v>
      </c>
      <c r="C188" s="29" t="s">
        <v>522</v>
      </c>
      <c r="D188" s="401">
        <v>0</v>
      </c>
      <c r="E188" s="401">
        <v>0</v>
      </c>
      <c r="F188" s="401">
        <v>0</v>
      </c>
      <c r="G188" s="475"/>
      <c r="H188" s="475"/>
    </row>
    <row r="189" spans="1:19">
      <c r="A189" s="480">
        <v>11</v>
      </c>
      <c r="B189" s="402" t="s">
        <v>553</v>
      </c>
      <c r="C189" s="29" t="s">
        <v>522</v>
      </c>
      <c r="D189" s="401">
        <v>0</v>
      </c>
      <c r="E189" s="401">
        <v>0</v>
      </c>
      <c r="F189" s="401">
        <v>0</v>
      </c>
      <c r="G189" s="475"/>
      <c r="H189" s="475"/>
    </row>
    <row r="190" spans="1:19">
      <c r="A190" s="480">
        <v>12</v>
      </c>
      <c r="B190" s="402" t="s">
        <v>553</v>
      </c>
      <c r="C190" s="29" t="s">
        <v>522</v>
      </c>
      <c r="D190" s="401">
        <v>0</v>
      </c>
      <c r="E190" s="401">
        <v>0</v>
      </c>
      <c r="F190" s="401">
        <v>0</v>
      </c>
      <c r="G190" s="475"/>
      <c r="H190" s="475"/>
    </row>
    <row r="191" spans="1:19">
      <c r="A191" s="480">
        <v>13</v>
      </c>
      <c r="B191" s="402" t="s">
        <v>553</v>
      </c>
      <c r="C191" s="29" t="s">
        <v>522</v>
      </c>
      <c r="D191" s="401">
        <v>0</v>
      </c>
      <c r="E191" s="401">
        <v>0</v>
      </c>
      <c r="F191" s="401">
        <v>0</v>
      </c>
      <c r="G191" s="475"/>
      <c r="H191" s="475"/>
    </row>
    <row r="192" spans="1:19">
      <c r="A192" s="480">
        <v>14</v>
      </c>
      <c r="B192" s="402" t="s">
        <v>553</v>
      </c>
      <c r="C192" s="29" t="s">
        <v>522</v>
      </c>
      <c r="D192" s="401">
        <v>0</v>
      </c>
      <c r="E192" s="401">
        <v>0</v>
      </c>
      <c r="F192" s="401">
        <v>0</v>
      </c>
      <c r="G192" s="475"/>
      <c r="H192" s="475"/>
      <c r="R192" s="114"/>
      <c r="S192" s="114"/>
    </row>
    <row r="193" spans="1:19">
      <c r="A193" s="480">
        <v>15</v>
      </c>
      <c r="B193" s="402" t="s">
        <v>553</v>
      </c>
      <c r="C193" s="29" t="s">
        <v>522</v>
      </c>
      <c r="D193" s="401">
        <v>0</v>
      </c>
      <c r="E193" s="401">
        <v>0</v>
      </c>
      <c r="F193" s="401">
        <v>0</v>
      </c>
      <c r="G193" s="475"/>
      <c r="H193" s="475"/>
      <c r="R193" s="114"/>
      <c r="S193" s="114"/>
    </row>
    <row r="194" spans="1:19">
      <c r="A194" s="480">
        <v>16</v>
      </c>
      <c r="B194" s="402" t="s">
        <v>553</v>
      </c>
      <c r="C194" s="29" t="s">
        <v>522</v>
      </c>
      <c r="D194" s="401">
        <v>0</v>
      </c>
      <c r="E194" s="401">
        <v>0</v>
      </c>
      <c r="F194" s="401">
        <v>0</v>
      </c>
      <c r="G194" s="475"/>
      <c r="H194" s="475"/>
      <c r="R194" s="114"/>
      <c r="S194" s="114"/>
    </row>
    <row r="195" spans="1:19">
      <c r="A195" s="480">
        <v>17</v>
      </c>
      <c r="B195" s="402" t="s">
        <v>553</v>
      </c>
      <c r="C195" s="29" t="s">
        <v>522</v>
      </c>
      <c r="D195" s="401">
        <v>0</v>
      </c>
      <c r="E195" s="401">
        <v>0</v>
      </c>
      <c r="F195" s="401">
        <v>0</v>
      </c>
      <c r="G195" s="475"/>
      <c r="H195" s="475"/>
      <c r="R195" s="114"/>
      <c r="S195" s="114"/>
    </row>
    <row r="196" spans="1:19">
      <c r="A196" s="480">
        <v>18</v>
      </c>
      <c r="B196" s="402" t="s">
        <v>553</v>
      </c>
      <c r="C196" s="29" t="s">
        <v>522</v>
      </c>
      <c r="D196" s="401">
        <v>0</v>
      </c>
      <c r="E196" s="401">
        <v>0</v>
      </c>
      <c r="F196" s="401">
        <v>0</v>
      </c>
      <c r="G196" s="475"/>
      <c r="H196" s="475"/>
      <c r="R196" s="114"/>
      <c r="S196" s="114"/>
    </row>
    <row r="197" spans="1:19">
      <c r="A197" s="480">
        <v>19</v>
      </c>
      <c r="B197" s="402" t="s">
        <v>553</v>
      </c>
      <c r="C197" s="29" t="s">
        <v>522</v>
      </c>
      <c r="D197" s="401">
        <v>0</v>
      </c>
      <c r="E197" s="401">
        <v>0</v>
      </c>
      <c r="F197" s="401">
        <v>0</v>
      </c>
      <c r="G197" s="475"/>
      <c r="H197" s="475"/>
      <c r="R197" s="114"/>
      <c r="S197" s="114"/>
    </row>
    <row r="198" spans="1:19">
      <c r="A198" s="480">
        <v>20</v>
      </c>
      <c r="B198" s="402" t="s">
        <v>553</v>
      </c>
      <c r="C198" s="29" t="s">
        <v>522</v>
      </c>
      <c r="D198" s="401">
        <v>0</v>
      </c>
      <c r="E198" s="401">
        <v>0</v>
      </c>
      <c r="F198" s="401">
        <v>0</v>
      </c>
      <c r="G198" s="475"/>
      <c r="H198" s="475"/>
      <c r="R198" s="114"/>
      <c r="S198" s="114"/>
    </row>
    <row r="199" spans="1:19">
      <c r="A199" s="480">
        <v>21</v>
      </c>
      <c r="B199" s="402" t="s">
        <v>553</v>
      </c>
      <c r="C199" s="29" t="s">
        <v>522</v>
      </c>
      <c r="D199" s="483">
        <v>0</v>
      </c>
      <c r="E199" s="475">
        <v>0</v>
      </c>
      <c r="F199" s="475">
        <v>0</v>
      </c>
      <c r="G199" s="475"/>
      <c r="H199" s="475"/>
      <c r="R199" s="114"/>
      <c r="S199" s="114"/>
    </row>
    <row r="200" spans="1:19">
      <c r="A200" s="480">
        <v>22</v>
      </c>
      <c r="B200" s="402" t="s">
        <v>553</v>
      </c>
      <c r="C200" s="29" t="s">
        <v>522</v>
      </c>
      <c r="D200" s="483">
        <v>0</v>
      </c>
      <c r="E200" s="475">
        <v>0</v>
      </c>
      <c r="F200" s="475">
        <v>0</v>
      </c>
      <c r="G200" s="475"/>
      <c r="H200" s="475"/>
      <c r="R200" s="114"/>
      <c r="S200" s="114"/>
    </row>
    <row r="201" spans="1:19">
      <c r="A201" s="480">
        <v>23</v>
      </c>
      <c r="B201" s="402" t="s">
        <v>553</v>
      </c>
      <c r="C201" s="29" t="s">
        <v>522</v>
      </c>
      <c r="D201" s="483">
        <v>0</v>
      </c>
      <c r="E201" s="475">
        <v>0</v>
      </c>
      <c r="F201" s="475">
        <v>0</v>
      </c>
      <c r="G201" s="475"/>
      <c r="H201" s="475"/>
      <c r="R201" s="114"/>
      <c r="S201" s="114"/>
    </row>
    <row r="202" spans="1:19">
      <c r="A202" s="480">
        <v>24</v>
      </c>
      <c r="B202" s="402" t="s">
        <v>553</v>
      </c>
      <c r="C202" s="29" t="s">
        <v>522</v>
      </c>
      <c r="D202" s="483">
        <v>0</v>
      </c>
      <c r="E202" s="475">
        <v>0</v>
      </c>
      <c r="F202" s="475">
        <v>0</v>
      </c>
      <c r="G202" s="475"/>
      <c r="H202" s="475"/>
      <c r="R202" s="428"/>
      <c r="S202" s="114"/>
    </row>
    <row r="203" spans="1:19">
      <c r="A203" s="480">
        <v>25</v>
      </c>
      <c r="B203" s="402" t="s">
        <v>553</v>
      </c>
      <c r="C203" s="29" t="s">
        <v>522</v>
      </c>
      <c r="D203" s="483">
        <v>0</v>
      </c>
      <c r="E203" s="475">
        <v>0</v>
      </c>
      <c r="F203" s="475">
        <v>0</v>
      </c>
      <c r="G203" s="475"/>
      <c r="H203" s="475"/>
      <c r="R203" s="114"/>
      <c r="S203" s="114"/>
    </row>
    <row r="204" spans="1:19">
      <c r="B204" s="482" t="s">
        <v>635</v>
      </c>
      <c r="C204" s="29" t="s">
        <v>522</v>
      </c>
      <c r="D204" s="498">
        <f>SUM(D179:D203)</f>
        <v>121.74368211224518</v>
      </c>
      <c r="E204" s="498">
        <f t="shared" ref="E204:H204" si="62">SUM(E179:E203)</f>
        <v>122.79942786708067</v>
      </c>
      <c r="F204" s="498">
        <f t="shared" si="62"/>
        <v>88.142791926318921</v>
      </c>
      <c r="G204" s="498">
        <f t="shared" si="62"/>
        <v>0</v>
      </c>
      <c r="H204" s="498">
        <f t="shared" si="62"/>
        <v>0</v>
      </c>
      <c r="R204" s="114"/>
      <c r="S204" s="114"/>
    </row>
    <row r="205" spans="1:19">
      <c r="B205" s="339"/>
      <c r="D205" s="29"/>
      <c r="E205" s="29"/>
      <c r="F205" s="29"/>
      <c r="G205" s="29"/>
      <c r="H205" s="29"/>
      <c r="I205" s="29"/>
      <c r="J205" s="29"/>
      <c r="R205" s="114"/>
      <c r="S205" s="114"/>
    </row>
    <row r="206" spans="1:19">
      <c r="B206" s="482" t="s">
        <v>636</v>
      </c>
      <c r="C206" s="29" t="s">
        <v>522</v>
      </c>
      <c r="D206" s="498">
        <f>D172-D204</f>
        <v>254.94829640575577</v>
      </c>
      <c r="E206" s="498">
        <f t="shared" ref="E206:H206" si="63">E172-E204</f>
        <v>288.85895980384714</v>
      </c>
      <c r="F206" s="498">
        <f t="shared" si="63"/>
        <v>324.41069274047942</v>
      </c>
      <c r="G206" s="498">
        <f t="shared" si="63"/>
        <v>0</v>
      </c>
      <c r="H206" s="498">
        <f t="shared" si="63"/>
        <v>0</v>
      </c>
    </row>
    <row r="207" spans="1:19">
      <c r="B207" s="482" t="s">
        <v>637</v>
      </c>
      <c r="C207" s="29" t="s">
        <v>522</v>
      </c>
      <c r="D207" s="522">
        <f>('R3 - Totex - Reconciliation'!D$13+'R3 - Totex - Reconciliation'!D$47+'R3 - Totex - Reconciliation'!D76)*INDEX(real_to_nominal_CF,MATCH(D$109,calendar_year,0))</f>
        <v>254.94831302202107</v>
      </c>
      <c r="E207" s="522">
        <f>('R3 - Totex - Reconciliation'!E$13+'R3 - Totex - Reconciliation'!E$47+'R3 - Totex - Reconciliation'!E76)*INDEX(real_to_nominal_CF,MATCH(E$109,calendar_year,0))</f>
        <v>288.81937919336974</v>
      </c>
      <c r="F207" s="522">
        <f>('R3 - Totex - Reconciliation'!F$13+'R3 - Totex - Reconciliation'!F$47+'R3 - Totex - Reconciliation'!F76)*INDEX(real_to_nominal_CF,MATCH(F$109,calendar_year,0))</f>
        <v>324.4583875218612</v>
      </c>
      <c r="G207" s="522">
        <f>('R3 - Totex - Reconciliation'!G$13+'R3 - Totex - Reconciliation'!G$47+'R3 - Totex - Reconciliation'!G76)*INDEX(real_to_nominal_CF,MATCH(G$109,calendar_year,0))</f>
        <v>312.75424089328072</v>
      </c>
      <c r="H207" s="523">
        <f>('R3 - Totex - Reconciliation'!H$13+'R3 - Totex - Reconciliation'!H$47+'R3 - Totex - Reconciliation'!H76)*INDEX(real_to_nominal_CF,MATCH(H$109,calendar_year,0))</f>
        <v>314.76299131061307</v>
      </c>
      <c r="I207" s="339" t="s">
        <v>638</v>
      </c>
    </row>
    <row r="208" spans="1:19">
      <c r="B208" s="339"/>
      <c r="C208" s="29" t="s">
        <v>632</v>
      </c>
      <c r="D208" s="524" t="str">
        <f>IF(D$108="Actuals",IF(ABS(D206-('R3 - Totex - Reconciliation'!D13+'R3 - Totex - Reconciliation'!D47+D76)*INDEX(real_to_nominal_CF,MATCH(D6,Data!$F$33:$L$33,0)))&lt;materiality_threshold,"OK","Error"),"N/A")</f>
        <v>OK</v>
      </c>
      <c r="E208" s="524" t="str">
        <f>IF(E$108="Actuals",IF(ABS(E206-('R3 - Totex - Reconciliation'!E13+'R3 - Totex - Reconciliation'!E47+E76)*INDEX(real_to_nominal_CF,MATCH(E6,Data!$F$33:$L$33,0)))&lt;materiality_threshold,"OK","Error"),"N/A")</f>
        <v>OK</v>
      </c>
      <c r="F208" s="524" t="str">
        <f>IF(F$108="Actuals",IF(ABS(F206-('R3 - Totex - Reconciliation'!F13+'R3 - Totex - Reconciliation'!F47+F76)*INDEX(real_to_nominal_CF,MATCH(F6,Data!$F$33:$L$33,0)))&lt;materiality_threshold,"OK","Error"),"N/A")</f>
        <v>OK</v>
      </c>
      <c r="G208" s="524" t="str">
        <f>IF(G$108="Actuals",IF(ABS(G206-('R3 - Totex - Reconciliation'!G13+'R3 - Totex - Reconciliation'!G47+G76)*INDEX(real_to_nominal_CF,MATCH(G6,Data!$F$33:$L$33,0)))&lt;materiality_threshold,"OK","Error"),"N/A")</f>
        <v>N/A</v>
      </c>
      <c r="H208" s="524" t="str">
        <f>IF(H$108="Actuals",IF(ABS(H206-('R3 - Totex - Reconciliation'!H13+'R3 - Totex - Reconciliation'!H47+H76)*INDEX(real_to_nominal_CF,MATCH(H6,Data!$F$33:$L$33,0)))&lt;materiality_threshold,"OK","Error"),"N/A")</f>
        <v>N/A</v>
      </c>
      <c r="I208" s="339" t="s">
        <v>639</v>
      </c>
    </row>
    <row r="209" spans="2:19">
      <c r="B209" s="339"/>
      <c r="C209" s="339"/>
    </row>
    <row r="210" spans="2:19">
      <c r="B210" s="428" t="s">
        <v>640</v>
      </c>
    </row>
    <row r="212" spans="2:19">
      <c r="B212" s="429" t="s">
        <v>587</v>
      </c>
      <c r="C212" s="114"/>
      <c r="D212" s="114"/>
      <c r="E212" s="114"/>
      <c r="F212" s="114"/>
    </row>
    <row r="213" spans="2:19">
      <c r="B213" s="1357"/>
      <c r="C213" s="1358"/>
      <c r="D213" s="1358"/>
      <c r="E213" s="1358"/>
      <c r="F213" s="1360"/>
    </row>
    <row r="214" spans="2:19">
      <c r="B214" s="432"/>
      <c r="C214" s="433"/>
      <c r="D214" s="434"/>
      <c r="E214" s="435"/>
      <c r="F214" s="436"/>
    </row>
    <row r="215" spans="2:19">
      <c r="B215" s="432"/>
      <c r="C215" s="433"/>
      <c r="D215" s="434"/>
      <c r="E215" s="435"/>
      <c r="F215" s="436"/>
    </row>
    <row r="216" spans="2:19">
      <c r="B216" s="432"/>
      <c r="C216" s="433"/>
      <c r="D216" s="434"/>
      <c r="E216" s="435"/>
      <c r="F216" s="436"/>
    </row>
    <row r="217" spans="2:19">
      <c r="B217" s="432"/>
      <c r="C217" s="433"/>
      <c r="D217" s="434"/>
      <c r="E217" s="435"/>
      <c r="F217" s="436"/>
      <c r="R217" s="114"/>
      <c r="S217" s="114"/>
    </row>
    <row r="218" spans="2:19">
      <c r="B218" s="437"/>
      <c r="C218" s="438"/>
      <c r="D218" s="439"/>
      <c r="E218" s="440"/>
      <c r="F218" s="441"/>
    </row>
    <row r="235" s="339" customFormat="1"/>
    <row r="236" s="339" customFormat="1"/>
    <row r="237" s="339" customFormat="1"/>
    <row r="238" s="339" customFormat="1"/>
    <row r="239" s="339" customFormat="1"/>
    <row r="240" s="339" customFormat="1"/>
    <row r="241" spans="2:3">
      <c r="B241" s="339"/>
      <c r="C241" s="339"/>
    </row>
    <row r="242" spans="2:3">
      <c r="B242" s="339"/>
      <c r="C242" s="339"/>
    </row>
    <row r="246" spans="2:3" ht="12.75" customHeight="1"/>
    <row r="253" spans="2:3" ht="29.25" customHeight="1"/>
  </sheetData>
  <sheetProtection insertRows="0"/>
  <mergeCells count="2">
    <mergeCell ref="K15:M15"/>
    <mergeCell ref="B213:F213"/>
  </mergeCells>
  <phoneticPr fontId="260" type="noConversion"/>
  <conditionalFormatting sqref="B40">
    <cfRule type="expression" dxfId="71" priority="67">
      <formula>$B$51="n/a"</formula>
    </cfRule>
  </conditionalFormatting>
  <conditionalFormatting sqref="B69">
    <cfRule type="expression" dxfId="70" priority="66">
      <formula>$B$51="n/a"</formula>
    </cfRule>
  </conditionalFormatting>
  <conditionalFormatting sqref="B93">
    <cfRule type="expression" dxfId="69" priority="65">
      <formula>$B$51="n/a"</formula>
    </cfRule>
  </conditionalFormatting>
  <conditionalFormatting sqref="C23:C30">
    <cfRule type="expression" dxfId="68" priority="71">
      <formula>$B$45="n/a"</formula>
    </cfRule>
  </conditionalFormatting>
  <conditionalFormatting sqref="C33:C35">
    <cfRule type="expression" dxfId="67" priority="24">
      <formula>$B$45="n/a"</formula>
    </cfRule>
  </conditionalFormatting>
  <conditionalFormatting sqref="C37:C38">
    <cfRule type="expression" dxfId="66" priority="21">
      <formula>$B$45="n/a"</formula>
    </cfRule>
  </conditionalFormatting>
  <conditionalFormatting sqref="C45 B46:C54 B73:C73 Q73:T73 C74 B75:C84 B97:C97">
    <cfRule type="expression" dxfId="65" priority="88">
      <formula>$B$45="n/a"</formula>
    </cfRule>
  </conditionalFormatting>
  <conditionalFormatting sqref="C57:C59">
    <cfRule type="expression" dxfId="64" priority="70">
      <formula>$B$45="n/a"</formula>
    </cfRule>
  </conditionalFormatting>
  <conditionalFormatting sqref="C62:C64">
    <cfRule type="expression" dxfId="63" priority="22">
      <formula>$B$45="n/a"</formula>
    </cfRule>
  </conditionalFormatting>
  <conditionalFormatting sqref="C66:C67">
    <cfRule type="expression" dxfId="62" priority="20">
      <formula>$B$45="n/a"</formula>
    </cfRule>
  </conditionalFormatting>
  <conditionalFormatting sqref="C86:C88">
    <cfRule type="expression" dxfId="61" priority="68">
      <formula>$B$45="n/a"</formula>
    </cfRule>
  </conditionalFormatting>
  <conditionalFormatting sqref="C90:C91">
    <cfRule type="expression" dxfId="60" priority="27">
      <formula>$B$44="n/a"</formula>
    </cfRule>
  </conditionalFormatting>
  <conditionalFormatting sqref="D5:G6">
    <cfRule type="expression" dxfId="59" priority="92">
      <formula>AND(D$5="Actuals",E$5="Forecast")</formula>
    </cfRule>
  </conditionalFormatting>
  <conditionalFormatting sqref="D108:G109">
    <cfRule type="expression" dxfId="58" priority="84">
      <formula>AND(D$5="Actuals",E$5="N/A")</formula>
    </cfRule>
  </conditionalFormatting>
  <conditionalFormatting sqref="D7:H7">
    <cfRule type="expression" dxfId="57" priority="77">
      <formula>AND(D$5="Actuals",E$5="Forecast")</formula>
    </cfRule>
  </conditionalFormatting>
  <conditionalFormatting sqref="D110:H110">
    <cfRule type="expression" dxfId="56" priority="76">
      <formula>AND(D$5="Actuals",E$5="Forecast")</formula>
    </cfRule>
  </conditionalFormatting>
  <conditionalFormatting sqref="D113:H121 D124:H124 D135:H135">
    <cfRule type="expression" dxfId="55" priority="74">
      <formula>D$108="N/A"</formula>
    </cfRule>
  </conditionalFormatting>
  <conditionalFormatting sqref="D126:H129">
    <cfRule type="expression" dxfId="54" priority="7">
      <formula>D$108="N/A"</formula>
    </cfRule>
  </conditionalFormatting>
  <conditionalFormatting sqref="D131:H131">
    <cfRule type="expression" dxfId="53" priority="46">
      <formula>D$108="N/A"</formula>
    </cfRule>
  </conditionalFormatting>
  <conditionalFormatting sqref="D137:H157">
    <cfRule type="expression" dxfId="52" priority="2">
      <formula>D$108="N/A"</formula>
    </cfRule>
  </conditionalFormatting>
  <conditionalFormatting sqref="D159:H170">
    <cfRule type="expression" dxfId="51" priority="1">
      <formula>D$108="N/A"</formula>
    </cfRule>
  </conditionalFormatting>
  <conditionalFormatting sqref="D172:H174">
    <cfRule type="expression" dxfId="50" priority="37">
      <formula>D$108="N/A"</formula>
    </cfRule>
  </conditionalFormatting>
  <conditionalFormatting sqref="D177:H204">
    <cfRule type="expression" dxfId="49" priority="11">
      <formula>D$108="N/A"</formula>
    </cfRule>
  </conditionalFormatting>
  <conditionalFormatting sqref="G122:H122">
    <cfRule type="expression" dxfId="48" priority="64">
      <formula>G$108="N/A"</formula>
    </cfRule>
  </conditionalFormatting>
  <conditionalFormatting sqref="H5:H6">
    <cfRule type="expression" dxfId="47" priority="293">
      <formula>AND(H$5="Actuals",#REF!="Forecast")</formula>
    </cfRule>
  </conditionalFormatting>
  <conditionalFormatting sqref="H108:H109">
    <cfRule type="expression" dxfId="46" priority="310">
      <formula>AND(H$5="Actuals",#REF!="N/A")</formula>
    </cfRule>
  </conditionalFormatting>
  <pageMargins left="0.70866141732283472" right="0.70866141732283472" top="0.74803149606299213" bottom="0.74803149606299213" header="0.31496062992125984" footer="0.31496062992125984"/>
  <pageSetup paperSize="8" scale="51" orientation="landscape" r:id="rId1"/>
  <headerFooter>
    <oddFooter>&amp;C_x000D_&amp;1#&amp;"Calibri"&amp;10&amp;K000000 OFFICIAL-InternalOnly</oddFooter>
  </headerFooter>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N82"/>
  <sheetViews>
    <sheetView zoomScale="85" zoomScaleNormal="85" workbookViewId="0">
      <selection activeCell="A5" sqref="A5"/>
    </sheetView>
  </sheetViews>
  <sheetFormatPr defaultColWidth="9" defaultRowHeight="13.5"/>
  <cols>
    <col min="1" max="1" width="8.3828125" style="114" customWidth="1"/>
    <col min="2" max="2" width="71.3828125" style="114" bestFit="1" customWidth="1"/>
    <col min="3" max="3" width="13.3828125" style="29" customWidth="1"/>
    <col min="4" max="8" width="11.15234375" style="114" customWidth="1"/>
    <col min="9" max="9" width="12.84375" style="114" customWidth="1"/>
    <col min="10" max="10" width="12.765625" style="114" customWidth="1"/>
    <col min="11" max="11" width="5.765625" style="114" bestFit="1" customWidth="1"/>
    <col min="12" max="16384" width="9" style="114"/>
  </cols>
  <sheetData>
    <row r="1" spans="1:14" ht="20">
      <c r="A1" s="525" t="s">
        <v>641</v>
      </c>
      <c r="B1" s="526"/>
      <c r="C1" s="527"/>
      <c r="D1" s="528"/>
      <c r="E1" s="528"/>
      <c r="F1" s="528"/>
      <c r="G1" s="528"/>
      <c r="H1" s="528"/>
      <c r="I1" s="328"/>
      <c r="J1" s="328"/>
      <c r="K1" s="456"/>
    </row>
    <row r="2" spans="1:14" ht="20">
      <c r="A2" s="329" t="str">
        <f>Licensee</f>
        <v>Cadent-NW</v>
      </c>
      <c r="B2" s="529"/>
      <c r="C2" s="530"/>
      <c r="D2" s="531"/>
      <c r="E2" s="531"/>
      <c r="F2" s="531"/>
      <c r="G2" s="531"/>
      <c r="H2" s="531"/>
      <c r="I2" s="333"/>
      <c r="J2" s="333"/>
      <c r="K2" s="334"/>
    </row>
    <row r="3" spans="1:14" ht="20">
      <c r="A3" s="331">
        <f>Reporting_Year</f>
        <v>2024</v>
      </c>
      <c r="B3" s="332"/>
      <c r="C3" s="532"/>
      <c r="D3" s="533"/>
      <c r="E3" s="533"/>
      <c r="F3" s="533"/>
      <c r="G3" s="533"/>
      <c r="H3" s="533"/>
      <c r="I3" s="336"/>
      <c r="J3" s="336"/>
      <c r="K3" s="337"/>
    </row>
    <row r="4" spans="1:14" s="339" customFormat="1" ht="12.75" customHeight="1">
      <c r="B4" s="480"/>
      <c r="C4" s="29"/>
    </row>
    <row r="5" spans="1:14" s="339" customFormat="1" ht="21.65" customHeight="1">
      <c r="B5" s="480"/>
      <c r="C5" s="29"/>
      <c r="D5" s="338" t="str">
        <f t="shared" ref="D5:I5" si="0">IF(D6&lt;=Reporting_Year,"Actuals","Forecast")</f>
        <v>Actuals</v>
      </c>
      <c r="E5" s="338" t="str">
        <f t="shared" si="0"/>
        <v>Actuals</v>
      </c>
      <c r="F5" s="338" t="str">
        <f t="shared" si="0"/>
        <v>Actuals</v>
      </c>
      <c r="G5" s="338" t="str">
        <f t="shared" si="0"/>
        <v>Forecast</v>
      </c>
      <c r="H5" s="338" t="str">
        <f t="shared" si="0"/>
        <v>Forecast</v>
      </c>
      <c r="I5" s="338" t="str">
        <f t="shared" si="0"/>
        <v>Forecast</v>
      </c>
    </row>
    <row r="6" spans="1:14" s="339" customFormat="1" ht="29.25" customHeight="1">
      <c r="C6" s="29"/>
      <c r="D6" s="457">
        <f>'RFPR cover'!$C$6</f>
        <v>2022</v>
      </c>
      <c r="E6" s="458">
        <f>D6+1</f>
        <v>2023</v>
      </c>
      <c r="F6" s="458">
        <f t="shared" ref="F6:H6" si="1">E6+1</f>
        <v>2024</v>
      </c>
      <c r="G6" s="458">
        <f t="shared" si="1"/>
        <v>2025</v>
      </c>
      <c r="H6" s="458">
        <f t="shared" si="1"/>
        <v>2026</v>
      </c>
      <c r="I6" s="342" t="str">
        <f>"Cumulative to "&amp;'RFPR cover'!$C$9</f>
        <v>Cumulative to 2024</v>
      </c>
      <c r="J6" s="459" t="s">
        <v>483</v>
      </c>
    </row>
    <row r="7" spans="1:14" s="339" customFormat="1">
      <c r="C7" s="29"/>
      <c r="D7" s="343" t="str">
        <f>RIIO_2_start_date-1&amp;"/"&amp;RIGHT(RIIO_2_start_date,2)</f>
        <v>2021/22</v>
      </c>
      <c r="E7" s="343" t="str">
        <f>RIIO_2_start_date&amp;"/"&amp;RIGHT(RIIO_2_start_date+1,2)</f>
        <v>2022/23</v>
      </c>
      <c r="F7" s="343" t="str">
        <f>RIIO_2_start_date+1&amp;"/"&amp;RIGHT(RIIO_2_start_date+2,2)</f>
        <v>2023/24</v>
      </c>
      <c r="G7" s="343" t="str">
        <f>RIIO_2_start_date+2&amp;"/"&amp;RIGHT(RIIO_2_start_date+3,2)</f>
        <v>2024/25</v>
      </c>
      <c r="H7" s="343" t="str">
        <f>RIIO_2_start_date+3&amp;"/"&amp;RIGHT(RIIO_2_start_date+4,2)</f>
        <v>2025/26</v>
      </c>
    </row>
    <row r="8" spans="1:14" s="339" customFormat="1" ht="17.5">
      <c r="B8" s="534" t="s">
        <v>642</v>
      </c>
      <c r="C8" s="392"/>
      <c r="D8" s="393"/>
      <c r="E8" s="393"/>
      <c r="F8" s="393"/>
      <c r="G8" s="393"/>
      <c r="H8" s="393"/>
      <c r="I8" s="393"/>
      <c r="J8" s="393"/>
      <c r="K8" s="393"/>
    </row>
    <row r="9" spans="1:14" s="339" customFormat="1">
      <c r="N9" s="360"/>
    </row>
    <row r="10" spans="1:14" s="339" customFormat="1"/>
    <row r="11" spans="1:14" s="339" customFormat="1"/>
    <row r="12" spans="1:14" s="339" customFormat="1">
      <c r="A12" s="345" t="s">
        <v>487</v>
      </c>
      <c r="B12" s="482" t="s">
        <v>643</v>
      </c>
      <c r="C12" s="468" t="str">
        <f>Data!$C$9</f>
        <v>£m 18/19</v>
      </c>
      <c r="D12" s="1206">
        <f>INDEX(Data!$C$98:$I$126,MATCH($A$2,Data!$B$98:$B$126,0),MATCH(D$6,Data!$C$97:$I$97))</f>
        <v>-7.2862331602607357E-3</v>
      </c>
      <c r="E12" s="1206">
        <f>INDEX(Data!$C$98:$I$126,MATCH($A$2,Data!$B$98:$B$126,0),MATCH(E$6,Data!$C$97:$I$97))</f>
        <v>-7.2862331602607357E-3</v>
      </c>
      <c r="F12" s="1206">
        <f>INDEX(Data!$C$98:$I$126,MATCH($A$2,Data!$B$98:$B$126,0),MATCH(F$6,Data!$C$97:$I$97))</f>
        <v>-7.2862331602607357E-3</v>
      </c>
      <c r="G12" s="1206">
        <f>INDEX(Data!$C$98:$I$126,MATCH($A$2,Data!$B$98:$B$126,0),MATCH(G$6,Data!$C$97:$I$97))</f>
        <v>-7.2862331602607357E-3</v>
      </c>
      <c r="H12" s="1206">
        <f>INDEX(Data!$C$98:$I$126,MATCH($A$2,Data!$B$98:$B$126,0),MATCH(H$6,Data!$C$97:$I$97))</f>
        <v>-7.2862331602607357E-3</v>
      </c>
      <c r="I12" s="1206">
        <f>SUM(D12:INDEX(D12:H12,0,MATCH('RFPR cover'!$C$9,$D$6:$H$6,0)))</f>
        <v>-2.1858699480782208E-2</v>
      </c>
      <c r="J12" s="1207">
        <f>SUM(D12:H12)</f>
        <v>-3.6431165801303678E-2</v>
      </c>
    </row>
    <row r="13" spans="1:14" s="339" customFormat="1" ht="19.5" customHeight="1">
      <c r="A13" s="345"/>
      <c r="B13" s="535" t="s">
        <v>644</v>
      </c>
    </row>
    <row r="14" spans="1:14" s="339" customFormat="1">
      <c r="A14" s="345" t="s">
        <v>488</v>
      </c>
      <c r="B14" s="536" t="str">
        <f>Data!B132</f>
        <v>Customer Satisfaction Survey ODI - (SpC 4.2)</v>
      </c>
      <c r="C14" s="468" t="str">
        <f>Data!$C$9</f>
        <v>£m 18/19</v>
      </c>
      <c r="D14" s="537">
        <v>1.4915815001002395</v>
      </c>
      <c r="E14" s="537">
        <v>1.6469165064450069</v>
      </c>
      <c r="F14" s="537">
        <v>1.4230059803949038</v>
      </c>
      <c r="G14" s="537">
        <v>1.7148395721925134</v>
      </c>
      <c r="H14" s="537">
        <v>1.8336898395721917</v>
      </c>
      <c r="I14" s="499">
        <f>SUM(D14:INDEX(D14:H14,0,MATCH('RFPR cover'!$C$9,$D$6:$H$6,0)))</f>
        <v>4.5615039869401501</v>
      </c>
      <c r="J14" s="500">
        <f t="shared" ref="J14:J22" si="2">SUM(D14:H14)</f>
        <v>8.1100333987048554</v>
      </c>
    </row>
    <row r="15" spans="1:14" s="339" customFormat="1">
      <c r="A15" s="345" t="s">
        <v>489</v>
      </c>
      <c r="B15" s="536" t="str">
        <f>Data!B133</f>
        <v>Complaints metric ODI - (SpC 4.3)</v>
      </c>
      <c r="C15" s="468" t="str">
        <f>Data!$C$9</f>
        <v>£m 18/19</v>
      </c>
      <c r="D15" s="537">
        <v>0</v>
      </c>
      <c r="E15" s="537">
        <v>0</v>
      </c>
      <c r="F15" s="537">
        <v>0</v>
      </c>
      <c r="G15" s="537">
        <v>0</v>
      </c>
      <c r="H15" s="537">
        <v>0</v>
      </c>
      <c r="I15" s="499">
        <f>SUM(D15:INDEX(D15:H15,0,MATCH('RFPR cover'!$C$9,$D$6:$H$6,0)))</f>
        <v>0</v>
      </c>
      <c r="J15" s="500">
        <f t="shared" si="2"/>
        <v>0</v>
      </c>
    </row>
    <row r="16" spans="1:14" s="339" customFormat="1">
      <c r="A16" s="345" t="s">
        <v>490</v>
      </c>
      <c r="B16" s="536" t="str">
        <f>Data!B134</f>
        <v>Unplanned Interruption Mean Duration ODI [NGN, SGN and WWU] - (SpC 4.5)</v>
      </c>
      <c r="C16" s="468" t="str">
        <f>Data!$C$9</f>
        <v>£m 18/19</v>
      </c>
      <c r="D16" s="537">
        <v>0</v>
      </c>
      <c r="E16" s="537">
        <v>0</v>
      </c>
      <c r="F16" s="537">
        <v>0</v>
      </c>
      <c r="G16" s="537">
        <v>0</v>
      </c>
      <c r="H16" s="537">
        <v>0</v>
      </c>
      <c r="I16" s="499">
        <f>SUM(D16:INDEX(D16:H16,0,MATCH('RFPR cover'!$C$9,$D$6:$H$6,0)))</f>
        <v>0</v>
      </c>
      <c r="J16" s="500">
        <f t="shared" si="2"/>
        <v>0</v>
      </c>
    </row>
    <row r="17" spans="1:10" s="339" customFormat="1">
      <c r="A17" s="345" t="s">
        <v>491</v>
      </c>
      <c r="B17" s="536" t="str">
        <f>Data!B135</f>
        <v>Unplanned Interruption Mean Duration ODI [Cadent only]- (SpC 4.6)</v>
      </c>
      <c r="C17" s="468" t="str">
        <f>Data!$C$9</f>
        <v>£m 18/19</v>
      </c>
      <c r="D17" s="537">
        <v>0</v>
      </c>
      <c r="E17" s="537">
        <v>0</v>
      </c>
      <c r="F17" s="537">
        <v>0</v>
      </c>
      <c r="G17" s="537">
        <v>0</v>
      </c>
      <c r="H17" s="537">
        <v>0</v>
      </c>
      <c r="I17" s="499">
        <f>SUM(D17:INDEX(D17:H17,0,MATCH('RFPR cover'!$C$9,$D$6:$H$6,0)))</f>
        <v>0</v>
      </c>
      <c r="J17" s="500">
        <f t="shared" si="2"/>
        <v>0</v>
      </c>
    </row>
    <row r="18" spans="1:10" s="339" customFormat="1">
      <c r="A18" s="345" t="s">
        <v>492</v>
      </c>
      <c r="B18" s="536" t="str">
        <f>Data!B136</f>
        <v>Shrinkage Management ODI- (SpC 4.4)</v>
      </c>
      <c r="C18" s="468" t="str">
        <f>Data!$C$9</f>
        <v>£m 18/19</v>
      </c>
      <c r="D18" s="537">
        <v>0.47625000000000001</v>
      </c>
      <c r="E18" s="537">
        <v>0.47625000000000001</v>
      </c>
      <c r="F18" s="537">
        <v>0.47625000000000001</v>
      </c>
      <c r="G18" s="537">
        <v>0.4402655556618042</v>
      </c>
      <c r="H18" s="537">
        <v>0.47625000000000001</v>
      </c>
      <c r="I18" s="499">
        <f>SUM(D18:INDEX(D18:H18,0,MATCH('RFPR cover'!$C$9,$D$6:$H$6,0)))</f>
        <v>1.42875</v>
      </c>
      <c r="J18" s="500">
        <f t="shared" si="2"/>
        <v>2.3452655556618041</v>
      </c>
    </row>
    <row r="19" spans="1:10" s="339" customFormat="1">
      <c r="A19" s="345" t="s">
        <v>493</v>
      </c>
      <c r="B19" s="536" t="str">
        <f>Data!B137</f>
        <v>Collaborative streetworks ODI [Cadent Lon &amp; EoE, SGN So only]- (SpC 4.7)</v>
      </c>
      <c r="C19" s="468" t="str">
        <f>Data!$C$9</f>
        <v>£m 18/19</v>
      </c>
      <c r="D19" s="537">
        <v>0</v>
      </c>
      <c r="E19" s="537">
        <v>0</v>
      </c>
      <c r="F19" s="537">
        <v>0</v>
      </c>
      <c r="G19" s="537">
        <v>0</v>
      </c>
      <c r="H19" s="537">
        <v>0</v>
      </c>
      <c r="I19" s="499">
        <f>SUM(D19:INDEX(D19:H19,0,MATCH('RFPR cover'!$C$9,$D$6:$H$6,0)))</f>
        <v>0</v>
      </c>
      <c r="J19" s="500">
        <f>SUM(D19:H19)</f>
        <v>0</v>
      </c>
    </row>
    <row r="20" spans="1:10" s="339" customFormat="1">
      <c r="A20" s="345" t="s">
        <v>645</v>
      </c>
      <c r="B20" s="536" t="str">
        <f>Data!B138</f>
        <v/>
      </c>
      <c r="C20" s="468" t="str">
        <f>Data!$C$9</f>
        <v>£m 18/19</v>
      </c>
      <c r="D20" s="537">
        <v>0</v>
      </c>
      <c r="E20" s="537">
        <v>0</v>
      </c>
      <c r="F20" s="537">
        <v>0</v>
      </c>
      <c r="G20" s="537">
        <v>0</v>
      </c>
      <c r="H20" s="537">
        <v>0</v>
      </c>
      <c r="I20" s="499">
        <f>SUM(D20:INDEX(D20:H20,0,MATCH('RFPR cover'!$C$9,$D$6:$H$6,0)))</f>
        <v>0</v>
      </c>
      <c r="J20" s="500">
        <f>SUM(D20:H20)</f>
        <v>0</v>
      </c>
    </row>
    <row r="21" spans="1:10" s="339" customFormat="1">
      <c r="A21" s="345" t="s">
        <v>494</v>
      </c>
      <c r="B21" s="536" t="str">
        <f>Data!B139</f>
        <v/>
      </c>
      <c r="C21" s="468" t="str">
        <f>Data!$C$9</f>
        <v>£m 18/19</v>
      </c>
      <c r="D21" s="537">
        <v>0</v>
      </c>
      <c r="E21" s="537">
        <v>0</v>
      </c>
      <c r="F21" s="537">
        <v>0</v>
      </c>
      <c r="G21" s="537">
        <v>0</v>
      </c>
      <c r="H21" s="537">
        <v>0</v>
      </c>
      <c r="I21" s="499">
        <f>SUM(D21:INDEX(D21:H21,0,MATCH('RFPR cover'!$C$9,$D$6:$H$6,0)))</f>
        <v>0</v>
      </c>
      <c r="J21" s="500">
        <f t="shared" si="2"/>
        <v>0</v>
      </c>
    </row>
    <row r="22" spans="1:10" s="339" customFormat="1">
      <c r="B22" s="482" t="s">
        <v>646</v>
      </c>
      <c r="C22" s="476" t="str">
        <f>Data!$C$9</f>
        <v>£m 18/19</v>
      </c>
      <c r="D22" s="511">
        <f>SUM(D14:D21)</f>
        <v>1.9678315001002396</v>
      </c>
      <c r="E22" s="511">
        <f>SUM(E14:E21)</f>
        <v>2.1231665064450067</v>
      </c>
      <c r="F22" s="511">
        <f>SUM(F14:F21)</f>
        <v>1.8992559803949038</v>
      </c>
      <c r="G22" s="511">
        <f>SUM(G14:G21)</f>
        <v>2.1551051278543176</v>
      </c>
      <c r="H22" s="511">
        <f>SUM(H14:H21)</f>
        <v>2.3099398395721917</v>
      </c>
      <c r="I22" s="499">
        <f>SUM(D22:INDEX(D22:H22,0,MATCH('RFPR cover'!$C$9,$D$6:$H$6,0)))</f>
        <v>5.9902539869401501</v>
      </c>
      <c r="J22" s="500">
        <f t="shared" si="2"/>
        <v>10.455298954366659</v>
      </c>
    </row>
    <row r="23" spans="1:10" s="339" customFormat="1"/>
    <row r="24" spans="1:10" s="539" customFormat="1" ht="14.25" customHeight="1">
      <c r="A24" s="538"/>
    </row>
    <row r="25" spans="1:10" s="339" customFormat="1">
      <c r="A25" s="540"/>
      <c r="B25" s="541" t="s">
        <v>647</v>
      </c>
      <c r="C25" s="542"/>
      <c r="D25" s="542"/>
      <c r="E25" s="542"/>
      <c r="F25" s="542"/>
      <c r="G25" s="542"/>
      <c r="H25" s="542"/>
      <c r="I25" s="542"/>
      <c r="J25" s="542"/>
    </row>
    <row r="26" spans="1:10" s="339" customFormat="1">
      <c r="A26" s="543" t="s">
        <v>487</v>
      </c>
      <c r="B26" s="1361"/>
      <c r="C26" s="1361"/>
      <c r="D26" s="1361"/>
      <c r="E26" s="1361"/>
      <c r="F26" s="1361"/>
      <c r="G26" s="1361"/>
      <c r="H26" s="1361"/>
      <c r="I26" s="1361"/>
      <c r="J26" s="1361"/>
    </row>
    <row r="27" spans="1:10" s="339" customFormat="1">
      <c r="A27" s="543" t="s">
        <v>488</v>
      </c>
      <c r="B27" s="1361"/>
      <c r="C27" s="1361"/>
      <c r="D27" s="1361"/>
      <c r="E27" s="1361"/>
      <c r="F27" s="1361"/>
      <c r="G27" s="1361"/>
      <c r="H27" s="1361"/>
      <c r="I27" s="1361"/>
      <c r="J27" s="1361"/>
    </row>
    <row r="28" spans="1:10" s="339" customFormat="1">
      <c r="A28" s="543" t="s">
        <v>489</v>
      </c>
      <c r="B28" s="1361"/>
      <c r="C28" s="1361"/>
      <c r="D28" s="1361"/>
      <c r="E28" s="1361"/>
      <c r="F28" s="1361"/>
      <c r="G28" s="1361"/>
      <c r="H28" s="1361"/>
      <c r="I28" s="1361"/>
      <c r="J28" s="1361"/>
    </row>
    <row r="29" spans="1:10" s="339" customFormat="1">
      <c r="A29" s="543" t="s">
        <v>490</v>
      </c>
      <c r="B29" s="1361"/>
      <c r="C29" s="1361"/>
      <c r="D29" s="1361"/>
      <c r="E29" s="1361"/>
      <c r="F29" s="1361"/>
      <c r="G29" s="1361"/>
      <c r="H29" s="1361"/>
      <c r="I29" s="1361"/>
      <c r="J29" s="1361"/>
    </row>
    <row r="30" spans="1:10" s="339" customFormat="1">
      <c r="A30" s="543" t="s">
        <v>491</v>
      </c>
      <c r="B30" s="1361"/>
      <c r="C30" s="1361"/>
      <c r="D30" s="1361"/>
      <c r="E30" s="1361"/>
      <c r="F30" s="1361"/>
      <c r="G30" s="1361"/>
      <c r="H30" s="1361"/>
      <c r="I30" s="1361"/>
      <c r="J30" s="1361"/>
    </row>
    <row r="31" spans="1:10" s="339" customFormat="1">
      <c r="A31" s="543" t="s">
        <v>492</v>
      </c>
      <c r="B31" s="1361"/>
      <c r="C31" s="1361"/>
      <c r="D31" s="1361"/>
      <c r="E31" s="1361"/>
      <c r="F31" s="1361"/>
      <c r="G31" s="1361"/>
      <c r="H31" s="1361"/>
      <c r="I31" s="1361"/>
      <c r="J31" s="1361"/>
    </row>
    <row r="32" spans="1:10" s="339" customFormat="1">
      <c r="A32" s="543" t="s">
        <v>493</v>
      </c>
      <c r="B32" s="402"/>
      <c r="C32" s="402"/>
      <c r="D32" s="402"/>
      <c r="E32" s="402"/>
      <c r="F32" s="402"/>
      <c r="G32" s="402"/>
      <c r="H32" s="402"/>
      <c r="I32" s="402"/>
      <c r="J32" s="402"/>
    </row>
    <row r="33" spans="1:11" s="339" customFormat="1">
      <c r="A33" s="543" t="s">
        <v>645</v>
      </c>
      <c r="B33" s="402"/>
      <c r="C33" s="402"/>
      <c r="D33" s="402"/>
      <c r="E33" s="402"/>
      <c r="F33" s="402"/>
      <c r="G33" s="402"/>
      <c r="H33" s="402"/>
      <c r="I33" s="402"/>
      <c r="J33" s="402"/>
    </row>
    <row r="34" spans="1:11" s="339" customFormat="1">
      <c r="A34" s="543" t="s">
        <v>494</v>
      </c>
      <c r="B34" s="1361"/>
      <c r="C34" s="1361"/>
      <c r="D34" s="1361"/>
      <c r="E34" s="1361"/>
      <c r="F34" s="1361"/>
      <c r="G34" s="1361"/>
      <c r="H34" s="1361"/>
      <c r="I34" s="1361"/>
      <c r="J34" s="1361"/>
    </row>
    <row r="35" spans="1:11" s="339" customFormat="1">
      <c r="A35" s="345"/>
      <c r="C35" s="468"/>
      <c r="D35" s="468"/>
      <c r="E35" s="468"/>
      <c r="F35" s="468"/>
      <c r="G35" s="468"/>
      <c r="H35" s="468"/>
      <c r="I35" s="468"/>
      <c r="J35" s="468"/>
    </row>
    <row r="36" spans="1:11" s="339" customFormat="1" ht="20.5">
      <c r="B36" s="534" t="s">
        <v>648</v>
      </c>
      <c r="C36" s="392"/>
      <c r="D36" s="393"/>
      <c r="E36" s="393"/>
      <c r="F36" s="393"/>
      <c r="G36" s="393"/>
      <c r="H36" s="393"/>
      <c r="I36" s="393"/>
      <c r="J36" s="393"/>
      <c r="K36" s="393"/>
    </row>
    <row r="37" spans="1:11" s="339" customFormat="1">
      <c r="A37" s="482"/>
      <c r="C37" s="29"/>
    </row>
    <row r="38" spans="1:11">
      <c r="B38" s="544" t="s">
        <v>649</v>
      </c>
    </row>
    <row r="39" spans="1:11">
      <c r="B39" s="482"/>
    </row>
    <row r="40" spans="1:11" s="339" customFormat="1">
      <c r="A40" s="467" t="s">
        <v>494</v>
      </c>
      <c r="B40" s="482" t="s">
        <v>122</v>
      </c>
      <c r="C40" s="40" t="s">
        <v>650</v>
      </c>
      <c r="D40" s="494"/>
      <c r="E40" s="494"/>
      <c r="F40" s="494"/>
      <c r="G40" s="494"/>
      <c r="H40" s="494"/>
    </row>
    <row r="41" spans="1:11" s="339" customFormat="1">
      <c r="B41" s="389" t="s">
        <v>651</v>
      </c>
      <c r="C41" s="468" t="str">
        <f>Data!$C$9</f>
        <v>£m 18/19</v>
      </c>
      <c r="D41" s="397">
        <v>0.43446456077808604</v>
      </c>
      <c r="E41" s="397">
        <v>0.71854635096401331</v>
      </c>
      <c r="F41" s="397">
        <v>1.03443249532271</v>
      </c>
      <c r="G41" s="397">
        <v>2.9435497598567624</v>
      </c>
      <c r="H41" s="397">
        <v>2.9253504939529522</v>
      </c>
      <c r="I41" s="499">
        <f>SUM(D41:INDEX(D41:H41,0,MATCH('RFPR cover'!$C$9,$D$6:$H$6,0)))</f>
        <v>2.1874434070648094</v>
      </c>
      <c r="J41" s="500">
        <f t="shared" ref="J41" si="3">SUM(D41:H41)</f>
        <v>8.0563436608745249</v>
      </c>
      <c r="K41" s="339" t="s">
        <v>652</v>
      </c>
    </row>
    <row r="42" spans="1:11" s="339" customFormat="1">
      <c r="B42" s="389" t="s">
        <v>653</v>
      </c>
      <c r="C42" s="468" t="str">
        <f>Data!$C$9</f>
        <v>£m 18/19</v>
      </c>
      <c r="D42" s="537">
        <v>0</v>
      </c>
      <c r="E42" s="537">
        <v>0</v>
      </c>
      <c r="F42" s="537">
        <v>0</v>
      </c>
      <c r="G42" s="537">
        <v>0</v>
      </c>
      <c r="H42" s="537">
        <v>0</v>
      </c>
      <c r="I42" s="499">
        <f>SUM(D42:INDEX(D42:H42,0,MATCH('RFPR cover'!$C$9,$D$6:$H$6,0)))</f>
        <v>0</v>
      </c>
      <c r="J42" s="500">
        <f t="shared" ref="J42:J45" si="4">SUM(D42:H42)</f>
        <v>0</v>
      </c>
    </row>
    <row r="43" spans="1:11" s="339" customFormat="1">
      <c r="B43" s="389" t="s">
        <v>654</v>
      </c>
      <c r="C43" s="468" t="str">
        <f>Data!$C$9</f>
        <v>£m 18/19</v>
      </c>
      <c r="D43" s="401">
        <v>0.39101810470027742</v>
      </c>
      <c r="E43" s="401">
        <v>0.64669171586761198</v>
      </c>
      <c r="F43" s="401">
        <v>0.93098924579043896</v>
      </c>
      <c r="G43" s="401">
        <v>2.6491947838710863</v>
      </c>
      <c r="H43" s="401">
        <v>2.6328154445576573</v>
      </c>
      <c r="I43" s="499">
        <f>SUM(D43:INDEX(D43:H43,0,MATCH('RFPR cover'!$C$9,$D$6:$H$6,0)))</f>
        <v>1.9686990663583284</v>
      </c>
      <c r="J43" s="500">
        <f t="shared" si="4"/>
        <v>7.2507092947870717</v>
      </c>
    </row>
    <row r="44" spans="1:11" s="482" customFormat="1">
      <c r="B44" s="339" t="s">
        <v>655</v>
      </c>
      <c r="C44" s="468" t="str">
        <f>Data!$C$9</f>
        <v>£m 18/19</v>
      </c>
      <c r="D44" s="511">
        <f>D41-D42-D43</f>
        <v>4.3446456077808615E-2</v>
      </c>
      <c r="E44" s="553">
        <f t="shared" ref="E44:H44" si="5">E41-E42-E43</f>
        <v>7.1854635096401331E-2</v>
      </c>
      <c r="F44" s="553">
        <f t="shared" si="5"/>
        <v>0.10344324953227102</v>
      </c>
      <c r="G44" s="553">
        <f t="shared" si="5"/>
        <v>0.29435497598567606</v>
      </c>
      <c r="H44" s="553">
        <f t="shared" si="5"/>
        <v>0.29253504939529495</v>
      </c>
      <c r="I44" s="499">
        <f>SUM(D44:INDEX(D44:H44,0,MATCH('RFPR cover'!$C$9,$D$6:$H$6,0)))</f>
        <v>0.21874434070648097</v>
      </c>
      <c r="J44" s="500">
        <f t="shared" si="4"/>
        <v>0.80563436608745198</v>
      </c>
      <c r="K44" s="339"/>
    </row>
    <row r="45" spans="1:11" s="339" customFormat="1">
      <c r="A45" s="480"/>
      <c r="B45" s="482" t="s">
        <v>656</v>
      </c>
      <c r="C45" s="468" t="str">
        <f>Data!$C$9</f>
        <v>£m 18/19</v>
      </c>
      <c r="D45" s="554">
        <f>D42+D43</f>
        <v>0.39101810470027742</v>
      </c>
      <c r="E45" s="554">
        <f t="shared" ref="E45:H45" si="6">E42+E43</f>
        <v>0.64669171586761198</v>
      </c>
      <c r="F45" s="554">
        <f t="shared" si="6"/>
        <v>0.93098924579043896</v>
      </c>
      <c r="G45" s="554">
        <f t="shared" si="6"/>
        <v>2.6491947838710863</v>
      </c>
      <c r="H45" s="554">
        <f t="shared" si="6"/>
        <v>2.6328154445576573</v>
      </c>
      <c r="I45" s="499">
        <f>SUM(D45:INDEX(D45:H45,0,MATCH('RFPR cover'!$C$9,$D$6:$H$6,0)))</f>
        <v>1.9686990663583284</v>
      </c>
      <c r="J45" s="500">
        <f t="shared" si="4"/>
        <v>7.2507092947870717</v>
      </c>
    </row>
    <row r="46" spans="1:11" s="339" customFormat="1">
      <c r="A46" s="480"/>
      <c r="B46" s="482"/>
      <c r="C46" s="468"/>
      <c r="D46" s="546"/>
      <c r="E46" s="546"/>
      <c r="F46" s="546"/>
      <c r="G46" s="546"/>
      <c r="H46" s="546"/>
    </row>
    <row r="47" spans="1:11" s="339" customFormat="1">
      <c r="A47" s="467" t="s">
        <v>495</v>
      </c>
      <c r="B47" s="482" t="s">
        <v>657</v>
      </c>
      <c r="C47" s="468" t="s">
        <v>658</v>
      </c>
      <c r="D47" s="546"/>
      <c r="E47" s="546"/>
      <c r="F47" s="546"/>
      <c r="G47" s="546"/>
      <c r="H47" s="546"/>
    </row>
    <row r="48" spans="1:11" s="339" customFormat="1" ht="14">
      <c r="A48" s="480"/>
      <c r="B48" s="389" t="s">
        <v>659</v>
      </c>
      <c r="C48" s="468" t="str">
        <f>Data!$C$9</f>
        <v>£m 18/19</v>
      </c>
      <c r="D48" s="397">
        <v>0.76759491953071501</v>
      </c>
      <c r="E48" s="547"/>
      <c r="F48" s="547"/>
      <c r="G48" s="547"/>
      <c r="H48" s="547"/>
      <c r="K48" s="339" t="s">
        <v>652</v>
      </c>
    </row>
    <row r="49" spans="1:11" s="339" customFormat="1" ht="14">
      <c r="A49" s="480"/>
      <c r="B49" s="389" t="s">
        <v>653</v>
      </c>
      <c r="C49" s="468" t="str">
        <f>Data!$C$9</f>
        <v>£m 18/19</v>
      </c>
      <c r="D49" s="545">
        <v>0</v>
      </c>
      <c r="E49" s="547"/>
      <c r="F49" s="547"/>
      <c r="G49" s="547"/>
      <c r="H49" s="547"/>
    </row>
    <row r="50" spans="1:11" s="339" customFormat="1" ht="14">
      <c r="A50" s="480"/>
      <c r="B50" s="389" t="s">
        <v>654</v>
      </c>
      <c r="C50" s="468" t="str">
        <f>Data!$C$9</f>
        <v>£m 18/19</v>
      </c>
      <c r="D50" s="401">
        <v>7.6716386983830195E-2</v>
      </c>
      <c r="E50" s="547"/>
      <c r="F50" s="547"/>
      <c r="G50" s="547"/>
      <c r="H50" s="547"/>
    </row>
    <row r="51" spans="1:11" s="339" customFormat="1" ht="14">
      <c r="A51" s="480"/>
      <c r="B51" s="339" t="s">
        <v>660</v>
      </c>
      <c r="C51" s="468" t="str">
        <f>Data!$C$9</f>
        <v>£m 18/19</v>
      </c>
      <c r="D51" s="511">
        <f>D48-D49-D50</f>
        <v>0.6908785325468848</v>
      </c>
      <c r="E51" s="547"/>
      <c r="F51" s="547"/>
      <c r="G51" s="547"/>
      <c r="H51" s="547"/>
    </row>
    <row r="52" spans="1:11" ht="14">
      <c r="A52" s="548"/>
      <c r="B52" s="482" t="s">
        <v>661</v>
      </c>
      <c r="C52" s="468" t="str">
        <f>Data!$C$9</f>
        <v>£m 18/19</v>
      </c>
      <c r="D52" s="553">
        <f>D49+D50</f>
        <v>7.6716386983830195E-2</v>
      </c>
      <c r="E52" s="547"/>
      <c r="F52" s="547"/>
      <c r="G52" s="547"/>
      <c r="H52" s="547"/>
      <c r="K52" s="339"/>
    </row>
    <row r="53" spans="1:11">
      <c r="B53" s="482"/>
      <c r="C53" s="468"/>
      <c r="D53" s="468"/>
      <c r="E53" s="468"/>
      <c r="F53" s="468"/>
      <c r="G53" s="468"/>
      <c r="H53" s="468"/>
      <c r="K53" s="468"/>
    </row>
    <row r="54" spans="1:11">
      <c r="A54" s="467" t="s">
        <v>496</v>
      </c>
      <c r="B54" s="482" t="s">
        <v>662</v>
      </c>
      <c r="C54" s="468" t="s">
        <v>663</v>
      </c>
      <c r="D54" s="546"/>
      <c r="E54" s="546"/>
      <c r="F54" s="546"/>
      <c r="G54" s="546"/>
      <c r="H54" s="546"/>
      <c r="K54" s="339"/>
    </row>
    <row r="55" spans="1:11">
      <c r="A55" s="480"/>
      <c r="B55" s="389" t="s">
        <v>664</v>
      </c>
      <c r="C55" s="468" t="str">
        <f>Data!$C$9</f>
        <v>£m 18/19</v>
      </c>
      <c r="D55" s="397">
        <v>0</v>
      </c>
      <c r="E55" s="397">
        <v>0.11605732594897039</v>
      </c>
      <c r="F55" s="397">
        <v>0.40147252253706556</v>
      </c>
      <c r="G55" s="397">
        <v>1.1482114144560074</v>
      </c>
      <c r="H55" s="397">
        <v>1.1160936126530421</v>
      </c>
      <c r="I55" s="499">
        <f>SUM(D55:INDEX(D55:H55,0,MATCH('RFPR cover'!$C$9,$D$6:$H$6,0)))</f>
        <v>0.517529848486036</v>
      </c>
      <c r="J55" s="500">
        <f t="shared" ref="J55" si="7">SUM(D55:H55)</f>
        <v>2.7818348755950852</v>
      </c>
      <c r="K55" s="339" t="s">
        <v>652</v>
      </c>
    </row>
    <row r="56" spans="1:11">
      <c r="A56" s="480"/>
      <c r="B56" s="389" t="s">
        <v>665</v>
      </c>
      <c r="C56" s="468" t="str">
        <f>Data!$C$9</f>
        <v>£m 18/19</v>
      </c>
      <c r="D56" s="537">
        <v>0</v>
      </c>
      <c r="E56" s="537">
        <v>0</v>
      </c>
      <c r="F56" s="537">
        <v>0</v>
      </c>
      <c r="G56" s="537">
        <v>0</v>
      </c>
      <c r="H56" s="537">
        <v>0</v>
      </c>
      <c r="I56" s="499">
        <f>SUM(D56:INDEX(D56:H56,0,MATCH('RFPR cover'!$C$9,$D$6:$H$6,0)))</f>
        <v>0</v>
      </c>
      <c r="J56" s="500">
        <f t="shared" ref="J56:J59" si="8">SUM(D56:H56)</f>
        <v>0</v>
      </c>
    </row>
    <row r="57" spans="1:11">
      <c r="A57" s="480"/>
      <c r="B57" s="389" t="s">
        <v>654</v>
      </c>
      <c r="C57" s="468" t="str">
        <f>Data!$C$9</f>
        <v>£m 18/19</v>
      </c>
      <c r="D57" s="401"/>
      <c r="E57" s="401"/>
      <c r="F57" s="401"/>
      <c r="G57" s="401"/>
      <c r="H57" s="401"/>
      <c r="I57" s="499">
        <f>SUM(D57:INDEX(D57:H57,0,MATCH('RFPR cover'!$C$9,$D$6:$H$6,0)))</f>
        <v>0</v>
      </c>
      <c r="J57" s="500">
        <f t="shared" si="8"/>
        <v>0</v>
      </c>
    </row>
    <row r="58" spans="1:11">
      <c r="A58" s="480"/>
      <c r="B58" s="339" t="s">
        <v>666</v>
      </c>
      <c r="C58" s="468" t="str">
        <f>Data!$C$9</f>
        <v>£m 18/19</v>
      </c>
      <c r="D58" s="511">
        <f>D55-D56-D57</f>
        <v>0</v>
      </c>
      <c r="E58" s="553">
        <f>E55-E56-E57</f>
        <v>0.11605732594897039</v>
      </c>
      <c r="F58" s="553">
        <f>F55-F56-F57</f>
        <v>0.40147252253706556</v>
      </c>
      <c r="G58" s="553">
        <f>G55-G56-G57</f>
        <v>1.1482114144560074</v>
      </c>
      <c r="H58" s="553">
        <f>H55-H56-H57</f>
        <v>1.1160936126530421</v>
      </c>
      <c r="I58" s="499">
        <f>SUM(D58:INDEX(D58:H58,0,MATCH('RFPR cover'!$C$9,$D$6:$H$6,0)))</f>
        <v>0.517529848486036</v>
      </c>
      <c r="J58" s="500">
        <f t="shared" si="8"/>
        <v>2.7818348755950852</v>
      </c>
    </row>
    <row r="59" spans="1:11">
      <c r="A59" s="548"/>
      <c r="B59" s="482" t="s">
        <v>667</v>
      </c>
      <c r="C59" s="468" t="str">
        <f>Data!$C$9</f>
        <v>£m 18/19</v>
      </c>
      <c r="D59" s="553">
        <f>D56+D57</f>
        <v>0</v>
      </c>
      <c r="E59" s="553">
        <f>E56+E57</f>
        <v>0</v>
      </c>
      <c r="F59" s="553">
        <f>F56+F57</f>
        <v>0</v>
      </c>
      <c r="G59" s="553">
        <f>G56+G57</f>
        <v>0</v>
      </c>
      <c r="H59" s="553">
        <f>H56+H57</f>
        <v>0</v>
      </c>
      <c r="I59" s="499">
        <f>SUM(D59:INDEX(D59:H59,0,MATCH('RFPR cover'!$C$9,$D$6:$H$6,0)))</f>
        <v>0</v>
      </c>
      <c r="J59" s="500">
        <f t="shared" si="8"/>
        <v>0</v>
      </c>
    </row>
    <row r="60" spans="1:11">
      <c r="B60" s="482"/>
      <c r="C60" s="468"/>
      <c r="D60" s="468"/>
      <c r="E60" s="468"/>
      <c r="F60" s="468"/>
      <c r="G60" s="468"/>
      <c r="H60" s="468"/>
      <c r="I60" s="468"/>
    </row>
    <row r="61" spans="1:11">
      <c r="B61" s="482"/>
      <c r="C61" s="468"/>
      <c r="D61" s="468"/>
      <c r="E61" s="468"/>
      <c r="F61" s="468"/>
      <c r="G61" s="468"/>
      <c r="H61" s="468"/>
      <c r="I61" s="468"/>
    </row>
    <row r="62" spans="1:11" s="339" customFormat="1">
      <c r="B62" s="544" t="s">
        <v>668</v>
      </c>
      <c r="C62" s="29"/>
    </row>
    <row r="63" spans="1:11" s="339" customFormat="1" ht="16">
      <c r="B63" s="549" t="s">
        <v>669</v>
      </c>
      <c r="C63" s="550"/>
      <c r="D63" s="549"/>
      <c r="E63" s="549"/>
      <c r="F63" s="549"/>
      <c r="G63" s="549"/>
      <c r="H63" s="549"/>
      <c r="I63" s="549"/>
      <c r="J63" s="549"/>
      <c r="K63" s="549"/>
    </row>
    <row r="64" spans="1:11" s="339" customFormat="1">
      <c r="B64" s="551" t="s">
        <v>670</v>
      </c>
      <c r="C64" s="29"/>
    </row>
    <row r="65" spans="1:13" s="339" customFormat="1" ht="19" customHeight="1">
      <c r="A65" s="345"/>
      <c r="B65" s="535" t="s">
        <v>671</v>
      </c>
    </row>
    <row r="66" spans="1:13" s="339" customFormat="1" ht="14.5" customHeight="1">
      <c r="A66" s="345" t="s">
        <v>497</v>
      </c>
      <c r="B66" s="552" t="str">
        <f>Data!B199</f>
        <v/>
      </c>
      <c r="C66" s="468" t="str">
        <f>Data!$C$9</f>
        <v>£m 18/19</v>
      </c>
      <c r="D66" s="537">
        <v>0</v>
      </c>
      <c r="E66" s="537">
        <v>0</v>
      </c>
      <c r="F66" s="537">
        <v>0</v>
      </c>
      <c r="G66" s="537">
        <v>0</v>
      </c>
      <c r="H66" s="537">
        <v>0</v>
      </c>
      <c r="I66" s="499">
        <f>SUM(D66:INDEX(D66:H66,0,MATCH('RFPR cover'!$C$9,$D$6:$H$6,0)))</f>
        <v>0</v>
      </c>
      <c r="J66" s="500">
        <f t="shared" ref="J66" si="9">SUM(D66:H66)</f>
        <v>0</v>
      </c>
    </row>
    <row r="67" spans="1:13" s="339" customFormat="1" ht="14.5" customHeight="1">
      <c r="A67" s="345" t="s">
        <v>498</v>
      </c>
      <c r="B67" s="552" t="str">
        <f>Data!B200</f>
        <v/>
      </c>
      <c r="C67" s="468" t="str">
        <f>Data!$C$9</f>
        <v>£m 18/19</v>
      </c>
      <c r="D67" s="537">
        <v>0</v>
      </c>
      <c r="E67" s="537">
        <v>0</v>
      </c>
      <c r="F67" s="537">
        <v>0</v>
      </c>
      <c r="G67" s="537">
        <v>0</v>
      </c>
      <c r="H67" s="537">
        <v>0</v>
      </c>
      <c r="I67" s="499">
        <f>SUM(D67:INDEX(D67:H67,0,MATCH('RFPR cover'!$C$9,$D$6:$H$6,0)))</f>
        <v>0</v>
      </c>
      <c r="J67" s="500">
        <f t="shared" ref="J67:J71" si="10">SUM(D67:H67)</f>
        <v>0</v>
      </c>
    </row>
    <row r="68" spans="1:13" s="339" customFormat="1" ht="14.5" customHeight="1">
      <c r="A68" s="345" t="s">
        <v>499</v>
      </c>
      <c r="B68" s="552" t="str">
        <f>Data!B201</f>
        <v/>
      </c>
      <c r="C68" s="468" t="str">
        <f>Data!$C$9</f>
        <v>£m 18/19</v>
      </c>
      <c r="D68" s="537">
        <v>0</v>
      </c>
      <c r="E68" s="537">
        <v>0</v>
      </c>
      <c r="F68" s="537">
        <v>0</v>
      </c>
      <c r="G68" s="537">
        <v>0</v>
      </c>
      <c r="H68" s="537">
        <v>0</v>
      </c>
      <c r="I68" s="499">
        <f>SUM(D68:INDEX(D68:H68,0,MATCH('RFPR cover'!$C$9,$D$6:$H$6,0)))</f>
        <v>0</v>
      </c>
      <c r="J68" s="500">
        <f t="shared" si="10"/>
        <v>0</v>
      </c>
    </row>
    <row r="69" spans="1:13" s="339" customFormat="1" ht="14.5" customHeight="1">
      <c r="A69" s="345" t="s">
        <v>500</v>
      </c>
      <c r="B69" s="552" t="str">
        <f>Data!B202</f>
        <v/>
      </c>
      <c r="C69" s="468" t="str">
        <f>Data!$C$9</f>
        <v>£m 18/19</v>
      </c>
      <c r="D69" s="537">
        <v>0</v>
      </c>
      <c r="E69" s="537">
        <v>0</v>
      </c>
      <c r="F69" s="537">
        <v>0</v>
      </c>
      <c r="G69" s="537">
        <v>0</v>
      </c>
      <c r="H69" s="537">
        <v>0</v>
      </c>
      <c r="I69" s="499">
        <f>SUM(D69:INDEX(D69:H69,0,MATCH('RFPR cover'!$C$9,$D$6:$H$6,0)))</f>
        <v>0</v>
      </c>
      <c r="J69" s="500">
        <f t="shared" si="10"/>
        <v>0</v>
      </c>
    </row>
    <row r="70" spans="1:13" s="339" customFormat="1" ht="14.5" customHeight="1">
      <c r="A70" s="345" t="s">
        <v>501</v>
      </c>
      <c r="B70" s="552" t="str">
        <f>Data!B203</f>
        <v/>
      </c>
      <c r="C70" s="468" t="str">
        <f>Data!$C$9</f>
        <v>£m 18/19</v>
      </c>
      <c r="D70" s="537">
        <v>0</v>
      </c>
      <c r="E70" s="537">
        <v>0</v>
      </c>
      <c r="F70" s="537">
        <v>0</v>
      </c>
      <c r="G70" s="537">
        <v>0</v>
      </c>
      <c r="H70" s="537">
        <v>0</v>
      </c>
      <c r="I70" s="499">
        <f>SUM(D70:INDEX(D70:H70,0,MATCH('RFPR cover'!$C$9,$D$6:$H$6,0)))</f>
        <v>0</v>
      </c>
      <c r="J70" s="500">
        <f t="shared" si="10"/>
        <v>0</v>
      </c>
    </row>
    <row r="71" spans="1:13" s="339" customFormat="1" ht="14.5" customHeight="1">
      <c r="B71" s="482"/>
      <c r="C71" s="476" t="str">
        <f>Data!$C$9</f>
        <v>£m 18/19</v>
      </c>
      <c r="D71" s="511">
        <f>SUM(D66:D70)</f>
        <v>0</v>
      </c>
      <c r="E71" s="511">
        <f>SUM(E66:E70)</f>
        <v>0</v>
      </c>
      <c r="F71" s="511">
        <f>SUM(F66:F70)</f>
        <v>0</v>
      </c>
      <c r="G71" s="511">
        <f>SUM(G66:G70)</f>
        <v>0</v>
      </c>
      <c r="H71" s="511">
        <f>SUM(H66:H70)</f>
        <v>0</v>
      </c>
      <c r="I71" s="499">
        <f>SUM(D71:INDEX(D71:H71,0,MATCH('RFPR cover'!$C$9,$D$6:$H$6,0)))</f>
        <v>0</v>
      </c>
      <c r="J71" s="500">
        <f t="shared" si="10"/>
        <v>0</v>
      </c>
    </row>
    <row r="72" spans="1:13" s="339" customFormat="1" ht="14.5" customHeight="1">
      <c r="B72" s="482"/>
      <c r="C72" s="476"/>
      <c r="D72" s="476"/>
      <c r="E72" s="476"/>
      <c r="F72" s="476"/>
      <c r="G72" s="476"/>
      <c r="H72" s="476"/>
      <c r="I72" s="476"/>
    </row>
    <row r="73" spans="1:13" s="539" customFormat="1" ht="14.25" customHeight="1">
      <c r="A73" s="538"/>
      <c r="M73" s="339"/>
    </row>
    <row r="74" spans="1:13" s="339" customFormat="1">
      <c r="A74" s="540"/>
      <c r="B74" s="541" t="s">
        <v>647</v>
      </c>
      <c r="C74" s="542"/>
      <c r="D74" s="542"/>
      <c r="E74" s="542"/>
      <c r="F74" s="542"/>
      <c r="G74" s="542"/>
      <c r="H74" s="542"/>
      <c r="I74" s="542"/>
      <c r="J74" s="542"/>
    </row>
    <row r="75" spans="1:13" s="339" customFormat="1">
      <c r="A75" s="543" t="s">
        <v>494</v>
      </c>
      <c r="B75" s="541"/>
      <c r="C75" s="542"/>
      <c r="D75" s="542"/>
      <c r="E75" s="542"/>
      <c r="F75" s="542"/>
      <c r="G75" s="542"/>
      <c r="H75" s="542"/>
      <c r="I75" s="542"/>
      <c r="J75" s="542"/>
    </row>
    <row r="76" spans="1:13" s="339" customFormat="1">
      <c r="A76" s="543" t="s">
        <v>495</v>
      </c>
      <c r="B76" s="541"/>
      <c r="C76" s="542"/>
      <c r="D76" s="542"/>
      <c r="E76" s="542"/>
      <c r="F76" s="542"/>
      <c r="G76" s="542"/>
      <c r="H76" s="542"/>
      <c r="I76" s="542"/>
      <c r="J76" s="542"/>
    </row>
    <row r="77" spans="1:13" s="339" customFormat="1">
      <c r="A77" s="543" t="s">
        <v>496</v>
      </c>
      <c r="B77" s="1361"/>
      <c r="C77" s="1361"/>
      <c r="D77" s="1361"/>
      <c r="E77" s="1361"/>
      <c r="F77" s="1361"/>
      <c r="G77" s="1361"/>
      <c r="H77" s="1361"/>
      <c r="I77" s="1361"/>
      <c r="J77" s="1361"/>
    </row>
    <row r="78" spans="1:13" s="339" customFormat="1">
      <c r="A78" s="543" t="s">
        <v>497</v>
      </c>
      <c r="B78" s="1361"/>
      <c r="C78" s="1361"/>
      <c r="D78" s="1361"/>
      <c r="E78" s="1361"/>
      <c r="F78" s="1361"/>
      <c r="G78" s="1361"/>
      <c r="H78" s="1361"/>
      <c r="I78" s="1361"/>
      <c r="J78" s="1361"/>
    </row>
    <row r="79" spans="1:13" s="339" customFormat="1">
      <c r="A79" s="543" t="s">
        <v>498</v>
      </c>
      <c r="B79" s="1361"/>
      <c r="C79" s="1361"/>
      <c r="D79" s="1361"/>
      <c r="E79" s="1361"/>
      <c r="F79" s="1361"/>
      <c r="G79" s="1361"/>
      <c r="H79" s="1361"/>
      <c r="I79" s="1361"/>
      <c r="J79" s="1361"/>
    </row>
    <row r="80" spans="1:13" s="339" customFormat="1">
      <c r="A80" s="543" t="s">
        <v>499</v>
      </c>
      <c r="B80" s="1361"/>
      <c r="C80" s="1361"/>
      <c r="D80" s="1361"/>
      <c r="E80" s="1361"/>
      <c r="F80" s="1361"/>
      <c r="G80" s="1361"/>
      <c r="H80" s="1361"/>
      <c r="I80" s="1361"/>
      <c r="J80" s="1361"/>
    </row>
    <row r="81" spans="1:10" s="339" customFormat="1">
      <c r="A81" s="543" t="s">
        <v>500</v>
      </c>
      <c r="B81" s="402"/>
      <c r="C81" s="402"/>
      <c r="D81" s="402"/>
      <c r="E81" s="402"/>
      <c r="F81" s="402"/>
      <c r="G81" s="402"/>
      <c r="H81" s="402"/>
      <c r="I81" s="402"/>
      <c r="J81" s="402"/>
    </row>
    <row r="82" spans="1:10" s="339" customFormat="1">
      <c r="A82" s="543" t="s">
        <v>501</v>
      </c>
      <c r="B82" s="1361"/>
      <c r="C82" s="1361"/>
      <c r="D82" s="1361"/>
      <c r="E82" s="1361"/>
      <c r="F82" s="1361"/>
      <c r="G82" s="1361"/>
      <c r="H82" s="1361"/>
      <c r="I82" s="1361"/>
      <c r="J82" s="1361"/>
    </row>
  </sheetData>
  <sheetProtection insertRows="0" sort="0" autoFilter="0" pivotTables="0"/>
  <mergeCells count="12">
    <mergeCell ref="B26:J26"/>
    <mergeCell ref="B82:J82"/>
    <mergeCell ref="B77:J77"/>
    <mergeCell ref="B78:J78"/>
    <mergeCell ref="B79:J79"/>
    <mergeCell ref="B80:J80"/>
    <mergeCell ref="B34:J34"/>
    <mergeCell ref="B27:J27"/>
    <mergeCell ref="B28:J28"/>
    <mergeCell ref="B29:J29"/>
    <mergeCell ref="B30:J30"/>
    <mergeCell ref="B31:J31"/>
  </mergeCells>
  <conditionalFormatting sqref="D7:H7">
    <cfRule type="expression" dxfId="45" priority="1">
      <formula>AND(D$5="Actuals",E$5="Forecast")</formula>
    </cfRule>
  </conditionalFormatting>
  <conditionalFormatting sqref="H5:H6">
    <cfRule type="expression" dxfId="44" priority="237">
      <formula>AND(H$5="Actuals",#REF!="Forecast")</formula>
    </cfRule>
  </conditionalFormatting>
  <conditionalFormatting sqref="I5 D5:G6">
    <cfRule type="expression" dxfId="43" priority="33">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AA100"/>
  <sheetViews>
    <sheetView zoomScale="85" zoomScaleNormal="85" workbookViewId="0">
      <selection activeCell="D13" sqref="D13"/>
    </sheetView>
  </sheetViews>
  <sheetFormatPr defaultColWidth="0" defaultRowHeight="13.5" zeroHeight="1"/>
  <cols>
    <col min="1" max="1" width="8.3828125" style="114" customWidth="1"/>
    <col min="2" max="2" width="74.84375" style="114" customWidth="1"/>
    <col min="3" max="3" width="14.15234375" style="114" customWidth="1"/>
    <col min="4" max="8" width="11.15234375" style="114" customWidth="1"/>
    <col min="9" max="10" width="12.84375" style="114" customWidth="1"/>
    <col min="11" max="11" width="5" style="114" customWidth="1"/>
    <col min="12" max="23" width="9.23046875" style="114" customWidth="1"/>
    <col min="24" max="27" width="9" style="114" hidden="1" customWidth="1"/>
    <col min="28" max="16384" width="9" style="114" hidden="1"/>
  </cols>
  <sheetData>
    <row r="1" spans="1:27" ht="20">
      <c r="A1" s="324" t="s">
        <v>264</v>
      </c>
      <c r="B1" s="326"/>
      <c r="C1" s="327"/>
      <c r="D1" s="327"/>
      <c r="E1" s="327"/>
      <c r="F1" s="327"/>
      <c r="G1" s="327"/>
      <c r="H1" s="327"/>
      <c r="I1" s="328"/>
      <c r="J1" s="328"/>
      <c r="K1" s="456"/>
    </row>
    <row r="2" spans="1:27" ht="20">
      <c r="A2" s="329" t="s">
        <v>4</v>
      </c>
      <c r="B2" s="331"/>
      <c r="C2" s="332"/>
      <c r="D2" s="332"/>
      <c r="E2" s="332"/>
      <c r="F2" s="332"/>
      <c r="G2" s="332"/>
      <c r="H2" s="332"/>
      <c r="I2" s="333"/>
      <c r="J2" s="333"/>
      <c r="K2" s="334"/>
    </row>
    <row r="3" spans="1:27" ht="20">
      <c r="A3" s="555">
        <v>2024</v>
      </c>
      <c r="B3" s="556" t="s">
        <v>1245</v>
      </c>
      <c r="C3" s="555"/>
      <c r="D3" s="335"/>
      <c r="E3" s="335"/>
      <c r="F3" s="335"/>
      <c r="G3" s="335"/>
      <c r="H3" s="335"/>
      <c r="I3" s="336"/>
      <c r="J3" s="336"/>
      <c r="K3" s="337"/>
    </row>
    <row r="4" spans="1:27" ht="12.75" customHeight="1">
      <c r="A4" s="557"/>
      <c r="B4" s="557"/>
      <c r="C4" s="557"/>
      <c r="D4" s="557"/>
      <c r="E4" s="557"/>
      <c r="F4" s="557"/>
      <c r="G4" s="557"/>
      <c r="H4" s="557"/>
      <c r="I4" s="558"/>
    </row>
    <row r="5" spans="1:27">
      <c r="A5" s="339"/>
      <c r="B5" s="480"/>
      <c r="C5" s="480"/>
      <c r="D5" s="338" t="s">
        <v>1246</v>
      </c>
      <c r="E5" s="338" t="s">
        <v>1246</v>
      </c>
      <c r="F5" s="338" t="s">
        <v>1246</v>
      </c>
      <c r="G5" s="338" t="s">
        <v>1247</v>
      </c>
      <c r="H5" s="338" t="s">
        <v>1247</v>
      </c>
      <c r="I5" s="338" t="s">
        <v>1247</v>
      </c>
      <c r="J5" s="339"/>
      <c r="K5" s="339"/>
      <c r="L5" s="339"/>
      <c r="M5" s="339"/>
      <c r="N5" s="339"/>
      <c r="O5" s="339"/>
      <c r="P5" s="339"/>
      <c r="Q5" s="339"/>
      <c r="R5" s="339"/>
      <c r="S5" s="339"/>
      <c r="T5" s="339"/>
      <c r="U5" s="339"/>
      <c r="V5" s="339"/>
      <c r="W5" s="339"/>
      <c r="X5" s="339"/>
      <c r="Y5" s="339"/>
      <c r="Z5" s="339"/>
      <c r="AA5" s="339"/>
    </row>
    <row r="6" spans="1:27" ht="27">
      <c r="A6" s="339"/>
      <c r="B6" s="339"/>
      <c r="C6" s="339"/>
      <c r="D6" s="457">
        <v>2022</v>
      </c>
      <c r="E6" s="458">
        <v>2023</v>
      </c>
      <c r="F6" s="458">
        <v>2024</v>
      </c>
      <c r="G6" s="458">
        <v>2025</v>
      </c>
      <c r="H6" s="559">
        <v>2026</v>
      </c>
      <c r="I6" s="560" t="s">
        <v>1248</v>
      </c>
      <c r="J6" s="561" t="s">
        <v>483</v>
      </c>
      <c r="K6" s="339"/>
      <c r="L6" s="339"/>
      <c r="M6" s="339"/>
      <c r="N6" s="339"/>
      <c r="O6" s="339"/>
      <c r="P6" s="339"/>
      <c r="Q6" s="339"/>
      <c r="R6" s="339"/>
      <c r="S6" s="339"/>
      <c r="T6" s="339"/>
      <c r="U6" s="339"/>
      <c r="V6" s="339"/>
      <c r="W6" s="339"/>
      <c r="X6" s="339"/>
      <c r="Y6" s="339"/>
      <c r="Z6" s="339"/>
      <c r="AA6" s="339"/>
    </row>
    <row r="7" spans="1:27">
      <c r="A7" s="339"/>
      <c r="B7" s="339"/>
      <c r="C7" s="339"/>
      <c r="D7" s="457" t="s">
        <v>1249</v>
      </c>
      <c r="E7" s="457" t="s">
        <v>1250</v>
      </c>
      <c r="F7" s="457" t="s">
        <v>1251</v>
      </c>
      <c r="G7" s="457" t="s">
        <v>1252</v>
      </c>
      <c r="H7" s="562" t="s">
        <v>1253</v>
      </c>
      <c r="I7" s="339"/>
      <c r="J7" s="339"/>
      <c r="K7" s="339"/>
      <c r="L7" s="339"/>
      <c r="M7" s="339"/>
      <c r="N7" s="339"/>
      <c r="O7" s="339"/>
      <c r="P7" s="339"/>
      <c r="Q7" s="339"/>
      <c r="R7" s="339"/>
      <c r="S7" s="339"/>
      <c r="T7" s="339"/>
      <c r="U7" s="339"/>
      <c r="V7" s="339"/>
      <c r="W7" s="339"/>
      <c r="X7" s="339"/>
      <c r="Y7" s="339"/>
      <c r="Z7" s="339"/>
      <c r="AA7" s="339"/>
    </row>
    <row r="8" spans="1:27">
      <c r="A8" s="339"/>
      <c r="B8" s="339"/>
      <c r="C8" s="339"/>
      <c r="D8" s="339"/>
      <c r="E8" s="339"/>
      <c r="F8" s="339"/>
      <c r="G8" s="339"/>
      <c r="H8" s="339"/>
      <c r="I8" s="339"/>
      <c r="J8" s="339"/>
      <c r="K8" s="339"/>
      <c r="L8" s="339"/>
      <c r="M8" s="339"/>
      <c r="N8" s="339"/>
      <c r="O8" s="339"/>
      <c r="P8" s="339"/>
      <c r="Q8" s="339"/>
      <c r="R8" s="339"/>
      <c r="S8" s="339"/>
      <c r="T8" s="339"/>
      <c r="U8" s="339"/>
      <c r="V8" s="339"/>
      <c r="W8" s="339"/>
      <c r="X8" s="339"/>
      <c r="Y8" s="339"/>
      <c r="Z8" s="339"/>
      <c r="AA8" s="339"/>
    </row>
    <row r="9" spans="1:27">
      <c r="B9" s="563" t="s">
        <v>739</v>
      </c>
      <c r="C9" s="29" t="s">
        <v>522</v>
      </c>
      <c r="D9" s="591">
        <v>316.3534681299999</v>
      </c>
      <c r="E9" s="591">
        <v>204.97499434999986</v>
      </c>
      <c r="F9" s="591">
        <v>202.85811992473543</v>
      </c>
      <c r="G9" s="591">
        <v>181.68456240652563</v>
      </c>
      <c r="H9" s="591">
        <v>188.81385155382426</v>
      </c>
      <c r="I9" s="339"/>
      <c r="J9" s="339"/>
    </row>
    <row r="10" spans="1:27">
      <c r="B10" s="429"/>
      <c r="C10" s="29"/>
      <c r="D10" s="39"/>
      <c r="E10" s="39"/>
      <c r="F10" s="39"/>
      <c r="G10" s="39"/>
      <c r="H10" s="39"/>
      <c r="I10" s="339"/>
      <c r="J10" s="339"/>
    </row>
    <row r="11" spans="1:27">
      <c r="B11" s="429" t="s">
        <v>672</v>
      </c>
      <c r="C11" s="564"/>
      <c r="D11" s="565"/>
      <c r="E11" s="565"/>
      <c r="F11" s="565"/>
      <c r="G11" s="565"/>
      <c r="H11" s="565"/>
      <c r="I11" s="339"/>
      <c r="J11" s="339"/>
    </row>
    <row r="12" spans="1:27">
      <c r="B12" s="566" t="s">
        <v>744</v>
      </c>
      <c r="C12" s="29" t="s">
        <v>522</v>
      </c>
      <c r="D12" s="591">
        <v>0</v>
      </c>
      <c r="E12" s="591">
        <v>0</v>
      </c>
      <c r="F12" s="591">
        <v>0</v>
      </c>
      <c r="G12" s="591">
        <v>0</v>
      </c>
      <c r="H12" s="591">
        <v>0</v>
      </c>
      <c r="I12" s="339"/>
      <c r="J12" s="339"/>
    </row>
    <row r="13" spans="1:27">
      <c r="B13" s="566" t="s">
        <v>745</v>
      </c>
      <c r="C13" s="29" t="s">
        <v>522</v>
      </c>
      <c r="D13" s="591">
        <v>13.819698439999998</v>
      </c>
      <c r="E13" s="591">
        <v>14.963229609999999</v>
      </c>
      <c r="F13" s="591">
        <v>15.535199629999999</v>
      </c>
      <c r="G13" s="591">
        <v>3.7789985591600463</v>
      </c>
      <c r="H13" s="591">
        <v>3.2317871291445792</v>
      </c>
      <c r="I13" s="339"/>
      <c r="J13" s="339"/>
    </row>
    <row r="14" spans="1:27">
      <c r="B14" s="566" t="s">
        <v>746</v>
      </c>
      <c r="C14" s="29" t="s">
        <v>522</v>
      </c>
      <c r="D14" s="591">
        <v>0</v>
      </c>
      <c r="E14" s="591">
        <v>0</v>
      </c>
      <c r="F14" s="591">
        <v>0</v>
      </c>
      <c r="G14" s="591">
        <v>0</v>
      </c>
      <c r="H14" s="591">
        <v>0</v>
      </c>
      <c r="I14" s="339"/>
      <c r="J14" s="339"/>
    </row>
    <row r="15" spans="1:27">
      <c r="B15" s="566" t="s">
        <v>747</v>
      </c>
      <c r="C15" s="29" t="s">
        <v>522</v>
      </c>
      <c r="D15" s="591">
        <v>0</v>
      </c>
      <c r="E15" s="591">
        <v>0</v>
      </c>
      <c r="F15" s="591">
        <v>0</v>
      </c>
      <c r="G15" s="591">
        <v>0</v>
      </c>
      <c r="H15" s="591">
        <v>0</v>
      </c>
      <c r="I15" s="339"/>
      <c r="J15" s="339"/>
    </row>
    <row r="16" spans="1:27">
      <c r="B16" s="566" t="s">
        <v>748</v>
      </c>
      <c r="C16" s="29" t="s">
        <v>522</v>
      </c>
      <c r="D16" s="591">
        <v>0</v>
      </c>
      <c r="E16" s="591">
        <v>0</v>
      </c>
      <c r="F16" s="591">
        <v>0</v>
      </c>
      <c r="G16" s="591">
        <v>0</v>
      </c>
      <c r="H16" s="591">
        <v>0</v>
      </c>
      <c r="I16" s="339"/>
      <c r="J16" s="339"/>
    </row>
    <row r="17" spans="2:9">
      <c r="B17" s="566" t="s">
        <v>749</v>
      </c>
      <c r="C17" s="29" t="s">
        <v>522</v>
      </c>
      <c r="D17" s="591">
        <v>9</v>
      </c>
      <c r="E17" s="591">
        <v>29</v>
      </c>
      <c r="F17" s="591">
        <v>33</v>
      </c>
      <c r="G17" s="591">
        <v>35</v>
      </c>
      <c r="H17" s="591">
        <v>35</v>
      </c>
      <c r="I17" s="339"/>
    </row>
    <row r="18" spans="2:9">
      <c r="B18" s="566" t="s">
        <v>750</v>
      </c>
      <c r="C18" s="29" t="s">
        <v>522</v>
      </c>
      <c r="D18" s="591">
        <v>-4.5332836099999936</v>
      </c>
      <c r="E18" s="591">
        <v>-7.2766104899999995</v>
      </c>
      <c r="F18" s="591">
        <v>3.9201389299999989</v>
      </c>
      <c r="G18" s="591">
        <v>-5.5044040992774139</v>
      </c>
      <c r="H18" s="591">
        <v>-5.1790534673784503</v>
      </c>
      <c r="I18" s="339"/>
    </row>
    <row r="19" spans="2:9" ht="12.75" customHeight="1">
      <c r="B19" s="566" t="s">
        <v>751</v>
      </c>
      <c r="C19" s="29" t="s">
        <v>522</v>
      </c>
      <c r="D19" s="591">
        <v>-0.2824158799999999</v>
      </c>
      <c r="E19" s="591">
        <v>-3.0097344699999997</v>
      </c>
      <c r="F19" s="591">
        <v>-1.9666726999999986</v>
      </c>
      <c r="G19" s="591">
        <v>-0.57600000000000007</v>
      </c>
      <c r="H19" s="591">
        <v>-0.57600000000000007</v>
      </c>
      <c r="I19" s="339"/>
    </row>
    <row r="20" spans="2:9">
      <c r="B20" s="566" t="s">
        <v>1233</v>
      </c>
      <c r="C20" s="29" t="s">
        <v>522</v>
      </c>
      <c r="D20" s="591">
        <v>-0.28329284999999998</v>
      </c>
      <c r="E20" s="591">
        <v>-0.30700746999999995</v>
      </c>
      <c r="F20" s="591">
        <v>-0.28404590000000002</v>
      </c>
      <c r="G20" s="591">
        <v>-0.27436445682940558</v>
      </c>
      <c r="H20" s="591">
        <v>0</v>
      </c>
      <c r="I20" s="339"/>
    </row>
    <row r="21" spans="2:9">
      <c r="B21" s="566" t="s">
        <v>1234</v>
      </c>
      <c r="C21" s="29" t="s">
        <v>522</v>
      </c>
      <c r="D21" s="591">
        <v>-2.0715935500000002</v>
      </c>
      <c r="E21" s="591">
        <v>-0.47992902999999987</v>
      </c>
      <c r="F21" s="591">
        <v>0</v>
      </c>
      <c r="G21" s="591">
        <v>-1.3724999999999998</v>
      </c>
      <c r="H21" s="591">
        <v>-1.3724999999999998</v>
      </c>
      <c r="I21" s="339"/>
    </row>
    <row r="22" spans="2:9">
      <c r="B22" s="566" t="s">
        <v>1235</v>
      </c>
      <c r="C22" s="29" t="s">
        <v>522</v>
      </c>
      <c r="D22" s="591">
        <v>-77.819520879999999</v>
      </c>
      <c r="E22" s="591">
        <v>158</v>
      </c>
      <c r="F22" s="591">
        <v>27.193917420000091</v>
      </c>
      <c r="G22" s="591">
        <v>0</v>
      </c>
      <c r="H22" s="591">
        <v>0</v>
      </c>
      <c r="I22" s="339"/>
    </row>
    <row r="23" spans="2:9">
      <c r="B23" s="566" t="s">
        <v>1236</v>
      </c>
      <c r="C23" s="29" t="s">
        <v>522</v>
      </c>
      <c r="D23" s="591">
        <v>0</v>
      </c>
      <c r="E23" s="591">
        <v>0</v>
      </c>
      <c r="F23" s="591">
        <v>0</v>
      </c>
      <c r="G23" s="591">
        <v>0</v>
      </c>
      <c r="H23" s="591">
        <v>0</v>
      </c>
      <c r="I23" s="339"/>
    </row>
    <row r="24" spans="2:9">
      <c r="B24" s="566" t="s">
        <v>1237</v>
      </c>
      <c r="C24" s="29" t="s">
        <v>522</v>
      </c>
      <c r="D24" s="591">
        <v>-192.98837177675031</v>
      </c>
      <c r="E24" s="591">
        <v>-300.86308336866887</v>
      </c>
      <c r="F24" s="591">
        <v>-213.24580371181162</v>
      </c>
      <c r="G24" s="591">
        <v>-162.13020349160146</v>
      </c>
      <c r="H24" s="591">
        <v>-167.65314188551105</v>
      </c>
      <c r="I24" s="339"/>
    </row>
    <row r="25" spans="2:9">
      <c r="B25" s="566" t="s">
        <v>755</v>
      </c>
      <c r="C25" s="29" t="s">
        <v>522</v>
      </c>
      <c r="D25" s="591">
        <v>0</v>
      </c>
      <c r="E25" s="591">
        <v>0</v>
      </c>
      <c r="F25" s="591">
        <v>0</v>
      </c>
      <c r="G25" s="591">
        <v>0</v>
      </c>
      <c r="H25" s="591">
        <v>0</v>
      </c>
      <c r="I25" s="339"/>
    </row>
    <row r="26" spans="2:9">
      <c r="B26" s="566" t="s">
        <v>755</v>
      </c>
      <c r="C26" s="29" t="s">
        <v>522</v>
      </c>
      <c r="D26" s="591">
        <v>0</v>
      </c>
      <c r="E26" s="591">
        <v>0</v>
      </c>
      <c r="F26" s="591">
        <v>0</v>
      </c>
      <c r="G26" s="591">
        <v>0</v>
      </c>
      <c r="H26" s="591">
        <v>0</v>
      </c>
      <c r="I26" s="339"/>
    </row>
    <row r="27" spans="2:9">
      <c r="B27" s="566" t="s">
        <v>755</v>
      </c>
      <c r="C27" s="29" t="s">
        <v>522</v>
      </c>
      <c r="D27" s="591">
        <v>0</v>
      </c>
      <c r="E27" s="591">
        <v>0</v>
      </c>
      <c r="F27" s="591">
        <v>0</v>
      </c>
      <c r="G27" s="591">
        <v>0</v>
      </c>
      <c r="H27" s="591">
        <v>0</v>
      </c>
      <c r="I27" s="339"/>
    </row>
    <row r="28" spans="2:9">
      <c r="B28" s="566" t="s">
        <v>755</v>
      </c>
      <c r="C28" s="29" t="s">
        <v>522</v>
      </c>
      <c r="D28" s="591">
        <v>0</v>
      </c>
      <c r="E28" s="591">
        <v>0</v>
      </c>
      <c r="F28" s="591">
        <v>0</v>
      </c>
      <c r="G28" s="591">
        <v>0</v>
      </c>
      <c r="H28" s="591">
        <v>0</v>
      </c>
      <c r="I28" s="339"/>
    </row>
    <row r="29" spans="2:9">
      <c r="B29" s="567" t="s">
        <v>579</v>
      </c>
      <c r="C29" s="29" t="s">
        <v>522</v>
      </c>
      <c r="D29" s="26">
        <v>61.194688023249626</v>
      </c>
      <c r="E29" s="27">
        <v>95.001859131331003</v>
      </c>
      <c r="F29" s="27">
        <v>67.010853592923922</v>
      </c>
      <c r="G29" s="27">
        <v>50.606088917977388</v>
      </c>
      <c r="H29" s="27">
        <v>52.264943330079348</v>
      </c>
      <c r="I29" s="339"/>
    </row>
    <row r="30" spans="2:9" ht="14">
      <c r="B30" s="568" t="s">
        <v>673</v>
      </c>
      <c r="C30" s="29" t="s">
        <v>522</v>
      </c>
      <c r="D30" s="547"/>
      <c r="E30" s="569"/>
      <c r="F30" s="569"/>
      <c r="G30" s="569">
        <v>6.5308210519309391</v>
      </c>
      <c r="H30" s="569">
        <v>8.1290770058595214</v>
      </c>
      <c r="I30" s="339"/>
    </row>
    <row r="31" spans="2:9">
      <c r="B31" s="1227" t="s">
        <v>674</v>
      </c>
      <c r="C31" s="29" t="s">
        <v>522</v>
      </c>
      <c r="D31" s="26">
        <v>61.194688023249626</v>
      </c>
      <c r="E31" s="27">
        <v>95.001859131331003</v>
      </c>
      <c r="F31" s="27">
        <v>67.010853592923922</v>
      </c>
      <c r="G31" s="27">
        <v>57.136909969908331</v>
      </c>
      <c r="H31" s="27">
        <v>60.394020335938869</v>
      </c>
      <c r="I31" s="339"/>
    </row>
    <row r="32" spans="2:9">
      <c r="B32" s="88" t="s">
        <v>675</v>
      </c>
      <c r="C32" s="29" t="s">
        <v>522</v>
      </c>
      <c r="D32" s="569">
        <v>61.194688023249626</v>
      </c>
      <c r="E32" s="569">
        <v>95.001859131331003</v>
      </c>
      <c r="F32" s="569">
        <v>67.010853592923922</v>
      </c>
      <c r="G32" s="569">
        <v>57.136909969908331</v>
      </c>
      <c r="H32" s="569">
        <v>60.394020335938869</v>
      </c>
      <c r="I32" s="339"/>
    </row>
    <row r="33" spans="2:11">
      <c r="B33" s="88" t="s">
        <v>676</v>
      </c>
      <c r="C33" s="29" t="s">
        <v>522</v>
      </c>
      <c r="D33" s="569">
        <v>0</v>
      </c>
      <c r="E33" s="569">
        <v>0</v>
      </c>
      <c r="F33" s="569">
        <v>0</v>
      </c>
      <c r="G33" s="569">
        <v>0</v>
      </c>
      <c r="H33" s="569">
        <v>0</v>
      </c>
      <c r="I33" s="339"/>
    </row>
    <row r="34" spans="2:11">
      <c r="B34" s="88"/>
      <c r="D34" s="592" t="s">
        <v>1254</v>
      </c>
      <c r="E34" s="593" t="s">
        <v>1254</v>
      </c>
      <c r="F34" s="593" t="s">
        <v>1254</v>
      </c>
      <c r="G34" s="593" t="s">
        <v>1254</v>
      </c>
      <c r="H34" s="593" t="s">
        <v>1254</v>
      </c>
      <c r="I34" s="339"/>
    </row>
    <row r="35" spans="2:11">
      <c r="D35" s="570"/>
      <c r="E35" s="570"/>
      <c r="F35" s="570"/>
      <c r="G35" s="570"/>
      <c r="H35" s="570"/>
      <c r="I35" s="339"/>
    </row>
    <row r="36" spans="2:11">
      <c r="B36" s="88" t="s">
        <v>677</v>
      </c>
      <c r="C36" s="29" t="s">
        <v>522</v>
      </c>
      <c r="D36" s="569">
        <v>34.267338552458561</v>
      </c>
      <c r="E36" s="569">
        <v>70.465825886713873</v>
      </c>
      <c r="F36" s="569">
        <v>33.896585553646474</v>
      </c>
      <c r="G36" s="569">
        <v>15.1137417509761</v>
      </c>
      <c r="H36" s="569">
        <v>11.61309593066343</v>
      </c>
      <c r="I36" s="339"/>
    </row>
    <row r="37" spans="2:11">
      <c r="D37" s="570"/>
      <c r="E37" s="570"/>
      <c r="F37" s="570"/>
      <c r="G37" s="570"/>
      <c r="H37" s="570"/>
      <c r="I37" s="339"/>
    </row>
    <row r="38" spans="2:11">
      <c r="B38" s="88" t="s">
        <v>678</v>
      </c>
      <c r="C38" s="29" t="s">
        <v>522</v>
      </c>
      <c r="D38" s="591">
        <v>75.659901327851003</v>
      </c>
      <c r="E38" s="591">
        <v>151.65483753694645</v>
      </c>
      <c r="F38" s="591">
        <v>103.88459890245386</v>
      </c>
      <c r="G38" s="591">
        <v>44.428912252520632</v>
      </c>
      <c r="H38" s="591">
        <v>29.920192634812597</v>
      </c>
      <c r="I38" s="339"/>
      <c r="K38" s="346"/>
    </row>
    <row r="39" spans="2:11">
      <c r="B39" s="88"/>
      <c r="C39" s="29"/>
      <c r="D39" s="571"/>
      <c r="E39" s="571"/>
      <c r="F39" s="571"/>
      <c r="G39" s="571"/>
      <c r="H39" s="571"/>
      <c r="I39" s="339"/>
      <c r="K39" s="346"/>
    </row>
    <row r="40" spans="2:11">
      <c r="B40" s="88" t="s">
        <v>679</v>
      </c>
      <c r="C40" s="29" t="s">
        <v>522</v>
      </c>
      <c r="D40" s="21">
        <v>-14.465213304601377</v>
      </c>
      <c r="E40" s="21">
        <v>-56.652978405615443</v>
      </c>
      <c r="F40" s="21">
        <v>-36.873745309529937</v>
      </c>
      <c r="G40" s="21">
        <v>12.707997717387698</v>
      </c>
      <c r="H40" s="21">
        <v>30.473827701126272</v>
      </c>
    </row>
    <row r="41" spans="2:11">
      <c r="B41" s="88"/>
      <c r="C41" s="29"/>
      <c r="D41" s="29"/>
      <c r="E41" s="29"/>
      <c r="F41" s="29"/>
      <c r="G41" s="29"/>
      <c r="H41" s="29"/>
      <c r="I41" s="29"/>
      <c r="K41" s="346"/>
    </row>
    <row r="42" spans="2:11">
      <c r="B42" s="572" t="s">
        <v>680</v>
      </c>
      <c r="C42" s="29" t="s">
        <v>681</v>
      </c>
      <c r="D42" s="594">
        <v>1.0847835302284383</v>
      </c>
      <c r="E42" s="594">
        <v>1.1799638149272795</v>
      </c>
      <c r="F42" s="594">
        <v>1.2454152449594804</v>
      </c>
      <c r="G42" s="594">
        <v>1.2741504065955518</v>
      </c>
      <c r="H42" s="594">
        <v>1.2937411435491952</v>
      </c>
      <c r="I42" s="29"/>
      <c r="K42" s="346"/>
    </row>
    <row r="43" spans="2:11">
      <c r="I43" s="468"/>
      <c r="J43" s="468"/>
      <c r="K43" s="468"/>
    </row>
    <row r="44" spans="2:11">
      <c r="B44" s="86" t="s">
        <v>679</v>
      </c>
      <c r="C44" s="476" t="s">
        <v>23</v>
      </c>
      <c r="D44" s="26">
        <v>-13.334654243464806</v>
      </c>
      <c r="E44" s="27">
        <v>-48.012470966414284</v>
      </c>
      <c r="F44" s="27">
        <v>-29.607591089612544</v>
      </c>
      <c r="G44" s="27">
        <v>9.9737029879719259</v>
      </c>
      <c r="H44" s="27">
        <v>23.554810676829561</v>
      </c>
      <c r="I44" s="595">
        <v>-90.954716299491636</v>
      </c>
      <c r="J44" s="596">
        <v>-57.426202634690156</v>
      </c>
    </row>
    <row r="45" spans="2:11">
      <c r="B45" s="88"/>
      <c r="C45" s="468"/>
      <c r="D45" s="573"/>
      <c r="E45" s="573"/>
      <c r="F45" s="573"/>
      <c r="G45" s="573"/>
      <c r="H45" s="573"/>
      <c r="I45" s="574"/>
      <c r="J45" s="574"/>
    </row>
    <row r="46" spans="2:11">
      <c r="B46" s="86" t="s">
        <v>682</v>
      </c>
      <c r="C46" s="29"/>
      <c r="D46" s="573"/>
      <c r="E46" s="573"/>
      <c r="F46" s="573"/>
      <c r="G46" s="573"/>
      <c r="H46" s="573"/>
      <c r="I46" s="574"/>
      <c r="J46" s="574"/>
    </row>
    <row r="47" spans="2:11">
      <c r="B47" s="566" t="s">
        <v>752</v>
      </c>
      <c r="C47" s="29" t="s">
        <v>522</v>
      </c>
      <c r="D47" s="101">
        <v>4.5332836099999936</v>
      </c>
      <c r="E47" s="101">
        <v>7.2766104899999995</v>
      </c>
      <c r="F47" s="101">
        <v>-3.9201389299999989</v>
      </c>
      <c r="G47" s="101">
        <v>5.5044040992774139</v>
      </c>
      <c r="H47" s="101">
        <v>5.1790534673784503</v>
      </c>
      <c r="I47" s="595">
        <v>7.8897551699999955</v>
      </c>
      <c r="J47" s="595">
        <v>18.573212736655861</v>
      </c>
    </row>
    <row r="48" spans="2:11" ht="14">
      <c r="B48" s="566" t="s">
        <v>683</v>
      </c>
      <c r="C48" s="29" t="s">
        <v>522</v>
      </c>
      <c r="D48" s="547"/>
      <c r="E48" s="569">
        <v>0.2948565881380763</v>
      </c>
      <c r="F48" s="569">
        <v>0.17932897893677877</v>
      </c>
      <c r="G48" s="569">
        <v>0.26166996321718644</v>
      </c>
      <c r="H48" s="569">
        <v>0</v>
      </c>
      <c r="I48" s="595">
        <v>0.47418556707485504</v>
      </c>
      <c r="J48" s="595">
        <v>0.73585553029204154</v>
      </c>
    </row>
    <row r="49" spans="1:11">
      <c r="B49" s="566" t="s">
        <v>753</v>
      </c>
      <c r="C49" s="29" t="s">
        <v>522</v>
      </c>
      <c r="D49" s="101">
        <v>0</v>
      </c>
      <c r="E49" s="101">
        <v>0</v>
      </c>
      <c r="F49" s="101">
        <v>0</v>
      </c>
      <c r="G49" s="101">
        <v>0</v>
      </c>
      <c r="H49" s="101">
        <v>0</v>
      </c>
      <c r="I49" s="595">
        <v>0</v>
      </c>
      <c r="J49" s="595">
        <v>0</v>
      </c>
    </row>
    <row r="50" spans="1:11">
      <c r="B50" s="566" t="s">
        <v>754</v>
      </c>
      <c r="C50" s="29" t="s">
        <v>522</v>
      </c>
      <c r="D50" s="101">
        <v>0</v>
      </c>
      <c r="E50" s="101">
        <v>0</v>
      </c>
      <c r="F50" s="101">
        <v>0</v>
      </c>
      <c r="G50" s="101">
        <v>0</v>
      </c>
      <c r="H50" s="101">
        <v>0</v>
      </c>
      <c r="I50" s="595">
        <v>0</v>
      </c>
      <c r="J50" s="595">
        <v>0</v>
      </c>
    </row>
    <row r="51" spans="1:11">
      <c r="B51" s="566" t="s">
        <v>1238</v>
      </c>
      <c r="C51" s="29" t="s">
        <v>522</v>
      </c>
      <c r="D51" s="101">
        <v>-3.4418935053520339</v>
      </c>
      <c r="E51" s="101">
        <v>-5.530329244788331</v>
      </c>
      <c r="F51" s="101">
        <v>2.9828129145237106</v>
      </c>
      <c r="G51" s="101">
        <v>-4.1950066281951859</v>
      </c>
      <c r="H51" s="101">
        <v>-3.9482181965519088</v>
      </c>
      <c r="I51" s="595">
        <v>-5.9894098356166534</v>
      </c>
      <c r="J51" s="595">
        <v>-14.132634660363749</v>
      </c>
    </row>
    <row r="52" spans="1:11">
      <c r="B52" s="566" t="s">
        <v>755</v>
      </c>
      <c r="C52" s="29" t="s">
        <v>522</v>
      </c>
      <c r="D52" s="101">
        <v>0</v>
      </c>
      <c r="E52" s="101">
        <v>0</v>
      </c>
      <c r="F52" s="101">
        <v>0</v>
      </c>
      <c r="G52" s="101">
        <v>0</v>
      </c>
      <c r="H52" s="101">
        <v>0</v>
      </c>
      <c r="I52" s="595">
        <v>0</v>
      </c>
      <c r="J52" s="595">
        <v>0</v>
      </c>
    </row>
    <row r="53" spans="1:11">
      <c r="B53" s="566" t="s">
        <v>755</v>
      </c>
      <c r="C53" s="29" t="s">
        <v>522</v>
      </c>
      <c r="D53" s="101">
        <v>0</v>
      </c>
      <c r="E53" s="101">
        <v>0</v>
      </c>
      <c r="F53" s="101">
        <v>0</v>
      </c>
      <c r="G53" s="101">
        <v>0</v>
      </c>
      <c r="H53" s="101">
        <v>0</v>
      </c>
      <c r="I53" s="595">
        <v>0</v>
      </c>
      <c r="J53" s="595">
        <v>0</v>
      </c>
    </row>
    <row r="54" spans="1:11">
      <c r="B54" s="566" t="s">
        <v>755</v>
      </c>
      <c r="C54" s="29" t="s">
        <v>522</v>
      </c>
      <c r="D54" s="101">
        <v>0</v>
      </c>
      <c r="E54" s="101">
        <v>0</v>
      </c>
      <c r="F54" s="101">
        <v>0</v>
      </c>
      <c r="G54" s="101">
        <v>0</v>
      </c>
      <c r="H54" s="101">
        <v>0</v>
      </c>
      <c r="I54" s="595">
        <v>0</v>
      </c>
      <c r="J54" s="595">
        <v>0</v>
      </c>
    </row>
    <row r="55" spans="1:11">
      <c r="A55" s="575"/>
      <c r="B55" s="576"/>
      <c r="C55" s="100"/>
      <c r="D55" s="577"/>
      <c r="E55" s="577"/>
      <c r="F55" s="577"/>
      <c r="G55" s="577"/>
      <c r="H55" s="577"/>
      <c r="I55" s="578"/>
      <c r="J55" s="578"/>
      <c r="K55" s="575"/>
    </row>
    <row r="56" spans="1:11">
      <c r="B56" s="579" t="s">
        <v>684</v>
      </c>
      <c r="C56" s="40" t="s">
        <v>522</v>
      </c>
      <c r="D56" s="26">
        <v>1.0913901046479597</v>
      </c>
      <c r="E56" s="26">
        <v>2.0411378333497447</v>
      </c>
      <c r="F56" s="26">
        <v>-0.75799703653950967</v>
      </c>
      <c r="G56" s="26">
        <v>1.5710674342994144</v>
      </c>
      <c r="H56" s="26">
        <v>1.2308352708265415</v>
      </c>
      <c r="I56" s="595">
        <v>2.3745309014581948</v>
      </c>
      <c r="J56" s="596">
        <v>5.1764336065841512</v>
      </c>
    </row>
    <row r="57" spans="1:11">
      <c r="B57" s="579" t="s">
        <v>684</v>
      </c>
      <c r="C57" s="476" t="s">
        <v>23</v>
      </c>
      <c r="D57" s="26">
        <v>1.0060902237501064</v>
      </c>
      <c r="E57" s="26">
        <v>1.7298308706827072</v>
      </c>
      <c r="F57" s="26">
        <v>-0.60862996467027441</v>
      </c>
      <c r="G57" s="26">
        <v>1.2330313800999413</v>
      </c>
      <c r="H57" s="26">
        <v>0.95137677035602319</v>
      </c>
      <c r="I57" s="595">
        <v>2.1272911297625394</v>
      </c>
      <c r="J57" s="596">
        <v>4.3116992802185035</v>
      </c>
    </row>
    <row r="58" spans="1:11">
      <c r="B58" s="88"/>
      <c r="C58" s="468"/>
      <c r="D58" s="573"/>
      <c r="E58" s="573"/>
      <c r="F58" s="573"/>
      <c r="G58" s="573"/>
      <c r="H58" s="573"/>
      <c r="I58" s="574"/>
      <c r="J58" s="574"/>
    </row>
    <row r="59" spans="1:11">
      <c r="A59" s="467"/>
      <c r="B59" s="339"/>
      <c r="C59" s="339"/>
      <c r="D59" s="339"/>
      <c r="E59" s="339"/>
      <c r="F59" s="339"/>
      <c r="G59" s="339"/>
      <c r="H59" s="339"/>
      <c r="I59" s="339"/>
      <c r="J59" s="339"/>
      <c r="K59" s="339"/>
    </row>
    <row r="60" spans="1:11">
      <c r="A60" s="467"/>
      <c r="B60" s="580" t="s">
        <v>685</v>
      </c>
      <c r="C60" s="393"/>
      <c r="D60" s="393"/>
      <c r="E60" s="393"/>
      <c r="F60" s="393"/>
      <c r="G60" s="393"/>
      <c r="H60" s="393"/>
      <c r="I60" s="393"/>
      <c r="J60" s="393"/>
      <c r="K60" s="393"/>
    </row>
    <row r="61" spans="1:11">
      <c r="A61" s="467"/>
      <c r="B61" s="581" t="s">
        <v>686</v>
      </c>
      <c r="C61" s="582"/>
      <c r="D61" s="582"/>
      <c r="E61" s="582"/>
      <c r="F61" s="582"/>
      <c r="G61" s="582"/>
      <c r="H61" s="582"/>
      <c r="I61" s="582"/>
      <c r="J61" s="582"/>
      <c r="K61" s="582"/>
    </row>
    <row r="62" spans="1:11">
      <c r="A62" s="467"/>
      <c r="B62" s="339"/>
      <c r="C62" s="339"/>
      <c r="D62" s="339"/>
      <c r="E62" s="339"/>
      <c r="F62" s="339"/>
      <c r="G62" s="339"/>
      <c r="H62" s="339"/>
      <c r="I62" s="339"/>
      <c r="J62" s="339"/>
      <c r="K62" s="339"/>
    </row>
    <row r="63" spans="1:11">
      <c r="B63" s="88" t="s">
        <v>24</v>
      </c>
      <c r="C63" s="468" t="s">
        <v>486</v>
      </c>
      <c r="D63" s="102">
        <v>0.6</v>
      </c>
      <c r="E63" s="103">
        <v>0.6</v>
      </c>
      <c r="F63" s="103">
        <v>0.6</v>
      </c>
      <c r="G63" s="103">
        <v>0.6</v>
      </c>
      <c r="H63" s="103">
        <v>0.6</v>
      </c>
      <c r="I63" s="339"/>
      <c r="K63" s="346"/>
    </row>
    <row r="64" spans="1:11">
      <c r="B64" s="88" t="s">
        <v>687</v>
      </c>
      <c r="C64" s="468" t="s">
        <v>486</v>
      </c>
      <c r="D64" s="103">
        <v>0.62284962105919184</v>
      </c>
      <c r="E64" s="103">
        <v>0.59585930811636778</v>
      </c>
      <c r="F64" s="103">
        <v>0.58824991530927273</v>
      </c>
      <c r="G64" s="103">
        <v>0.60169996476620058</v>
      </c>
      <c r="H64" s="103">
        <v>0.61599213116179274</v>
      </c>
      <c r="I64" s="339"/>
      <c r="K64" s="346"/>
    </row>
    <row r="65" spans="2:12">
      <c r="B65" s="88"/>
      <c r="C65" s="468"/>
      <c r="D65" s="468"/>
      <c r="E65" s="468"/>
      <c r="F65" s="468"/>
      <c r="G65" s="468"/>
      <c r="H65" s="468"/>
      <c r="I65" s="339"/>
      <c r="K65" s="346"/>
    </row>
    <row r="66" spans="2:12">
      <c r="B66" s="88" t="s">
        <v>688</v>
      </c>
      <c r="C66" s="29" t="s">
        <v>522</v>
      </c>
      <c r="D66" s="18">
        <v>-14.465213304601377</v>
      </c>
      <c r="E66" s="19">
        <v>-56.652978405615443</v>
      </c>
      <c r="F66" s="19">
        <v>-36.873745309529937</v>
      </c>
      <c r="G66" s="19">
        <v>12.707997717387698</v>
      </c>
      <c r="H66" s="19">
        <v>30.473827701126272</v>
      </c>
    </row>
    <row r="67" spans="2:12">
      <c r="B67" s="88" t="s">
        <v>689</v>
      </c>
      <c r="C67" s="29" t="s">
        <v>522</v>
      </c>
      <c r="D67" s="18">
        <v>0.53066523824554246</v>
      </c>
      <c r="E67" s="18">
        <v>-0.39368777943451949</v>
      </c>
      <c r="F67" s="18">
        <v>-0.73654006396837579</v>
      </c>
      <c r="G67" s="18">
        <v>-3.5903522741456327E-2</v>
      </c>
      <c r="H67" s="18">
        <v>-0.7911488230850191</v>
      </c>
      <c r="K67" s="346"/>
    </row>
    <row r="68" spans="2:12">
      <c r="B68" s="88" t="s">
        <v>690</v>
      </c>
      <c r="C68" s="29" t="s">
        <v>522</v>
      </c>
      <c r="D68" s="21">
        <v>-13.934548066355834</v>
      </c>
      <c r="E68" s="22">
        <v>-57.046666185049965</v>
      </c>
      <c r="F68" s="22">
        <v>-37.610285373498314</v>
      </c>
      <c r="G68" s="22">
        <v>12.672094194646242</v>
      </c>
      <c r="H68" s="22">
        <v>29.682678878041251</v>
      </c>
    </row>
    <row r="69" spans="2:12">
      <c r="B69" s="88"/>
      <c r="C69" s="29"/>
      <c r="D69" s="29"/>
      <c r="E69" s="29"/>
      <c r="F69" s="29"/>
      <c r="G69" s="29"/>
      <c r="H69" s="29"/>
      <c r="I69" s="29"/>
      <c r="J69" s="29"/>
      <c r="K69" s="29"/>
      <c r="L69" s="29"/>
    </row>
    <row r="70" spans="2:12">
      <c r="B70" s="86" t="s">
        <v>690</v>
      </c>
      <c r="C70" s="476" t="s">
        <v>23</v>
      </c>
      <c r="D70" s="26">
        <v>-12.845464259050317</v>
      </c>
      <c r="E70" s="27">
        <v>-48.346114909096357</v>
      </c>
      <c r="F70" s="27">
        <v>-30.198992284474535</v>
      </c>
      <c r="G70" s="27">
        <v>9.9455245856768713</v>
      </c>
      <c r="H70" s="27">
        <v>22.943290492108055</v>
      </c>
      <c r="I70" s="595">
        <v>-91.390571452621202</v>
      </c>
      <c r="J70" s="596">
        <v>-58.501756374836269</v>
      </c>
    </row>
    <row r="71" spans="2:12">
      <c r="B71" s="88" t="s">
        <v>691</v>
      </c>
      <c r="C71" s="468" t="s">
        <v>23</v>
      </c>
      <c r="D71" s="18">
        <v>0.96918118569858802</v>
      </c>
      <c r="E71" s="18">
        <v>1.7418516557048209</v>
      </c>
      <c r="F71" s="18">
        <v>-0.62078713366269178</v>
      </c>
      <c r="G71" s="18">
        <v>1.2295477337237875</v>
      </c>
      <c r="H71" s="18">
        <v>0.9266775228719345</v>
      </c>
      <c r="I71" s="597">
        <v>2.0902457077407171</v>
      </c>
      <c r="J71" s="598">
        <v>4.2464709643364396</v>
      </c>
      <c r="K71" s="468"/>
    </row>
    <row r="72" spans="2:12"/>
    <row r="73" spans="2:12">
      <c r="B73" s="583" t="s">
        <v>692</v>
      </c>
      <c r="C73" s="584"/>
      <c r="D73" s="584"/>
      <c r="E73" s="584"/>
      <c r="F73" s="584"/>
      <c r="G73" s="584"/>
      <c r="H73" s="584"/>
      <c r="I73" s="584"/>
      <c r="J73" s="584"/>
      <c r="K73" s="584"/>
      <c r="L73" s="468"/>
    </row>
    <row r="74" spans="2:12">
      <c r="B74" s="493"/>
      <c r="C74" s="468"/>
      <c r="D74" s="468"/>
      <c r="E74" s="468"/>
      <c r="F74" s="468"/>
      <c r="G74" s="468"/>
      <c r="H74" s="468"/>
      <c r="I74" s="468"/>
      <c r="J74" s="468"/>
      <c r="K74" s="468"/>
      <c r="L74" s="468"/>
    </row>
    <row r="75" spans="2:12">
      <c r="B75" s="581" t="s">
        <v>693</v>
      </c>
      <c r="C75" s="585"/>
      <c r="D75" s="585"/>
      <c r="E75" s="585"/>
      <c r="F75" s="585"/>
      <c r="G75" s="585"/>
      <c r="H75" s="585"/>
      <c r="I75" s="585"/>
      <c r="J75" s="585"/>
      <c r="K75" s="585"/>
      <c r="L75" s="468"/>
    </row>
    <row r="76" spans="2:12">
      <c r="B76" s="586"/>
      <c r="C76" s="586"/>
      <c r="D76" s="586"/>
      <c r="E76" s="586"/>
      <c r="F76" s="586"/>
      <c r="G76" s="586"/>
      <c r="H76" s="586"/>
      <c r="I76" s="586"/>
      <c r="J76" s="586"/>
      <c r="K76" s="586"/>
      <c r="L76" s="468"/>
    </row>
    <row r="77" spans="2:12">
      <c r="B77" s="88" t="s">
        <v>694</v>
      </c>
      <c r="C77" s="468" t="s">
        <v>23</v>
      </c>
      <c r="D77" s="522">
        <v>28.171127397996248</v>
      </c>
      <c r="E77" s="522">
        <v>26.481550917291848</v>
      </c>
      <c r="F77" s="522">
        <v>26.908025312824844</v>
      </c>
      <c r="G77" s="522">
        <v>29.720736355934555</v>
      </c>
      <c r="H77" s="522">
        <v>32.445542222142244</v>
      </c>
      <c r="I77" s="586"/>
      <c r="J77" s="587"/>
      <c r="L77" s="468"/>
    </row>
    <row r="78" spans="2:12">
      <c r="B78" s="88"/>
      <c r="C78" s="468"/>
      <c r="D78" s="588"/>
      <c r="E78" s="588"/>
      <c r="F78" s="588"/>
      <c r="G78" s="588"/>
      <c r="H78" s="588"/>
      <c r="I78" s="586"/>
      <c r="J78" s="574"/>
      <c r="L78" s="468"/>
    </row>
    <row r="79" spans="2:12">
      <c r="B79" s="88"/>
      <c r="C79" s="468"/>
      <c r="D79" s="588"/>
      <c r="E79" s="589"/>
      <c r="F79" s="589"/>
      <c r="G79" s="589"/>
      <c r="H79" s="589"/>
      <c r="I79" s="574"/>
      <c r="J79" s="574"/>
      <c r="L79" s="468"/>
    </row>
    <row r="80" spans="2:12">
      <c r="B80" s="590" t="s">
        <v>695</v>
      </c>
      <c r="C80" s="584"/>
      <c r="D80" s="584"/>
      <c r="E80" s="584"/>
      <c r="F80" s="584"/>
      <c r="G80" s="584"/>
      <c r="H80" s="584"/>
      <c r="I80" s="584"/>
      <c r="J80" s="584"/>
      <c r="K80" s="584"/>
    </row>
    <row r="81" spans="2:11">
      <c r="B81" s="581" t="s">
        <v>696</v>
      </c>
      <c r="C81" s="582"/>
      <c r="D81" s="582"/>
      <c r="E81" s="582"/>
      <c r="F81" s="582"/>
      <c r="G81" s="582"/>
      <c r="H81" s="582"/>
      <c r="I81" s="582"/>
      <c r="J81" s="582"/>
      <c r="K81" s="582"/>
    </row>
    <row r="82" spans="2:11" ht="24.65" customHeight="1">
      <c r="B82" s="564" t="s">
        <v>697</v>
      </c>
      <c r="C82" s="468"/>
      <c r="D82" s="468"/>
      <c r="E82" s="468"/>
      <c r="F82" s="468"/>
      <c r="G82" s="468"/>
      <c r="H82" s="468"/>
      <c r="I82" s="468"/>
      <c r="J82" s="468"/>
      <c r="K82" s="468"/>
    </row>
    <row r="83" spans="2:11">
      <c r="B83" s="88" t="s">
        <v>698</v>
      </c>
      <c r="C83" s="468" t="s">
        <v>23</v>
      </c>
      <c r="D83" s="26">
        <v>40.499691417710949</v>
      </c>
      <c r="E83" s="26">
        <v>72.764191013023421</v>
      </c>
      <c r="F83" s="26">
        <v>57.124246367107659</v>
      </c>
      <c r="G83" s="26">
        <v>18.514001987862688</v>
      </c>
      <c r="H83" s="26">
        <v>7.9393547749566595</v>
      </c>
      <c r="I83" s="595">
        <v>170.38812879784203</v>
      </c>
      <c r="J83" s="596">
        <v>196.84148556066137</v>
      </c>
      <c r="K83" s="468"/>
    </row>
    <row r="84" spans="2:11">
      <c r="B84" s="88"/>
      <c r="K84" s="468"/>
    </row>
    <row r="85" spans="2:11">
      <c r="B85" s="88" t="s">
        <v>699</v>
      </c>
      <c r="C85" s="468" t="s">
        <v>23</v>
      </c>
      <c r="D85" s="26">
        <v>40.047410471347973</v>
      </c>
      <c r="E85" s="26">
        <v>73.085814170683378</v>
      </c>
      <c r="F85" s="26">
        <v>57.72780473096207</v>
      </c>
      <c r="G85" s="26">
        <v>18.545664036533896</v>
      </c>
      <c r="H85" s="26">
        <v>8.5755742071622549</v>
      </c>
      <c r="I85" s="595">
        <v>170.86102937299341</v>
      </c>
      <c r="J85" s="596">
        <v>197.98226761668957</v>
      </c>
      <c r="K85" s="468"/>
    </row>
    <row r="86" spans="2:11">
      <c r="B86" s="88"/>
      <c r="K86" s="468"/>
    </row>
    <row r="87" spans="2:11">
      <c r="B87" s="88" t="s">
        <v>700</v>
      </c>
      <c r="C87" s="468" t="s">
        <v>23</v>
      </c>
      <c r="D87" s="26">
        <v>0.45228094636297556</v>
      </c>
      <c r="E87" s="26">
        <v>-0.32162315765995686</v>
      </c>
      <c r="F87" s="26">
        <v>-0.60355836385441108</v>
      </c>
      <c r="G87" s="26">
        <v>-3.1662048671208254E-2</v>
      </c>
      <c r="H87" s="26">
        <v>-0.6362194322055954</v>
      </c>
      <c r="I87" s="595">
        <v>-0.47290057515139239</v>
      </c>
      <c r="J87" s="596">
        <v>-1.140782056028196</v>
      </c>
      <c r="K87" s="468"/>
    </row>
    <row r="88" spans="2:11">
      <c r="K88" s="468"/>
    </row>
    <row r="89" spans="2:11">
      <c r="K89" s="468"/>
    </row>
    <row r="90" spans="2:11">
      <c r="K90" s="468"/>
    </row>
    <row r="91" spans="2:11">
      <c r="K91" s="468"/>
    </row>
    <row r="92" spans="2:11"/>
    <row r="93" spans="2:11"/>
    <row r="94" spans="2:11"/>
    <row r="95" spans="2:11"/>
    <row r="96" spans="2:11"/>
    <row r="97"/>
    <row r="98"/>
    <row r="99"/>
    <row r="100"/>
  </sheetData>
  <sheetProtection insertRows="0" sort="0" autoFilter="0" pivotTables="0"/>
  <conditionalFormatting sqref="D48">
    <cfRule type="expression" dxfId="42" priority="7">
      <formula>D$5="Forecast"</formula>
    </cfRule>
    <cfRule type="expression" dxfId="41" priority="8">
      <formula>C$12="N/A"</formula>
    </cfRule>
  </conditionalFormatting>
  <conditionalFormatting sqref="D30:H30">
    <cfRule type="expression" dxfId="40" priority="4">
      <formula>D$5="Actuals"</formula>
    </cfRule>
  </conditionalFormatting>
  <conditionalFormatting sqref="D32:H33">
    <cfRule type="expression" dxfId="39" priority="3">
      <formula>D$5="Actuals"</formula>
    </cfRule>
  </conditionalFormatting>
  <conditionalFormatting sqref="D36:H36">
    <cfRule type="expression" dxfId="38" priority="2">
      <formula>D$5="Actuals"</formula>
    </cfRule>
  </conditionalFormatting>
  <conditionalFormatting sqref="E48:H48">
    <cfRule type="expression" dxfId="37" priority="1">
      <formula>E$5="Actuals"</formula>
    </cfRule>
  </conditionalFormatting>
  <pageMargins left="0.70866141732283472" right="0.70866141732283472" top="0.74803149606299213" bottom="0.74803149606299213" header="0.31496062992125984" footer="0.31496062992125984"/>
  <pageSetup paperSize="8" scale="65" orientation="landscape" r:id="rId1"/>
  <headerFooter>
    <oddFooter>&amp;C_x000D_&amp;1#&amp;"Calibri"&amp;10&amp;K000000 OFFICIAL-InternalOnly</oddFooter>
  </headerFooter>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5.xml><?xml version="1.0" encoding="utf-8"?>
<ct:contentTypeSchema xmlns:ct="http://schemas.microsoft.com/office/2006/metadata/contentType" xmlns:ma="http://schemas.microsoft.com/office/2006/metadata/properties/metaAttributes" ct:_="" ma:_="" ma:contentTypeName="Document" ma:contentTypeID="0x010100082107892A82294095935E789D345B26" ma:contentTypeVersion="4" ma:contentTypeDescription="Create a new document." ma:contentTypeScope="" ma:versionID="3aab2bbc0587c5da4ae561109ca8a1e1">
  <xsd:schema xmlns:xsd="http://www.w3.org/2001/XMLSchema" xmlns:xs="http://www.w3.org/2001/XMLSchema" xmlns:p="http://schemas.microsoft.com/office/2006/metadata/properties" xmlns:ns2="27c39479-cc18-4e06-8d1d-0435a342121f" targetNamespace="http://schemas.microsoft.com/office/2006/metadata/properties" ma:root="true" ma:fieldsID="e9490f48221179bff8dbe565ae2ac00e" ns2:_="">
    <xsd:import namespace="27c39479-cc18-4e06-8d1d-0435a342121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c39479-cc18-4e06-8d1d-0435a342121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2.xml><?xml version="1.0" encoding="utf-8"?>
<ds:datastoreItem xmlns:ds="http://schemas.openxmlformats.org/officeDocument/2006/customXml" ds:itemID="{9F991210-E616-40D8-80E5-2099EECD474C}">
  <ds:schemaRefs>
    <ds:schemaRef ds:uri="http://www.w3.org/2001/XMLSchema"/>
    <ds:schemaRef ds:uri="http://www.boldonjames.com/2008/01/sie/internal/label"/>
  </ds:schemaRefs>
</ds:datastoreItem>
</file>

<file path=customXml/itemProps3.xml><?xml version="1.0" encoding="utf-8"?>
<ds:datastoreItem xmlns:ds="http://schemas.openxmlformats.org/officeDocument/2006/customXml" ds:itemID="{CC285FE4-1466-4BF7-8FA9-67F63A3D57B8}">
  <ds:schemaRefs>
    <ds:schemaRef ds:uri="http://purl.org/dc/elements/1.1/"/>
    <ds:schemaRef ds:uri="http://schemas.microsoft.com/office/2006/metadata/properties"/>
    <ds:schemaRef ds:uri="27c39479-cc18-4e06-8d1d-0435a342121f"/>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4.xml><?xml version="1.0" encoding="utf-8"?>
<ds:datastoreItem xmlns:ds="http://schemas.openxmlformats.org/officeDocument/2006/customXml" ds:itemID="{ED8114B6-BDD8-4CB5-AA20-4A909702B5CF}">
  <ds:schemaRefs>
    <ds:schemaRef ds:uri="http://schemas.microsoft.com/DataMashup"/>
  </ds:schemaRefs>
</ds:datastoreItem>
</file>

<file path=customXml/itemProps5.xml><?xml version="1.0" encoding="utf-8"?>
<ds:datastoreItem xmlns:ds="http://schemas.openxmlformats.org/officeDocument/2006/customXml" ds:itemID="{BB9BE204-43DA-40C4-BC4D-C51A843B3A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c39479-cc18-4e06-8d1d-0435a34212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68</vt:i4>
      </vt:variant>
    </vt:vector>
  </HeadingPairs>
  <TitlesOfParts>
    <vt:vector size="88"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R5 - Financing</vt:lpstr>
      <vt:lpstr>R5a - Financing input</vt:lpstr>
      <vt:lpstr>R6 - Net Debt</vt:lpstr>
      <vt:lpstr>R6a - Net Debt input</vt:lpstr>
      <vt:lpstr>R7 - RAV</vt:lpstr>
      <vt:lpstr>R9 - Corporate Governance</vt:lpstr>
      <vt:lpstr>R8 - Tax</vt:lpstr>
      <vt:lpstr>R8a - Tax Reconciliation</vt:lpstr>
      <vt:lpstr>R10 - Pensions &amp; Oth Activities</vt:lpstr>
      <vt:lpstr>Input sheets for R5a and R6a&gt;&gt;&gt;</vt:lpstr>
      <vt:lpstr>I1 - Universal Data</vt:lpstr>
      <vt:lpstr>I2 - Monthly Inflation</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'R5a - Financing input'!Print_Area</vt:lpstr>
      <vt:lpstr>'R6 - Net Debt'!Print_Area</vt:lpstr>
      <vt:lpstr>'R6a - Net Debt input'!Print_Area</vt:lpstr>
      <vt:lpstr>'R7 - RAV'!Print_Area</vt:lpstr>
      <vt:lpstr>'R8 - Tax'!Print_Area</vt:lpstr>
      <vt:lpstr>'R8a - Tax Reconciliation'!Print_Area</vt:lpstr>
      <vt:lpstr>'R9 - Corporate Governance'!Print_Area</vt:lpstr>
      <vt:lpstr>'RFPR cover'!Print_Area</vt:lpstr>
      <vt:lpstr>'R5a - Financing input'!Print_Titles</vt:lpstr>
      <vt:lpstr>'R6a - Net Debt input'!Print_Titles</vt:lpstr>
      <vt:lpstr>'R8a - Tax Reconciliation'!Print_Titles</vt:lpstr>
      <vt:lpstr>real_to_nominal_CF</vt:lpstr>
      <vt:lpstr>Reporting_Year</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 template v.2.0</dc:title>
  <dc:subject/>
  <dc:creator>Mick Watson</dc:creator>
  <cp:keywords/>
  <dc:description/>
  <cp:lastModifiedBy>Kang, Sanjeet</cp:lastModifiedBy>
  <cp:revision/>
  <dcterms:created xsi:type="dcterms:W3CDTF">2018-06-13T08:32:09Z</dcterms:created>
  <dcterms:modified xsi:type="dcterms:W3CDTF">2024-09-30T15:05:11Z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ed809614-687b-4dae-a925-e5846428ac42</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0x010100082107892A82294095935E789D345B26</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MSIP_Label_2b73dd0b-afe1-4a46-943f-1bdb914b8a49_Enabled">
    <vt:lpwstr>true</vt:lpwstr>
  </property>
  <property fmtid="{D5CDD505-2E9C-101B-9397-08002B2CF9AE}" pid="14" name="MSIP_Label_2b73dd0b-afe1-4a46-943f-1bdb914b8a49_SetDate">
    <vt:lpwstr>2020-07-13T09:54:54Z</vt:lpwstr>
  </property>
  <property fmtid="{D5CDD505-2E9C-101B-9397-08002B2CF9AE}" pid="15" name="MSIP_Label_2b73dd0b-afe1-4a46-943f-1bdb914b8a49_Method">
    <vt:lpwstr>Standard</vt:lpwstr>
  </property>
  <property fmtid="{D5CDD505-2E9C-101B-9397-08002B2CF9AE}" pid="16" name="MSIP_Label_2b73dd0b-afe1-4a46-943f-1bdb914b8a49_Name">
    <vt:lpwstr>Internal</vt:lpwstr>
  </property>
  <property fmtid="{D5CDD505-2E9C-101B-9397-08002B2CF9AE}" pid="17" name="MSIP_Label_2b73dd0b-afe1-4a46-943f-1bdb914b8a49_SiteId">
    <vt:lpwstr>b9563cbc-9874-41ab-b448-7e0f61aff3eb</vt:lpwstr>
  </property>
  <property fmtid="{D5CDD505-2E9C-101B-9397-08002B2CF9AE}" pid="18" name="MSIP_Label_2b73dd0b-afe1-4a46-943f-1bdb914b8a49_ActionId">
    <vt:lpwstr>eb8bee18-e589-4e0d-b159-000055dbdde8</vt:lpwstr>
  </property>
  <property fmtid="{D5CDD505-2E9C-101B-9397-08002B2CF9AE}" pid="19" name="MSIP_Label_2b73dd0b-afe1-4a46-943f-1bdb914b8a49_ContentBits">
    <vt:lpwstr>2</vt:lpwstr>
  </property>
  <property fmtid="{D5CDD505-2E9C-101B-9397-08002B2CF9AE}" pid="20" name="bjClsUserRVM">
    <vt:lpwstr>[]</vt:lpwstr>
  </property>
  <property fmtid="{D5CDD505-2E9C-101B-9397-08002B2CF9AE}" pid="21" name="bjDocumentSecurityLabel">
    <vt:lpwstr>OFFICIAL</vt:lpwstr>
  </property>
  <property fmtid="{D5CDD505-2E9C-101B-9397-08002B2CF9AE}" pid="22"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23" name="bjDocumentLabelXML-0">
    <vt:lpwstr>ames.com/2008/01/sie/internal/label"&gt;&lt;element uid="id_classification_nonbusiness" value="" /&gt;&lt;/sisl&gt;</vt:lpwstr>
  </property>
  <property fmtid="{D5CDD505-2E9C-101B-9397-08002B2CF9AE}" pid="24" name="MediaServiceImageTags">
    <vt:lpwstr/>
  </property>
  <property fmtid="{D5CDD505-2E9C-101B-9397-08002B2CF9AE}" pid="25" name="MSIP_Label_38144ccb-b10a-4c0f-b070-7a3b00ac7463_Enabled">
    <vt:lpwstr>true</vt:lpwstr>
  </property>
  <property fmtid="{D5CDD505-2E9C-101B-9397-08002B2CF9AE}" pid="26" name="MSIP_Label_38144ccb-b10a-4c0f-b070-7a3b00ac7463_SetDate">
    <vt:lpwstr>2022-05-27T11:21:22Z</vt:lpwstr>
  </property>
  <property fmtid="{D5CDD505-2E9C-101B-9397-08002B2CF9AE}" pid="27" name="MSIP_Label_38144ccb-b10a-4c0f-b070-7a3b00ac7463_Method">
    <vt:lpwstr>Standard</vt:lpwstr>
  </property>
  <property fmtid="{D5CDD505-2E9C-101B-9397-08002B2CF9AE}" pid="28" name="MSIP_Label_38144ccb-b10a-4c0f-b070-7a3b00ac7463_Name">
    <vt:lpwstr>InternalOnly</vt:lpwstr>
  </property>
  <property fmtid="{D5CDD505-2E9C-101B-9397-08002B2CF9AE}" pid="29" name="MSIP_Label_38144ccb-b10a-4c0f-b070-7a3b00ac7463_SiteId">
    <vt:lpwstr>185562ad-39bc-4840-8e40-be6216340c52</vt:lpwstr>
  </property>
  <property fmtid="{D5CDD505-2E9C-101B-9397-08002B2CF9AE}" pid="30" name="MSIP_Label_38144ccb-b10a-4c0f-b070-7a3b00ac7463_ActionId">
    <vt:lpwstr>e0564de4-bc5c-4fe1-932a-3f653e36482c</vt:lpwstr>
  </property>
  <property fmtid="{D5CDD505-2E9C-101B-9397-08002B2CF9AE}" pid="31" name="MSIP_Label_38144ccb-b10a-4c0f-b070-7a3b00ac7463_ContentBits">
    <vt:lpwstr>2</vt:lpwstr>
  </property>
  <property fmtid="{D5CDD505-2E9C-101B-9397-08002B2CF9AE}" pid="32" name="Comparison_Data2RowInsertions47">
    <vt:lpwstr/>
  </property>
  <property fmtid="{D5CDD505-2E9C-101B-9397-08002B2CF9AE}" pid="33" name="Comparison_Data2ColumnInsertions48">
    <vt:lpwstr/>
  </property>
  <property fmtid="{D5CDD505-2E9C-101B-9397-08002B2CF9AE}" pid="34" name="Comparison_Content &amp; Version Control3RowInsertions49">
    <vt:lpwstr/>
  </property>
  <property fmtid="{D5CDD505-2E9C-101B-9397-08002B2CF9AE}" pid="35" name="Comparison_Content &amp; Version Control3ColumnInsertions50">
    <vt:lpwstr/>
  </property>
  <property fmtid="{D5CDD505-2E9C-101B-9397-08002B2CF9AE}" pid="36" name="Comparison_Change log4RowInsertions51">
    <vt:lpwstr/>
  </property>
  <property fmtid="{D5CDD505-2E9C-101B-9397-08002B2CF9AE}" pid="37" name="Comparison_Change log4ColumnInsertions52">
    <vt:lpwstr/>
  </property>
  <property fmtid="{D5CDD505-2E9C-101B-9397-08002B2CF9AE}" pid="38" name="Comparison_R1 - RoRE5RowInsertions53">
    <vt:lpwstr/>
  </property>
  <property fmtid="{D5CDD505-2E9C-101B-9397-08002B2CF9AE}" pid="39" name="Comparison_R1 - RoRE5ColumnInsertions54">
    <vt:lpwstr/>
  </property>
  <property fmtid="{D5CDD505-2E9C-101B-9397-08002B2CF9AE}" pid="40" name="Comparison_R2 - Rec to Revenue and Profit6RowInsertions55">
    <vt:lpwstr/>
  </property>
  <property fmtid="{D5CDD505-2E9C-101B-9397-08002B2CF9AE}" pid="41" name="Comparison_R2 - Rec to Revenue and Profit6ColumnInsertions56">
    <vt:lpwstr/>
  </property>
  <property fmtid="{D5CDD505-2E9C-101B-9397-08002B2CF9AE}" pid="42" name="Comparison_R3 - Totex - Reconciliation7RowInsertions57">
    <vt:lpwstr/>
  </property>
  <property fmtid="{D5CDD505-2E9C-101B-9397-08002B2CF9AE}" pid="43" name="Comparison_R3 - Totex - Reconciliation7ColumnInsertions58">
    <vt:lpwstr/>
  </property>
  <property fmtid="{D5CDD505-2E9C-101B-9397-08002B2CF9AE}" pid="44" name="Comparison_R4 - Incentives and Other Rev8RowInsertions59">
    <vt:lpwstr/>
  </property>
  <property fmtid="{D5CDD505-2E9C-101B-9397-08002B2CF9AE}" pid="45" name="Comparison_R4 - Incentives and Other Rev8ColumnInsertions60">
    <vt:lpwstr/>
  </property>
  <property fmtid="{D5CDD505-2E9C-101B-9397-08002B2CF9AE}" pid="46" name="Comparison_R5 - Financing9RowInsertions61">
    <vt:lpwstr/>
  </property>
  <property fmtid="{D5CDD505-2E9C-101B-9397-08002B2CF9AE}" pid="47" name="Comparison_R5 - Financing9ColumnInsertions62">
    <vt:lpwstr/>
  </property>
  <property fmtid="{D5CDD505-2E9C-101B-9397-08002B2CF9AE}" pid="48" name="Comparison_R5a - Financing input10RowInsertions63">
    <vt:lpwstr/>
  </property>
  <property fmtid="{D5CDD505-2E9C-101B-9397-08002B2CF9AE}" pid="49" name="Comparison_R5a - Financing input10ColumnInsertions64">
    <vt:lpwstr/>
  </property>
  <property fmtid="{D5CDD505-2E9C-101B-9397-08002B2CF9AE}" pid="50" name="Comparison_R6 - Net Debt11RowInsertions65">
    <vt:lpwstr/>
  </property>
  <property fmtid="{D5CDD505-2E9C-101B-9397-08002B2CF9AE}" pid="51" name="Comparison_R6 - Net Debt11ColumnInsertions66">
    <vt:lpwstr/>
  </property>
  <property fmtid="{D5CDD505-2E9C-101B-9397-08002B2CF9AE}" pid="52" name="Comparison_R6a - Net Debt input12RowInsertions67">
    <vt:lpwstr/>
  </property>
  <property fmtid="{D5CDD505-2E9C-101B-9397-08002B2CF9AE}" pid="53" name="Comparison_R6a - Net Debt input12ColumnInsertions68">
    <vt:lpwstr/>
  </property>
  <property fmtid="{D5CDD505-2E9C-101B-9397-08002B2CF9AE}" pid="54" name="Comparison_R7 - RAV13RowInsertions69">
    <vt:lpwstr/>
  </property>
  <property fmtid="{D5CDD505-2E9C-101B-9397-08002B2CF9AE}" pid="55" name="Comparison_R7 - RAV13ColumnInsertions70">
    <vt:lpwstr/>
  </property>
  <property fmtid="{D5CDD505-2E9C-101B-9397-08002B2CF9AE}" pid="56" name="Comparison_R8 - Tax14RowInsertions71">
    <vt:lpwstr/>
  </property>
  <property fmtid="{D5CDD505-2E9C-101B-9397-08002B2CF9AE}" pid="57" name="Comparison_R8 - Tax14ColumnInsertions72">
    <vt:lpwstr/>
  </property>
  <property fmtid="{D5CDD505-2E9C-101B-9397-08002B2CF9AE}" pid="58" name="Comparison_R8a - Tax Reconciliation15RowInsertions73">
    <vt:lpwstr/>
  </property>
  <property fmtid="{D5CDD505-2E9C-101B-9397-08002B2CF9AE}" pid="59" name="Comparison_R8a - Tax Reconciliation15ColumnInsertions74">
    <vt:lpwstr/>
  </property>
  <property fmtid="{D5CDD505-2E9C-101B-9397-08002B2CF9AE}" pid="60" name="Comparison_R9 - Corporate Governance16RowInsertions75">
    <vt:lpwstr/>
  </property>
  <property fmtid="{D5CDD505-2E9C-101B-9397-08002B2CF9AE}" pid="61" name="Comparison_R9 - Corporate Governance16ColumnInsertions76">
    <vt:lpwstr/>
  </property>
  <property fmtid="{D5CDD505-2E9C-101B-9397-08002B2CF9AE}" pid="62" name="Comparison_R10 - Pensions &amp; Oth Activities17RowInsertions77">
    <vt:lpwstr/>
  </property>
  <property fmtid="{D5CDD505-2E9C-101B-9397-08002B2CF9AE}" pid="63" name="Comparison_R10 - Pensions &amp; Oth Activities17ColumnInsertions78">
    <vt:lpwstr/>
  </property>
  <property fmtid="{D5CDD505-2E9C-101B-9397-08002B2CF9AE}" pid="64" name="Comparison_Input sheets for R5a and R6a&gt;&gt;&gt;18RowInsertions79">
    <vt:lpwstr/>
  </property>
  <property fmtid="{D5CDD505-2E9C-101B-9397-08002B2CF9AE}" pid="65" name="Comparison_Input sheets for R5a and R6a&gt;&gt;&gt;18ColumnInsertions80">
    <vt:lpwstr/>
  </property>
  <property fmtid="{D5CDD505-2E9C-101B-9397-08002B2CF9AE}" pid="66" name="Comparison_F3 - Fixed Rate Debt19RowInsertions81">
    <vt:lpwstr/>
  </property>
  <property fmtid="{D5CDD505-2E9C-101B-9397-08002B2CF9AE}" pid="67" name="Comparison_F3 - Fixed Rate Debt19ColumnInsertions82">
    <vt:lpwstr/>
  </property>
  <property fmtid="{D5CDD505-2E9C-101B-9397-08002B2CF9AE}" pid="68" name="Comparison_F4 - Floating Rate Debt20RowInsertions83">
    <vt:lpwstr/>
  </property>
  <property fmtid="{D5CDD505-2E9C-101B-9397-08002B2CF9AE}" pid="69" name="Comparison_F4 - Floating Rate Debt20ColumnInsertions84">
    <vt:lpwstr/>
  </property>
  <property fmtid="{D5CDD505-2E9C-101B-9397-08002B2CF9AE}" pid="70" name="Comparison_F5 - Inflation Linked Debt21RowInsertions85">
    <vt:lpwstr/>
  </property>
  <property fmtid="{D5CDD505-2E9C-101B-9397-08002B2CF9AE}" pid="71" name="Comparison_F5 - Inflation Linked Debt21ColumnInsertions86">
    <vt:lpwstr/>
  </property>
  <property fmtid="{D5CDD505-2E9C-101B-9397-08002B2CF9AE}" pid="72" name="Comparison_F6 - Debt Dataset22RowInsertions87">
    <vt:lpwstr/>
  </property>
  <property fmtid="{D5CDD505-2E9C-101B-9397-08002B2CF9AE}" pid="73" name="Comparison_F6 - Debt Dataset22ColumnInsertions88">
    <vt:lpwstr/>
  </property>
  <property fmtid="{D5CDD505-2E9C-101B-9397-08002B2CF9AE}" pid="74" name="Comparison_I1 - Universal Data23RowInsertions89">
    <vt:lpwstr/>
  </property>
  <property fmtid="{D5CDD505-2E9C-101B-9397-08002B2CF9AE}" pid="75" name="Comparison_I1 - Universal Data23ColumnInsertions90">
    <vt:lpwstr/>
  </property>
  <property fmtid="{D5CDD505-2E9C-101B-9397-08002B2CF9AE}" pid="76" name="Comparison_I2 - Monthly Inflation24RowInsertions91">
    <vt:lpwstr/>
  </property>
  <property fmtid="{D5CDD505-2E9C-101B-9397-08002B2CF9AE}" pid="77" name="Comparison_I2 - Monthly Inflation24ColumnInsertions92">
    <vt:lpwstr/>
  </property>
  <property fmtid="{D5CDD505-2E9C-101B-9397-08002B2CF9AE}" pid="78" name="xd_ProgID">
    <vt:lpwstr/>
  </property>
  <property fmtid="{D5CDD505-2E9C-101B-9397-08002B2CF9AE}" pid="79" name="ComplianceAssetId">
    <vt:lpwstr/>
  </property>
  <property fmtid="{D5CDD505-2E9C-101B-9397-08002B2CF9AE}" pid="80" name="TemplateUrl">
    <vt:lpwstr/>
  </property>
  <property fmtid="{D5CDD505-2E9C-101B-9397-08002B2CF9AE}" pid="81" name="xd_Signature">
    <vt:bool>false</vt:bool>
  </property>
  <property fmtid="{D5CDD505-2E9C-101B-9397-08002B2CF9AE}" pid="82" name="TriggerFlowInfo">
    <vt:lpwstr/>
  </property>
  <property fmtid="{D5CDD505-2E9C-101B-9397-08002B2CF9AE}" pid="83" name="Order">
    <vt:r8>1664200</vt:r8>
  </property>
  <property fmtid="{D5CDD505-2E9C-101B-9397-08002B2CF9AE}" pid="84" name="Year">
    <vt:lpwstr>2023</vt:lpwstr>
  </property>
  <property fmtid="{D5CDD505-2E9C-101B-9397-08002B2CF9AE}" pid="85" name="MSIP_Label_4b435a31-4a51-492c-a5f9-db703ab5f2e4_Enabled">
    <vt:lpwstr>true</vt:lpwstr>
  </property>
  <property fmtid="{D5CDD505-2E9C-101B-9397-08002B2CF9AE}" pid="86" name="MSIP_Label_4b435a31-4a51-492c-a5f9-db703ab5f2e4_SetDate">
    <vt:lpwstr>2024-09-03T10:23:32Z</vt:lpwstr>
  </property>
  <property fmtid="{D5CDD505-2E9C-101B-9397-08002B2CF9AE}" pid="87" name="MSIP_Label_4b435a31-4a51-492c-a5f9-db703ab5f2e4_Method">
    <vt:lpwstr>Standard</vt:lpwstr>
  </property>
  <property fmtid="{D5CDD505-2E9C-101B-9397-08002B2CF9AE}" pid="88" name="MSIP_Label_4b435a31-4a51-492c-a5f9-db703ab5f2e4_Name">
    <vt:lpwstr>Cadent - Official</vt:lpwstr>
  </property>
  <property fmtid="{D5CDD505-2E9C-101B-9397-08002B2CF9AE}" pid="89" name="MSIP_Label_4b435a31-4a51-492c-a5f9-db703ab5f2e4_SiteId">
    <vt:lpwstr>de0d74aa-9914-4bb9-9235-fbefe83b1769</vt:lpwstr>
  </property>
  <property fmtid="{D5CDD505-2E9C-101B-9397-08002B2CF9AE}" pid="90" name="MSIP_Label_4b435a31-4a51-492c-a5f9-db703ab5f2e4_ActionId">
    <vt:lpwstr>a61c417e-b279-4c4c-8f5e-b4cf28816de1</vt:lpwstr>
  </property>
  <property fmtid="{D5CDD505-2E9C-101B-9397-08002B2CF9AE}" pid="91" name="MSIP_Label_4b435a31-4a51-492c-a5f9-db703ab5f2e4_ContentBits">
    <vt:lpwstr>0</vt:lpwstr>
  </property>
</Properties>
</file>